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120" windowHeight="9090" activeTab="4"/>
  </bookViews>
  <sheets>
    <sheet name="Daily Trading Sheet" sheetId="1" r:id="rId1"/>
    <sheet name="Transport" sheetId="2" r:id="rId2"/>
    <sheet name="Confirmation" sheetId="3" r:id="rId3"/>
    <sheet name="Web Error" sheetId="34668" r:id="rId4"/>
    <sheet name="5-31" sheetId="34683" r:id="rId5"/>
    <sheet name="5-30" sheetId="34682" r:id="rId6"/>
    <sheet name="5-29" sheetId="34681" r:id="rId7"/>
    <sheet name="5-26,27,28" sheetId="34680" r:id="rId8"/>
    <sheet name="5-25" sheetId="34679" r:id="rId9"/>
    <sheet name="5-24" sheetId="34678" r:id="rId10"/>
    <sheet name="5-23" sheetId="34677" r:id="rId11"/>
    <sheet name="5-22" sheetId="34676" r:id="rId12"/>
    <sheet name="5-19-21" sheetId="34675" r:id="rId13"/>
    <sheet name="5-18" sheetId="34674" r:id="rId14"/>
    <sheet name="5-17" sheetId="34673" r:id="rId15"/>
    <sheet name="5-16" sheetId="34672" r:id="rId16"/>
    <sheet name="5-15" sheetId="34671" r:id="rId17"/>
    <sheet name="5-12,13,14" sheetId="34670" r:id="rId18"/>
    <sheet name="5-11" sheetId="34669" r:id="rId19"/>
    <sheet name="5-10" sheetId="34667" r:id="rId20"/>
    <sheet name="5-9" sheetId="34666" r:id="rId21"/>
    <sheet name="5-8" sheetId="34665" r:id="rId22"/>
    <sheet name="5-5,6,7" sheetId="34664" r:id="rId23"/>
    <sheet name="5-4" sheetId="34663" r:id="rId24"/>
    <sheet name="5-3" sheetId="34662" r:id="rId25"/>
    <sheet name="5-2" sheetId="34661" r:id="rId26"/>
    <sheet name="5-1" sheetId="34660" r:id="rId27"/>
    <sheet name="4-28,29,30" sheetId="34659" r:id="rId28"/>
  </sheets>
  <calcPr calcId="152511"/>
</workbook>
</file>

<file path=xl/calcChain.xml><?xml version="1.0" encoding="utf-8"?>
<calcChain xmlns="http://schemas.openxmlformats.org/spreadsheetml/2006/main">
  <c r="B1" i="34659" l="1"/>
  <c r="M1" i="34659"/>
  <c r="M2" i="34659"/>
  <c r="E9" i="34659"/>
  <c r="H9" i="34659"/>
  <c r="J9" i="34659"/>
  <c r="L9" i="34659"/>
  <c r="N9" i="34659"/>
  <c r="E16" i="34659"/>
  <c r="H16" i="34659"/>
  <c r="J16" i="34659"/>
  <c r="L16" i="34659"/>
  <c r="N16" i="34659"/>
  <c r="C22" i="34659"/>
  <c r="C26" i="34659"/>
  <c r="E28" i="34659"/>
  <c r="E29" i="34659" s="1"/>
  <c r="E66" i="34659" s="1"/>
  <c r="E12" i="34659" s="1"/>
  <c r="E14" i="34659" s="1"/>
  <c r="H28" i="34659"/>
  <c r="H29" i="34659" s="1"/>
  <c r="J28" i="34659"/>
  <c r="L28" i="34659"/>
  <c r="L29" i="34659" s="1"/>
  <c r="N28" i="34659"/>
  <c r="J29" i="34659"/>
  <c r="N29" i="34659"/>
  <c r="C34" i="34659"/>
  <c r="C35" i="34659"/>
  <c r="H35" i="34659"/>
  <c r="H37" i="34659" s="1"/>
  <c r="H44" i="34659" s="1"/>
  <c r="E37" i="34659"/>
  <c r="J37" i="34659"/>
  <c r="J44" i="34659" s="1"/>
  <c r="L37" i="34659"/>
  <c r="L44" i="34659" s="1"/>
  <c r="N37" i="34659"/>
  <c r="N44" i="34659" s="1"/>
  <c r="C38" i="34659"/>
  <c r="E44" i="34659"/>
  <c r="C50" i="34659"/>
  <c r="E51" i="34659"/>
  <c r="E56" i="34659" s="1"/>
  <c r="E57" i="34659" s="1"/>
  <c r="H51" i="34659"/>
  <c r="J51" i="34659"/>
  <c r="J56" i="34659" s="1"/>
  <c r="J57" i="34659" s="1"/>
  <c r="L51" i="34659"/>
  <c r="N51" i="34659"/>
  <c r="H56" i="34659"/>
  <c r="L56" i="34659"/>
  <c r="L57" i="34659" s="1"/>
  <c r="N56" i="34659"/>
  <c r="H57" i="34659"/>
  <c r="N57" i="34659"/>
  <c r="N66" i="34659"/>
  <c r="H79" i="34659"/>
  <c r="J79" i="34659"/>
  <c r="C86" i="34659"/>
  <c r="B1" i="34660"/>
  <c r="C86" i="34660" s="1"/>
  <c r="M1" i="34660"/>
  <c r="M2" i="34660"/>
  <c r="E9" i="34660"/>
  <c r="H9" i="34660"/>
  <c r="J9" i="34660"/>
  <c r="L9" i="34660"/>
  <c r="N9" i="34660"/>
  <c r="E16" i="34660"/>
  <c r="H16" i="34660"/>
  <c r="J16" i="34660"/>
  <c r="L16" i="34660"/>
  <c r="N16" i="34660"/>
  <c r="C22" i="34660"/>
  <c r="C26" i="34660"/>
  <c r="E28" i="34660"/>
  <c r="E29" i="34660" s="1"/>
  <c r="E66" i="34660" s="1"/>
  <c r="E12" i="34660" s="1"/>
  <c r="E14" i="34660" s="1"/>
  <c r="H28" i="34660"/>
  <c r="H29" i="34660" s="1"/>
  <c r="J28" i="34660"/>
  <c r="L28" i="34660"/>
  <c r="N28" i="34660"/>
  <c r="J29" i="34660"/>
  <c r="J66" i="34660" s="1"/>
  <c r="J68" i="34660" s="1"/>
  <c r="L29" i="34660"/>
  <c r="N29" i="34660"/>
  <c r="C34" i="34660"/>
  <c r="C35" i="34660"/>
  <c r="E37" i="34660"/>
  <c r="E44" i="34660" s="1"/>
  <c r="H37" i="34660"/>
  <c r="H44" i="34660" s="1"/>
  <c r="J37" i="34660"/>
  <c r="J44" i="34660" s="1"/>
  <c r="L37" i="34660"/>
  <c r="L44" i="34660" s="1"/>
  <c r="L66" i="34660" s="1"/>
  <c r="L68" i="34660" s="1"/>
  <c r="N37" i="34660"/>
  <c r="C38" i="34660"/>
  <c r="J38" i="34660"/>
  <c r="N44" i="34660"/>
  <c r="N66" i="34660" s="1"/>
  <c r="N68" i="34660" s="1"/>
  <c r="C50" i="34660"/>
  <c r="E51" i="34660"/>
  <c r="E56" i="34660" s="1"/>
  <c r="H51" i="34660"/>
  <c r="J51" i="34660"/>
  <c r="J56" i="34660" s="1"/>
  <c r="J57" i="34660" s="1"/>
  <c r="L51" i="34660"/>
  <c r="N51" i="34660"/>
  <c r="H56" i="34660"/>
  <c r="H57" i="34660" s="1"/>
  <c r="L56" i="34660"/>
  <c r="L57" i="34660" s="1"/>
  <c r="N56" i="34660"/>
  <c r="E57" i="34660"/>
  <c r="N57" i="34660"/>
  <c r="N58" i="34660" s="1"/>
  <c r="L58" i="34660"/>
  <c r="H79" i="34660"/>
  <c r="J79" i="34660"/>
  <c r="B1" i="34667"/>
  <c r="C86" i="34667" s="1"/>
  <c r="M1" i="34667"/>
  <c r="M2" i="34667"/>
  <c r="E9" i="34667"/>
  <c r="H9" i="34667"/>
  <c r="J9" i="34667"/>
  <c r="L9" i="34667"/>
  <c r="N9" i="34667"/>
  <c r="E16" i="34667"/>
  <c r="H16" i="34667"/>
  <c r="J16" i="34667"/>
  <c r="L16" i="34667"/>
  <c r="N16" i="34667"/>
  <c r="C22" i="34667"/>
  <c r="C26" i="34667"/>
  <c r="E28" i="34667"/>
  <c r="H28" i="34667"/>
  <c r="H29" i="34667" s="1"/>
  <c r="J28" i="34667"/>
  <c r="L28" i="34667"/>
  <c r="N28" i="34667"/>
  <c r="E29" i="34667"/>
  <c r="J29" i="34667"/>
  <c r="L29" i="34667"/>
  <c r="N29" i="34667"/>
  <c r="C34" i="34667"/>
  <c r="C35" i="34667"/>
  <c r="I35" i="34667"/>
  <c r="J35" i="34667"/>
  <c r="K35" i="34667" s="1"/>
  <c r="L35" i="34667"/>
  <c r="L37" i="34667" s="1"/>
  <c r="L44" i="34667" s="1"/>
  <c r="L66" i="34667" s="1"/>
  <c r="L68" i="34667" s="1"/>
  <c r="N35" i="34667"/>
  <c r="E37" i="34667"/>
  <c r="H37" i="34667"/>
  <c r="H44" i="34667" s="1"/>
  <c r="C38" i="34667"/>
  <c r="E44" i="34667"/>
  <c r="C50" i="34667"/>
  <c r="E51" i="34667"/>
  <c r="E56" i="34667" s="1"/>
  <c r="H51" i="34667"/>
  <c r="J51" i="34667"/>
  <c r="J56" i="34667" s="1"/>
  <c r="J57" i="34667" s="1"/>
  <c r="L51" i="34667"/>
  <c r="N51" i="34667"/>
  <c r="H56" i="34667"/>
  <c r="H57" i="34667" s="1"/>
  <c r="L56" i="34667"/>
  <c r="L57" i="34667" s="1"/>
  <c r="L58" i="34667" s="1"/>
  <c r="N56" i="34667"/>
  <c r="E57" i="34667"/>
  <c r="N57" i="34667"/>
  <c r="H79" i="34667"/>
  <c r="J79" i="34667"/>
  <c r="B1" i="34669"/>
  <c r="C86" i="34669" s="1"/>
  <c r="M1" i="34669"/>
  <c r="M2" i="34669"/>
  <c r="E9" i="34669"/>
  <c r="H9" i="34669"/>
  <c r="J9" i="34669"/>
  <c r="L9" i="34669"/>
  <c r="N9" i="34669"/>
  <c r="E16" i="34669"/>
  <c r="H16" i="34669"/>
  <c r="J16" i="34669"/>
  <c r="L16" i="34669"/>
  <c r="N16" i="34669"/>
  <c r="C22" i="34669"/>
  <c r="C26" i="34669"/>
  <c r="E28" i="34669"/>
  <c r="H28" i="34669"/>
  <c r="H29" i="34669" s="1"/>
  <c r="J28" i="34669"/>
  <c r="L28" i="34669"/>
  <c r="N28" i="34669"/>
  <c r="E29" i="34669"/>
  <c r="J29" i="34669"/>
  <c r="L29" i="34669"/>
  <c r="N29" i="34669"/>
  <c r="N66" i="34669" s="1"/>
  <c r="N68" i="34669" s="1"/>
  <c r="C34" i="34669"/>
  <c r="C35" i="34669"/>
  <c r="E35" i="34669"/>
  <c r="H35" i="34669"/>
  <c r="J35" i="34669"/>
  <c r="K35" i="34669" s="1"/>
  <c r="L35" i="34669"/>
  <c r="N35" i="34669"/>
  <c r="O35" i="34669" s="1"/>
  <c r="E37" i="34669"/>
  <c r="E44" i="34669" s="1"/>
  <c r="J37" i="34669"/>
  <c r="N37" i="34669"/>
  <c r="N44" i="34669" s="1"/>
  <c r="C38" i="34669"/>
  <c r="J44" i="34669"/>
  <c r="J66" i="34669" s="1"/>
  <c r="J68" i="34669" s="1"/>
  <c r="C50" i="34669"/>
  <c r="E51" i="34669"/>
  <c r="E56" i="34669" s="1"/>
  <c r="E57" i="34669" s="1"/>
  <c r="H51" i="34669"/>
  <c r="J51" i="34669"/>
  <c r="L51" i="34669"/>
  <c r="N51" i="34669"/>
  <c r="N56" i="34669" s="1"/>
  <c r="N57" i="34669" s="1"/>
  <c r="H56" i="34669"/>
  <c r="H57" i="34669" s="1"/>
  <c r="J56" i="34669"/>
  <c r="L56" i="34669"/>
  <c r="L57" i="34669" s="1"/>
  <c r="J57" i="34669"/>
  <c r="E66" i="34669"/>
  <c r="E12" i="34669" s="1"/>
  <c r="E14" i="34669" s="1"/>
  <c r="H79" i="34669"/>
  <c r="J79" i="34669"/>
  <c r="B1" i="34670"/>
  <c r="C86" i="34670" s="1"/>
  <c r="M1" i="34670"/>
  <c r="M2" i="34670"/>
  <c r="E9" i="34670"/>
  <c r="H9" i="34670"/>
  <c r="J9" i="34670"/>
  <c r="L9" i="34670"/>
  <c r="N9" i="34670"/>
  <c r="E16" i="34670"/>
  <c r="H16" i="34670"/>
  <c r="J16" i="34670"/>
  <c r="L16" i="34670"/>
  <c r="N16" i="34670"/>
  <c r="C22" i="34670"/>
  <c r="C26" i="34670"/>
  <c r="E28" i="34670"/>
  <c r="H28" i="34670"/>
  <c r="H29" i="34670" s="1"/>
  <c r="J28" i="34670"/>
  <c r="L28" i="34670"/>
  <c r="L29" i="34670" s="1"/>
  <c r="L66" i="34670" s="1"/>
  <c r="L68" i="34670" s="1"/>
  <c r="N28" i="34670"/>
  <c r="E29" i="34670"/>
  <c r="J29" i="34670"/>
  <c r="J66" i="34670" s="1"/>
  <c r="J68" i="34670" s="1"/>
  <c r="N29" i="34670"/>
  <c r="C34" i="34670"/>
  <c r="C35" i="34670"/>
  <c r="E35" i="34670"/>
  <c r="E37" i="34670" s="1"/>
  <c r="E44" i="34670" s="1"/>
  <c r="H35" i="34670"/>
  <c r="I35" i="34670" s="1"/>
  <c r="K35" i="34670"/>
  <c r="M35" i="34670"/>
  <c r="O35" i="34670"/>
  <c r="H37" i="34670"/>
  <c r="J37" i="34670"/>
  <c r="L37" i="34670"/>
  <c r="N37" i="34670"/>
  <c r="C38" i="34670"/>
  <c r="L38" i="34670"/>
  <c r="N38" i="34670"/>
  <c r="N44" i="34670" s="1"/>
  <c r="H44" i="34670"/>
  <c r="H66" i="34670" s="1"/>
  <c r="H68" i="34670" s="1"/>
  <c r="J44" i="34670"/>
  <c r="L44" i="34670"/>
  <c r="L49" i="34670"/>
  <c r="L51" i="34670" s="1"/>
  <c r="L56" i="34670" s="1"/>
  <c r="N49" i="34670"/>
  <c r="C50" i="34670"/>
  <c r="E51" i="34670"/>
  <c r="H51" i="34670"/>
  <c r="H56" i="34670" s="1"/>
  <c r="H57" i="34670" s="1"/>
  <c r="J51" i="34670"/>
  <c r="N51" i="34670"/>
  <c r="E56" i="34670"/>
  <c r="E57" i="34670" s="1"/>
  <c r="J56" i="34670"/>
  <c r="J57" i="34670" s="1"/>
  <c r="J58" i="34670" s="1"/>
  <c r="N56" i="34670"/>
  <c r="N57" i="34670" s="1"/>
  <c r="L57" i="34670"/>
  <c r="L58" i="34670" s="1"/>
  <c r="H79" i="34670"/>
  <c r="J79" i="34670"/>
  <c r="B1" i="34671"/>
  <c r="M1" i="34671"/>
  <c r="M2" i="34671"/>
  <c r="E9" i="34671"/>
  <c r="H9" i="34671"/>
  <c r="J9" i="34671"/>
  <c r="L9" i="34671"/>
  <c r="N9" i="34671"/>
  <c r="E16" i="34671"/>
  <c r="H16" i="34671"/>
  <c r="J16" i="34671"/>
  <c r="L16" i="34671"/>
  <c r="N16" i="34671"/>
  <c r="C22" i="34671"/>
  <c r="C26" i="34671"/>
  <c r="E28" i="34671"/>
  <c r="E29" i="34671" s="1"/>
  <c r="E66" i="34671" s="1"/>
  <c r="E12" i="34671" s="1"/>
  <c r="E14" i="34671" s="1"/>
  <c r="H28" i="34671"/>
  <c r="H29" i="34671" s="1"/>
  <c r="H66" i="34671" s="1"/>
  <c r="H68" i="34671" s="1"/>
  <c r="J28" i="34671"/>
  <c r="J29" i="34671" s="1"/>
  <c r="L28" i="34671"/>
  <c r="N28" i="34671"/>
  <c r="N29" i="34671" s="1"/>
  <c r="L29" i="34671"/>
  <c r="L66" i="34671" s="1"/>
  <c r="L68" i="34671" s="1"/>
  <c r="C34" i="34671"/>
  <c r="C35" i="34671"/>
  <c r="I35" i="34671"/>
  <c r="K35" i="34671"/>
  <c r="M35" i="34671"/>
  <c r="O35" i="34671"/>
  <c r="E37" i="34671"/>
  <c r="E44" i="34671" s="1"/>
  <c r="H37" i="34671"/>
  <c r="H44" i="34671" s="1"/>
  <c r="J37" i="34671"/>
  <c r="L37" i="34671"/>
  <c r="N37" i="34671"/>
  <c r="N44" i="34671" s="1"/>
  <c r="C38" i="34671"/>
  <c r="J44" i="34671"/>
  <c r="L44" i="34671"/>
  <c r="H49" i="34671"/>
  <c r="C50" i="34671"/>
  <c r="E51" i="34671"/>
  <c r="H51" i="34671"/>
  <c r="H56" i="34671" s="1"/>
  <c r="J51" i="34671"/>
  <c r="L51" i="34671"/>
  <c r="L56" i="34671" s="1"/>
  <c r="L57" i="34671" s="1"/>
  <c r="N51" i="34671"/>
  <c r="N56" i="34671" s="1"/>
  <c r="N57" i="34671" s="1"/>
  <c r="E56" i="34671"/>
  <c r="E57" i="34671" s="1"/>
  <c r="J56" i="34671"/>
  <c r="J57" i="34671" s="1"/>
  <c r="H57" i="34671"/>
  <c r="H79" i="34671"/>
  <c r="J79" i="34671"/>
  <c r="C86" i="34671"/>
  <c r="B1" i="34672"/>
  <c r="M1" i="34672"/>
  <c r="M2" i="34672"/>
  <c r="E9" i="34672"/>
  <c r="H9" i="34672"/>
  <c r="J9" i="34672"/>
  <c r="L9" i="34672"/>
  <c r="N9" i="34672"/>
  <c r="E16" i="34672"/>
  <c r="H16" i="34672"/>
  <c r="J16" i="34672"/>
  <c r="L16" i="34672"/>
  <c r="N16" i="34672"/>
  <c r="C22" i="34672"/>
  <c r="C26" i="34672"/>
  <c r="E28" i="34672"/>
  <c r="E29" i="34672" s="1"/>
  <c r="H28" i="34672"/>
  <c r="J28" i="34672"/>
  <c r="J29" i="34672" s="1"/>
  <c r="J66" i="34672" s="1"/>
  <c r="J68" i="34672" s="1"/>
  <c r="L28" i="34672"/>
  <c r="N28" i="34672"/>
  <c r="N29" i="34672" s="1"/>
  <c r="H29" i="34672"/>
  <c r="H66" i="34672" s="1"/>
  <c r="H68" i="34672" s="1"/>
  <c r="L29" i="34672"/>
  <c r="C34" i="34672"/>
  <c r="C35" i="34672"/>
  <c r="E35" i="34672"/>
  <c r="E37" i="34672" s="1"/>
  <c r="E44" i="34672" s="1"/>
  <c r="I35" i="34672"/>
  <c r="K35" i="34672"/>
  <c r="M35" i="34672"/>
  <c r="O35" i="34672"/>
  <c r="H37" i="34672"/>
  <c r="H44" i="34672" s="1"/>
  <c r="J37" i="34672"/>
  <c r="J44" i="34672" s="1"/>
  <c r="L37" i="34672"/>
  <c r="N37" i="34672"/>
  <c r="C38" i="34672"/>
  <c r="L44" i="34672"/>
  <c r="N44" i="34672"/>
  <c r="C50" i="34672"/>
  <c r="E51" i="34672"/>
  <c r="H51" i="34672"/>
  <c r="H56" i="34672" s="1"/>
  <c r="H57" i="34672" s="1"/>
  <c r="J51" i="34672"/>
  <c r="L51" i="34672"/>
  <c r="L56" i="34672" s="1"/>
  <c r="L57" i="34672" s="1"/>
  <c r="N51" i="34672"/>
  <c r="E56" i="34672"/>
  <c r="E57" i="34672" s="1"/>
  <c r="J56" i="34672"/>
  <c r="J57" i="34672" s="1"/>
  <c r="J58" i="34672" s="1"/>
  <c r="N56" i="34672"/>
  <c r="N57" i="34672" s="1"/>
  <c r="H79" i="34672"/>
  <c r="J79" i="34672"/>
  <c r="C86" i="34672"/>
  <c r="B1" i="34673"/>
  <c r="M1" i="34673"/>
  <c r="M2" i="34673"/>
  <c r="E9" i="34673"/>
  <c r="H9" i="34673"/>
  <c r="J9" i="34673"/>
  <c r="L9" i="34673"/>
  <c r="N9" i="34673"/>
  <c r="E16" i="34673"/>
  <c r="H16" i="34673"/>
  <c r="J16" i="34673"/>
  <c r="L16" i="34673"/>
  <c r="N16" i="34673"/>
  <c r="C22" i="34673"/>
  <c r="C26" i="34673"/>
  <c r="E28" i="34673"/>
  <c r="E29" i="34673" s="1"/>
  <c r="E66" i="34673" s="1"/>
  <c r="H28" i="34673"/>
  <c r="J28" i="34673"/>
  <c r="J29" i="34673" s="1"/>
  <c r="L28" i="34673"/>
  <c r="N28" i="34673"/>
  <c r="N29" i="34673" s="1"/>
  <c r="N66" i="34673" s="1"/>
  <c r="N68" i="34673" s="1"/>
  <c r="H29" i="34673"/>
  <c r="L29" i="34673"/>
  <c r="C34" i="34673"/>
  <c r="C35" i="34673"/>
  <c r="E35" i="34673"/>
  <c r="E37" i="34673" s="1"/>
  <c r="E44" i="34673" s="1"/>
  <c r="I35" i="34673"/>
  <c r="K35" i="34673"/>
  <c r="M35" i="34673"/>
  <c r="O35" i="34673"/>
  <c r="H37" i="34673"/>
  <c r="J37" i="34673"/>
  <c r="J44" i="34673" s="1"/>
  <c r="L37" i="34673"/>
  <c r="L44" i="34673" s="1"/>
  <c r="N37" i="34673"/>
  <c r="N44" i="34673" s="1"/>
  <c r="C38" i="34673"/>
  <c r="H44" i="34673"/>
  <c r="C50" i="34673"/>
  <c r="E51" i="34673"/>
  <c r="H51" i="34673"/>
  <c r="H56" i="34673" s="1"/>
  <c r="H57" i="34673" s="1"/>
  <c r="J51" i="34673"/>
  <c r="L51" i="34673"/>
  <c r="L56" i="34673" s="1"/>
  <c r="L57" i="34673" s="1"/>
  <c r="N51" i="34673"/>
  <c r="E56" i="34673"/>
  <c r="E57" i="34673" s="1"/>
  <c r="J56" i="34673"/>
  <c r="J57" i="34673" s="1"/>
  <c r="N56" i="34673"/>
  <c r="N57" i="34673" s="1"/>
  <c r="N58" i="34673" s="1"/>
  <c r="L66" i="34673"/>
  <c r="L68" i="34673" s="1"/>
  <c r="H79" i="34673"/>
  <c r="J79" i="34673"/>
  <c r="C86" i="34673"/>
  <c r="B1" i="34674"/>
  <c r="M1" i="34674"/>
  <c r="M2" i="34674"/>
  <c r="E9" i="34674"/>
  <c r="H9" i="34674"/>
  <c r="J9" i="34674"/>
  <c r="L9" i="34674"/>
  <c r="N9" i="34674"/>
  <c r="E16" i="34674"/>
  <c r="H16" i="34674"/>
  <c r="J16" i="34674"/>
  <c r="L16" i="34674"/>
  <c r="N16" i="34674"/>
  <c r="C22" i="34674"/>
  <c r="C26" i="34674"/>
  <c r="E28" i="34674"/>
  <c r="E29" i="34674" s="1"/>
  <c r="E66" i="34674" s="1"/>
  <c r="E12" i="34674" s="1"/>
  <c r="E14" i="34674" s="1"/>
  <c r="H28" i="34674"/>
  <c r="J28" i="34674"/>
  <c r="J29" i="34674" s="1"/>
  <c r="J66" i="34674" s="1"/>
  <c r="J68" i="34674" s="1"/>
  <c r="L28" i="34674"/>
  <c r="N28" i="34674"/>
  <c r="N29" i="34674" s="1"/>
  <c r="N66" i="34674" s="1"/>
  <c r="N68" i="34674" s="1"/>
  <c r="H29" i="34674"/>
  <c r="L29" i="34674"/>
  <c r="C34" i="34674"/>
  <c r="C35" i="34674"/>
  <c r="E35" i="34674"/>
  <c r="E37" i="34674" s="1"/>
  <c r="E44" i="34674" s="1"/>
  <c r="I35" i="34674"/>
  <c r="M35" i="34674"/>
  <c r="O35" i="34674"/>
  <c r="K36" i="34674"/>
  <c r="H37" i="34674"/>
  <c r="H44" i="34674" s="1"/>
  <c r="J37" i="34674"/>
  <c r="L37" i="34674"/>
  <c r="N37" i="34674"/>
  <c r="N44" i="34674" s="1"/>
  <c r="C38" i="34674"/>
  <c r="J44" i="34674"/>
  <c r="L44" i="34674"/>
  <c r="C50" i="34674"/>
  <c r="E51" i="34674"/>
  <c r="H51" i="34674"/>
  <c r="H56" i="34674" s="1"/>
  <c r="H57" i="34674" s="1"/>
  <c r="J51" i="34674"/>
  <c r="L51" i="34674"/>
  <c r="L56" i="34674" s="1"/>
  <c r="L57" i="34674" s="1"/>
  <c r="N51" i="34674"/>
  <c r="E56" i="34674"/>
  <c r="E57" i="34674" s="1"/>
  <c r="J56" i="34674"/>
  <c r="J57" i="34674" s="1"/>
  <c r="J58" i="34674" s="1"/>
  <c r="N56" i="34674"/>
  <c r="N57" i="34674" s="1"/>
  <c r="H66" i="34674"/>
  <c r="H68" i="34674" s="1"/>
  <c r="H79" i="34674"/>
  <c r="J79" i="34674"/>
  <c r="C86" i="34674"/>
  <c r="B1" i="34675"/>
  <c r="M1" i="34675"/>
  <c r="M2" i="34675"/>
  <c r="E9" i="34675"/>
  <c r="H9" i="34675"/>
  <c r="J9" i="34675"/>
  <c r="L9" i="34675"/>
  <c r="N9" i="34675"/>
  <c r="E16" i="34675"/>
  <c r="H16" i="34675"/>
  <c r="J16" i="34675"/>
  <c r="L16" i="34675"/>
  <c r="N16" i="34675"/>
  <c r="C22" i="34675"/>
  <c r="C26" i="34675"/>
  <c r="E28" i="34675"/>
  <c r="E29" i="34675" s="1"/>
  <c r="E66" i="34675" s="1"/>
  <c r="E12" i="34675" s="1"/>
  <c r="E14" i="34675" s="1"/>
  <c r="H28" i="34675"/>
  <c r="H29" i="34675" s="1"/>
  <c r="J28" i="34675"/>
  <c r="J29" i="34675" s="1"/>
  <c r="L28" i="34675"/>
  <c r="N28" i="34675"/>
  <c r="N29" i="34675" s="1"/>
  <c r="L29" i="34675"/>
  <c r="C34" i="34675"/>
  <c r="C35" i="34675"/>
  <c r="I35" i="34675"/>
  <c r="K35" i="34675"/>
  <c r="M35" i="34675"/>
  <c r="O35" i="34675"/>
  <c r="E37" i="34675"/>
  <c r="E44" i="34675" s="1"/>
  <c r="H37" i="34675"/>
  <c r="H44" i="34675" s="1"/>
  <c r="J37" i="34675"/>
  <c r="L37" i="34675"/>
  <c r="N37" i="34675"/>
  <c r="N44" i="34675" s="1"/>
  <c r="C38" i="34675"/>
  <c r="J44" i="34675"/>
  <c r="L44" i="34675"/>
  <c r="C50" i="34675"/>
  <c r="E51" i="34675"/>
  <c r="E56" i="34675" s="1"/>
  <c r="E57" i="34675" s="1"/>
  <c r="H51" i="34675"/>
  <c r="J51" i="34675"/>
  <c r="J56" i="34675" s="1"/>
  <c r="J57" i="34675" s="1"/>
  <c r="L51" i="34675"/>
  <c r="N51" i="34675"/>
  <c r="N56" i="34675" s="1"/>
  <c r="N57" i="34675" s="1"/>
  <c r="H56" i="34675"/>
  <c r="H57" i="34675" s="1"/>
  <c r="L56" i="34675"/>
  <c r="L57" i="34675" s="1"/>
  <c r="N66" i="34675"/>
  <c r="N68" i="34675" s="1"/>
  <c r="H79" i="34675"/>
  <c r="J79" i="34675"/>
  <c r="C86" i="34675"/>
  <c r="B1" i="34661"/>
  <c r="M1" i="34661"/>
  <c r="M2" i="34661"/>
  <c r="E9" i="34661"/>
  <c r="H9" i="34661"/>
  <c r="J9" i="34661"/>
  <c r="L9" i="34661"/>
  <c r="N9" i="34661"/>
  <c r="E16" i="34661"/>
  <c r="H16" i="34661"/>
  <c r="J16" i="34661"/>
  <c r="L16" i="34661"/>
  <c r="N16" i="34661"/>
  <c r="C22" i="34661"/>
  <c r="C26" i="34661"/>
  <c r="E28" i="34661"/>
  <c r="H28" i="34661"/>
  <c r="H29" i="34661" s="1"/>
  <c r="J28" i="34661"/>
  <c r="L28" i="34661"/>
  <c r="L29" i="34661" s="1"/>
  <c r="L66" i="34661" s="1"/>
  <c r="L68" i="34661" s="1"/>
  <c r="N28" i="34661"/>
  <c r="N29" i="34661" s="1"/>
  <c r="E29" i="34661"/>
  <c r="J29" i="34661"/>
  <c r="C34" i="34661"/>
  <c r="C35" i="34661"/>
  <c r="E37" i="34661"/>
  <c r="E44" i="34661" s="1"/>
  <c r="H37" i="34661"/>
  <c r="J37" i="34661"/>
  <c r="L37" i="34661"/>
  <c r="L44" i="34661" s="1"/>
  <c r="N37" i="34661"/>
  <c r="C38" i="34661"/>
  <c r="H44" i="34661"/>
  <c r="J44" i="34661"/>
  <c r="N44" i="34661"/>
  <c r="C50" i="34661"/>
  <c r="E51" i="34661"/>
  <c r="H51" i="34661"/>
  <c r="H56" i="34661" s="1"/>
  <c r="H57" i="34661" s="1"/>
  <c r="J51" i="34661"/>
  <c r="L51" i="34661"/>
  <c r="L56" i="34661" s="1"/>
  <c r="L57" i="34661" s="1"/>
  <c r="N51" i="34661"/>
  <c r="N56" i="34661" s="1"/>
  <c r="N57" i="34661" s="1"/>
  <c r="E56" i="34661"/>
  <c r="E57" i="34661" s="1"/>
  <c r="J56" i="34661"/>
  <c r="J57" i="34661" s="1"/>
  <c r="H79" i="34661"/>
  <c r="J79" i="34661"/>
  <c r="C86" i="34661"/>
  <c r="B1" i="34676"/>
  <c r="M1" i="34676"/>
  <c r="M2" i="34676"/>
  <c r="E9" i="34676"/>
  <c r="H9" i="34676"/>
  <c r="J9" i="34676"/>
  <c r="L9" i="34676"/>
  <c r="N9" i="34676"/>
  <c r="E16" i="34676"/>
  <c r="H16" i="34676"/>
  <c r="J16" i="34676"/>
  <c r="L16" i="34676"/>
  <c r="N16" i="34676"/>
  <c r="C22" i="34676"/>
  <c r="C26" i="34676"/>
  <c r="E28" i="34676"/>
  <c r="E29" i="34676" s="1"/>
  <c r="H28" i="34676"/>
  <c r="J28" i="34676"/>
  <c r="J29" i="34676" s="1"/>
  <c r="J66" i="34676" s="1"/>
  <c r="L28" i="34676"/>
  <c r="N28" i="34676"/>
  <c r="N29" i="34676" s="1"/>
  <c r="N66" i="34676" s="1"/>
  <c r="N68" i="34676" s="1"/>
  <c r="H29" i="34676"/>
  <c r="L29" i="34676"/>
  <c r="C34" i="34676"/>
  <c r="C35" i="34676"/>
  <c r="E35" i="34676"/>
  <c r="E37" i="34676" s="1"/>
  <c r="E44" i="34676" s="1"/>
  <c r="I35" i="34676"/>
  <c r="K35" i="34676"/>
  <c r="M35" i="34676"/>
  <c r="O35" i="34676"/>
  <c r="H37" i="34676"/>
  <c r="H44" i="34676" s="1"/>
  <c r="H66" i="34676" s="1"/>
  <c r="H68" i="34676" s="1"/>
  <c r="J37" i="34676"/>
  <c r="J44" i="34676" s="1"/>
  <c r="L37" i="34676"/>
  <c r="N37" i="34676"/>
  <c r="C38" i="34676"/>
  <c r="L44" i="34676"/>
  <c r="L66" i="34676" s="1"/>
  <c r="L68" i="34676" s="1"/>
  <c r="N44" i="34676"/>
  <c r="C50" i="34676"/>
  <c r="E51" i="34676"/>
  <c r="H51" i="34676"/>
  <c r="H56" i="34676" s="1"/>
  <c r="H57" i="34676" s="1"/>
  <c r="J51" i="34676"/>
  <c r="L51" i="34676"/>
  <c r="L56" i="34676" s="1"/>
  <c r="N51" i="34676"/>
  <c r="E56" i="34676"/>
  <c r="E57" i="34676" s="1"/>
  <c r="J56" i="34676"/>
  <c r="J57" i="34676" s="1"/>
  <c r="N56" i="34676"/>
  <c r="N57" i="34676" s="1"/>
  <c r="L57" i="34676"/>
  <c r="L58" i="34676" s="1"/>
  <c r="H79" i="34676"/>
  <c r="J79" i="34676"/>
  <c r="C86" i="34676"/>
  <c r="B1" i="34677"/>
  <c r="M1" i="34677"/>
  <c r="M2" i="34677"/>
  <c r="E9" i="34677"/>
  <c r="H9" i="34677"/>
  <c r="J9" i="34677"/>
  <c r="L9" i="34677"/>
  <c r="N9" i="34677"/>
  <c r="E16" i="34677"/>
  <c r="H16" i="34677"/>
  <c r="J16" i="34677"/>
  <c r="L16" i="34677"/>
  <c r="N16" i="34677"/>
  <c r="C22" i="34677"/>
  <c r="C26" i="34677"/>
  <c r="E28" i="34677"/>
  <c r="E29" i="34677" s="1"/>
  <c r="H28" i="34677"/>
  <c r="J28" i="34677"/>
  <c r="J29" i="34677" s="1"/>
  <c r="L28" i="34677"/>
  <c r="N28" i="34677"/>
  <c r="N29" i="34677" s="1"/>
  <c r="H29" i="34677"/>
  <c r="H66" i="34677" s="1"/>
  <c r="H68" i="34677" s="1"/>
  <c r="L29" i="34677"/>
  <c r="L66" i="34677" s="1"/>
  <c r="L68" i="34677" s="1"/>
  <c r="C34" i="34677"/>
  <c r="C35" i="34677"/>
  <c r="E35" i="34677"/>
  <c r="E37" i="34677" s="1"/>
  <c r="E44" i="34677" s="1"/>
  <c r="I35" i="34677"/>
  <c r="K35" i="34677"/>
  <c r="M35" i="34677"/>
  <c r="O35" i="34677"/>
  <c r="H37" i="34677"/>
  <c r="J37" i="34677"/>
  <c r="J44" i="34677" s="1"/>
  <c r="L37" i="34677"/>
  <c r="L44" i="34677" s="1"/>
  <c r="N37" i="34677"/>
  <c r="N44" i="34677" s="1"/>
  <c r="C38" i="34677"/>
  <c r="H44" i="34677"/>
  <c r="C50" i="34677"/>
  <c r="E51" i="34677"/>
  <c r="E56" i="34677" s="1"/>
  <c r="E57" i="34677" s="1"/>
  <c r="H51" i="34677"/>
  <c r="H56" i="34677" s="1"/>
  <c r="H57" i="34677" s="1"/>
  <c r="J51" i="34677"/>
  <c r="L51" i="34677"/>
  <c r="L56" i="34677" s="1"/>
  <c r="L57" i="34677" s="1"/>
  <c r="N51" i="34677"/>
  <c r="J56" i="34677"/>
  <c r="J57" i="34677" s="1"/>
  <c r="N56" i="34677"/>
  <c r="N57" i="34677" s="1"/>
  <c r="H79" i="34677"/>
  <c r="J79" i="34677"/>
  <c r="C86" i="34677"/>
  <c r="B1" i="34678"/>
  <c r="M1" i="34678"/>
  <c r="M2" i="34678"/>
  <c r="E9" i="34678"/>
  <c r="H9" i="34678"/>
  <c r="J9" i="34678"/>
  <c r="L9" i="34678"/>
  <c r="N9" i="34678"/>
  <c r="E16" i="34678"/>
  <c r="H16" i="34678"/>
  <c r="J16" i="34678"/>
  <c r="L16" i="34678"/>
  <c r="N16" i="34678"/>
  <c r="C22" i="34678"/>
  <c r="C26" i="34678"/>
  <c r="E28" i="34678"/>
  <c r="E29" i="34678" s="1"/>
  <c r="H28" i="34678"/>
  <c r="J28" i="34678"/>
  <c r="J29" i="34678" s="1"/>
  <c r="L28" i="34678"/>
  <c r="N28" i="34678"/>
  <c r="N29" i="34678" s="1"/>
  <c r="H29" i="34678"/>
  <c r="L29" i="34678"/>
  <c r="C34" i="34678"/>
  <c r="C35" i="34678"/>
  <c r="E35" i="34678"/>
  <c r="E37" i="34678" s="1"/>
  <c r="E44" i="34678" s="1"/>
  <c r="I35" i="34678"/>
  <c r="K35" i="34678"/>
  <c r="M35" i="34678"/>
  <c r="O35" i="34678"/>
  <c r="H37" i="34678"/>
  <c r="H44" i="34678" s="1"/>
  <c r="J37" i="34678"/>
  <c r="L37" i="34678"/>
  <c r="N37" i="34678"/>
  <c r="N44" i="34678" s="1"/>
  <c r="C38" i="34678"/>
  <c r="J44" i="34678"/>
  <c r="L44" i="34678"/>
  <c r="C50" i="34678"/>
  <c r="E51" i="34678"/>
  <c r="H51" i="34678"/>
  <c r="H56" i="34678" s="1"/>
  <c r="J51" i="34678"/>
  <c r="J56" i="34678" s="1"/>
  <c r="J57" i="34678" s="1"/>
  <c r="L51" i="34678"/>
  <c r="L56" i="34678" s="1"/>
  <c r="L57" i="34678" s="1"/>
  <c r="N51" i="34678"/>
  <c r="E56" i="34678"/>
  <c r="E57" i="34678" s="1"/>
  <c r="N56" i="34678"/>
  <c r="N57" i="34678" s="1"/>
  <c r="H57" i="34678"/>
  <c r="H79" i="34678"/>
  <c r="J79" i="34678"/>
  <c r="C86" i="34678"/>
  <c r="B1" i="34679"/>
  <c r="C86" i="34679" s="1"/>
  <c r="M1" i="34679"/>
  <c r="M2" i="34679"/>
  <c r="E9" i="34679"/>
  <c r="H9" i="34679"/>
  <c r="J9" i="34679"/>
  <c r="L9" i="34679"/>
  <c r="N9" i="34679"/>
  <c r="E16" i="34679"/>
  <c r="H16" i="34679"/>
  <c r="J16" i="34679"/>
  <c r="L16" i="34679"/>
  <c r="N16" i="34679"/>
  <c r="C22" i="34679"/>
  <c r="C26" i="34679"/>
  <c r="E28" i="34679"/>
  <c r="E29" i="34679" s="1"/>
  <c r="H28" i="34679"/>
  <c r="H29" i="34679" s="1"/>
  <c r="H66" i="34679" s="1"/>
  <c r="H68" i="34679" s="1"/>
  <c r="J28" i="34679"/>
  <c r="J29" i="34679" s="1"/>
  <c r="L28" i="34679"/>
  <c r="N28" i="34679"/>
  <c r="N29" i="34679" s="1"/>
  <c r="L29" i="34679"/>
  <c r="C34" i="34679"/>
  <c r="C35" i="34679"/>
  <c r="E35" i="34679"/>
  <c r="I35" i="34679"/>
  <c r="K35" i="34679"/>
  <c r="M35" i="34679"/>
  <c r="O35" i="34679"/>
  <c r="E37" i="34679"/>
  <c r="E44" i="34679" s="1"/>
  <c r="E66" i="34679" s="1"/>
  <c r="E12" i="34679" s="1"/>
  <c r="E14" i="34679" s="1"/>
  <c r="H37" i="34679"/>
  <c r="H44" i="34679" s="1"/>
  <c r="J37" i="34679"/>
  <c r="L37" i="34679"/>
  <c r="N37" i="34679"/>
  <c r="C38" i="34679"/>
  <c r="J44" i="34679"/>
  <c r="L44" i="34679"/>
  <c r="N44" i="34679"/>
  <c r="J49" i="34679"/>
  <c r="J51" i="34679" s="1"/>
  <c r="J56" i="34679" s="1"/>
  <c r="J57" i="34679" s="1"/>
  <c r="C50" i="34679"/>
  <c r="E51" i="34679"/>
  <c r="E56" i="34679" s="1"/>
  <c r="E57" i="34679" s="1"/>
  <c r="H51" i="34679"/>
  <c r="L51" i="34679"/>
  <c r="N51" i="34679"/>
  <c r="N56" i="34679" s="1"/>
  <c r="N57" i="34679" s="1"/>
  <c r="H56" i="34679"/>
  <c r="L56" i="34679"/>
  <c r="L57" i="34679" s="1"/>
  <c r="H57" i="34679"/>
  <c r="N66" i="34679"/>
  <c r="N68" i="34679" s="1"/>
  <c r="H79" i="34679"/>
  <c r="J79" i="34679"/>
  <c r="B1" i="34680"/>
  <c r="C86" i="34680" s="1"/>
  <c r="M1" i="34680"/>
  <c r="M2" i="34680"/>
  <c r="E9" i="34680"/>
  <c r="H9" i="34680"/>
  <c r="J9" i="34680"/>
  <c r="L9" i="34680"/>
  <c r="N9" i="34680"/>
  <c r="E16" i="34680"/>
  <c r="H16" i="34680"/>
  <c r="J16" i="34680"/>
  <c r="L16" i="34680"/>
  <c r="N16" i="34680"/>
  <c r="C22" i="34680"/>
  <c r="C26" i="34680"/>
  <c r="E28" i="34680"/>
  <c r="H28" i="34680"/>
  <c r="H29" i="34680" s="1"/>
  <c r="J28" i="34680"/>
  <c r="J29" i="34680" s="1"/>
  <c r="L28" i="34680"/>
  <c r="L29" i="34680" s="1"/>
  <c r="L66" i="34680" s="1"/>
  <c r="L68" i="34680" s="1"/>
  <c r="N28" i="34680"/>
  <c r="E29" i="34680"/>
  <c r="N29" i="34680"/>
  <c r="C34" i="34680"/>
  <c r="C35" i="34680"/>
  <c r="E35" i="34680"/>
  <c r="I35" i="34680"/>
  <c r="K35" i="34680"/>
  <c r="M35" i="34680"/>
  <c r="O35" i="34680"/>
  <c r="E37" i="34680"/>
  <c r="E44" i="34680" s="1"/>
  <c r="E66" i="34680" s="1"/>
  <c r="E12" i="34680" s="1"/>
  <c r="E14" i="34680" s="1"/>
  <c r="H37" i="34680"/>
  <c r="H44" i="34680" s="1"/>
  <c r="J37" i="34680"/>
  <c r="L37" i="34680"/>
  <c r="N37" i="34680"/>
  <c r="N44" i="34680" s="1"/>
  <c r="C38" i="34680"/>
  <c r="J44" i="34680"/>
  <c r="L44" i="34680"/>
  <c r="H49" i="34680"/>
  <c r="J49" i="34680"/>
  <c r="J51" i="34680" s="1"/>
  <c r="J56" i="34680" s="1"/>
  <c r="J57" i="34680" s="1"/>
  <c r="L49" i="34680"/>
  <c r="N49" i="34680"/>
  <c r="C50" i="34680"/>
  <c r="E51" i="34680"/>
  <c r="E56" i="34680" s="1"/>
  <c r="E57" i="34680" s="1"/>
  <c r="E58" i="34680" s="1"/>
  <c r="H51" i="34680"/>
  <c r="L51" i="34680"/>
  <c r="N51" i="34680"/>
  <c r="N56" i="34680" s="1"/>
  <c r="N57" i="34680" s="1"/>
  <c r="H56" i="34680"/>
  <c r="H57" i="34680" s="1"/>
  <c r="L56" i="34680"/>
  <c r="L57" i="34680" s="1"/>
  <c r="L58" i="34680"/>
  <c r="H79" i="34680"/>
  <c r="J79" i="34680"/>
  <c r="B1" i="34681"/>
  <c r="C86" i="34681" s="1"/>
  <c r="M1" i="34681"/>
  <c r="M2" i="34681"/>
  <c r="E9" i="34681"/>
  <c r="H9" i="34681"/>
  <c r="J9" i="34681"/>
  <c r="L9" i="34681"/>
  <c r="N9" i="34681"/>
  <c r="E16" i="34681"/>
  <c r="H16" i="34681"/>
  <c r="J16" i="34681"/>
  <c r="L16" i="34681"/>
  <c r="N16" i="34681"/>
  <c r="C22" i="34681"/>
  <c r="C26" i="34681"/>
  <c r="E28" i="34681"/>
  <c r="H28" i="34681"/>
  <c r="H29" i="34681" s="1"/>
  <c r="J28" i="34681"/>
  <c r="L28" i="34681"/>
  <c r="L29" i="34681" s="1"/>
  <c r="L66" i="34681" s="1"/>
  <c r="L68" i="34681" s="1"/>
  <c r="N28" i="34681"/>
  <c r="E29" i="34681"/>
  <c r="J29" i="34681"/>
  <c r="N29" i="34681"/>
  <c r="C34" i="34681"/>
  <c r="C35" i="34681"/>
  <c r="I35" i="34681"/>
  <c r="K35" i="34681"/>
  <c r="M35" i="34681"/>
  <c r="O35" i="34681"/>
  <c r="E37" i="34681"/>
  <c r="E44" i="34681" s="1"/>
  <c r="H37" i="34681"/>
  <c r="J37" i="34681"/>
  <c r="L37" i="34681"/>
  <c r="L44" i="34681" s="1"/>
  <c r="N37" i="34681"/>
  <c r="C38" i="34681"/>
  <c r="H44" i="34681"/>
  <c r="J44" i="34681"/>
  <c r="N44" i="34681"/>
  <c r="J49" i="34681"/>
  <c r="C50" i="34681"/>
  <c r="E51" i="34681"/>
  <c r="E56" i="34681" s="1"/>
  <c r="E57" i="34681" s="1"/>
  <c r="E58" i="34681" s="1"/>
  <c r="H51" i="34681"/>
  <c r="J51" i="34681"/>
  <c r="J56" i="34681" s="1"/>
  <c r="J57" i="34681" s="1"/>
  <c r="L51" i="34681"/>
  <c r="N51" i="34681"/>
  <c r="N56" i="34681" s="1"/>
  <c r="H56" i="34681"/>
  <c r="L56" i="34681"/>
  <c r="L57" i="34681" s="1"/>
  <c r="H57" i="34681"/>
  <c r="N57" i="34681"/>
  <c r="N58" i="34681" s="1"/>
  <c r="E66" i="34681"/>
  <c r="E12" i="34681" s="1"/>
  <c r="E14" i="34681" s="1"/>
  <c r="N66" i="34681"/>
  <c r="N68" i="34681" s="1"/>
  <c r="H79" i="34681"/>
  <c r="J79" i="34681"/>
  <c r="B1" i="34662"/>
  <c r="M1" i="34662"/>
  <c r="M2" i="34662"/>
  <c r="E9" i="34662"/>
  <c r="H9" i="34662"/>
  <c r="J9" i="34662"/>
  <c r="L9" i="34662"/>
  <c r="N9" i="34662"/>
  <c r="E16" i="34662"/>
  <c r="H16" i="34662"/>
  <c r="J16" i="34662"/>
  <c r="L16" i="34662"/>
  <c r="N16" i="34662"/>
  <c r="C22" i="34662"/>
  <c r="C26" i="34662"/>
  <c r="E28" i="34662"/>
  <c r="E29" i="34662" s="1"/>
  <c r="H28" i="34662"/>
  <c r="H29" i="34662" s="1"/>
  <c r="H66" i="34662" s="1"/>
  <c r="H68" i="34662" s="1"/>
  <c r="J28" i="34662"/>
  <c r="J29" i="34662" s="1"/>
  <c r="J66" i="34662" s="1"/>
  <c r="J68" i="34662" s="1"/>
  <c r="L28" i="34662"/>
  <c r="L29" i="34662" s="1"/>
  <c r="N28" i="34662"/>
  <c r="N29" i="34662"/>
  <c r="C34" i="34662"/>
  <c r="C35" i="34662"/>
  <c r="E37" i="34662"/>
  <c r="E44" i="34662" s="1"/>
  <c r="H37" i="34662"/>
  <c r="J37" i="34662"/>
  <c r="L37" i="34662"/>
  <c r="L44" i="34662" s="1"/>
  <c r="N37" i="34662"/>
  <c r="N44" i="34662" s="1"/>
  <c r="C38" i="34662"/>
  <c r="H44" i="34662"/>
  <c r="J44" i="34662"/>
  <c r="C50" i="34662"/>
  <c r="E51" i="34662"/>
  <c r="E56" i="34662" s="1"/>
  <c r="E57" i="34662" s="1"/>
  <c r="H51" i="34662"/>
  <c r="H56" i="34662" s="1"/>
  <c r="H57" i="34662" s="1"/>
  <c r="H58" i="34662" s="1"/>
  <c r="J51" i="34662"/>
  <c r="L51" i="34662"/>
  <c r="L56" i="34662" s="1"/>
  <c r="L57" i="34662" s="1"/>
  <c r="N51" i="34662"/>
  <c r="N56" i="34662" s="1"/>
  <c r="N57" i="34662" s="1"/>
  <c r="J56" i="34662"/>
  <c r="J57" i="34662" s="1"/>
  <c r="H79" i="34662"/>
  <c r="J79" i="34662"/>
  <c r="C86" i="34662"/>
  <c r="B1" i="34682"/>
  <c r="C86" i="34682" s="1"/>
  <c r="M1" i="34682"/>
  <c r="M2" i="34682"/>
  <c r="E9" i="34682"/>
  <c r="H9" i="34682"/>
  <c r="J9" i="34682"/>
  <c r="L9" i="34682"/>
  <c r="N9" i="34682"/>
  <c r="E16" i="34682"/>
  <c r="H16" i="34682"/>
  <c r="J16" i="34682"/>
  <c r="L16" i="34682"/>
  <c r="N16" i="34682"/>
  <c r="C22" i="34682"/>
  <c r="C26" i="34682"/>
  <c r="E28" i="34682"/>
  <c r="E29" i="34682" s="1"/>
  <c r="H28" i="34682"/>
  <c r="J28" i="34682"/>
  <c r="J29" i="34682" s="1"/>
  <c r="J66" i="34682" s="1"/>
  <c r="J68" i="34682" s="1"/>
  <c r="L28" i="34682"/>
  <c r="L29" i="34682" s="1"/>
  <c r="L66" i="34682" s="1"/>
  <c r="L68" i="34682" s="1"/>
  <c r="N28" i="34682"/>
  <c r="H29" i="34682"/>
  <c r="N29" i="34682"/>
  <c r="C34" i="34682"/>
  <c r="C35" i="34682"/>
  <c r="E35" i="34682"/>
  <c r="I35" i="34682"/>
  <c r="K35" i="34682"/>
  <c r="M35" i="34682"/>
  <c r="O35" i="34682"/>
  <c r="E37" i="34682"/>
  <c r="E44" i="34682" s="1"/>
  <c r="E66" i="34682" s="1"/>
  <c r="E12" i="34682" s="1"/>
  <c r="E14" i="34682" s="1"/>
  <c r="H37" i="34682"/>
  <c r="H44" i="34682" s="1"/>
  <c r="J37" i="34682"/>
  <c r="J44" i="34682" s="1"/>
  <c r="L37" i="34682"/>
  <c r="N37" i="34682"/>
  <c r="C38" i="34682"/>
  <c r="L44" i="34682"/>
  <c r="N44" i="34682"/>
  <c r="H49" i="34682"/>
  <c r="C50" i="34682"/>
  <c r="E51" i="34682"/>
  <c r="E56" i="34682" s="1"/>
  <c r="E57" i="34682" s="1"/>
  <c r="H51" i="34682"/>
  <c r="H56" i="34682" s="1"/>
  <c r="H57" i="34682" s="1"/>
  <c r="J51" i="34682"/>
  <c r="J56" i="34682" s="1"/>
  <c r="L51" i="34682"/>
  <c r="N51" i="34682"/>
  <c r="N56" i="34682" s="1"/>
  <c r="N57" i="34682" s="1"/>
  <c r="L56" i="34682"/>
  <c r="L57" i="34682" s="1"/>
  <c r="J57" i="34682"/>
  <c r="J58" i="34682" s="1"/>
  <c r="H79" i="34682"/>
  <c r="J79" i="34682"/>
  <c r="B1" i="34683"/>
  <c r="M1" i="34683"/>
  <c r="M2" i="34683"/>
  <c r="E9" i="34683"/>
  <c r="H9" i="34683"/>
  <c r="J9" i="34683"/>
  <c r="L9" i="34683"/>
  <c r="N9" i="34683"/>
  <c r="E16" i="34683"/>
  <c r="H16" i="34683"/>
  <c r="J16" i="34683"/>
  <c r="L16" i="34683"/>
  <c r="N16" i="34683"/>
  <c r="C22" i="34683"/>
  <c r="C26" i="34683"/>
  <c r="E28" i="34683"/>
  <c r="E29" i="34683" s="1"/>
  <c r="H28" i="34683"/>
  <c r="H29" i="34683" s="1"/>
  <c r="H66" i="34683" s="1"/>
  <c r="H68" i="34683" s="1"/>
  <c r="J28" i="34683"/>
  <c r="L28" i="34683"/>
  <c r="L29" i="34683" s="1"/>
  <c r="N28" i="34683"/>
  <c r="N29" i="34683" s="1"/>
  <c r="J29" i="34683"/>
  <c r="J66" i="34683" s="1"/>
  <c r="J68" i="34683" s="1"/>
  <c r="C34" i="34683"/>
  <c r="C35" i="34683"/>
  <c r="I35" i="34683"/>
  <c r="K35" i="34683"/>
  <c r="M35" i="34683"/>
  <c r="O35" i="34683"/>
  <c r="E37" i="34683"/>
  <c r="E44" i="34683" s="1"/>
  <c r="H37" i="34683"/>
  <c r="J37" i="34683"/>
  <c r="L37" i="34683"/>
  <c r="L44" i="34683" s="1"/>
  <c r="N37" i="34683"/>
  <c r="N44" i="34683" s="1"/>
  <c r="C38" i="34683"/>
  <c r="H44" i="34683"/>
  <c r="J44" i="34683"/>
  <c r="C50" i="34683"/>
  <c r="E51" i="34683"/>
  <c r="E56" i="34683" s="1"/>
  <c r="E57" i="34683" s="1"/>
  <c r="H51" i="34683"/>
  <c r="J51" i="34683"/>
  <c r="L51" i="34683"/>
  <c r="L56" i="34683" s="1"/>
  <c r="L57" i="34683" s="1"/>
  <c r="N51" i="34683"/>
  <c r="N56" i="34683" s="1"/>
  <c r="N57" i="34683" s="1"/>
  <c r="H56" i="34683"/>
  <c r="J56" i="34683"/>
  <c r="J57" i="34683" s="1"/>
  <c r="H57" i="34683"/>
  <c r="L66" i="34683"/>
  <c r="L68" i="34683" s="1"/>
  <c r="H79" i="34683"/>
  <c r="J79" i="34683"/>
  <c r="C86" i="34683"/>
  <c r="B1" i="34663"/>
  <c r="C86" i="34663" s="1"/>
  <c r="M1" i="34663"/>
  <c r="M2" i="34663"/>
  <c r="E9" i="34663"/>
  <c r="H9" i="34663"/>
  <c r="J9" i="34663"/>
  <c r="L9" i="34663"/>
  <c r="N9" i="34663"/>
  <c r="E16" i="34663"/>
  <c r="H16" i="34663"/>
  <c r="J16" i="34663"/>
  <c r="L16" i="34663"/>
  <c r="N16" i="34663"/>
  <c r="C22" i="34663"/>
  <c r="C26" i="34663"/>
  <c r="E28" i="34663"/>
  <c r="H28" i="34663"/>
  <c r="J28" i="34663"/>
  <c r="J29" i="34663" s="1"/>
  <c r="J66" i="34663" s="1"/>
  <c r="J68" i="34663" s="1"/>
  <c r="L28" i="34663"/>
  <c r="L29" i="34663" s="1"/>
  <c r="L66" i="34663" s="1"/>
  <c r="L68" i="34663" s="1"/>
  <c r="N28" i="34663"/>
  <c r="N29" i="34663" s="1"/>
  <c r="E29" i="34663"/>
  <c r="H29" i="34663"/>
  <c r="C34" i="34663"/>
  <c r="C35" i="34663"/>
  <c r="J35" i="34663"/>
  <c r="E37" i="34663"/>
  <c r="H37" i="34663"/>
  <c r="H44" i="34663" s="1"/>
  <c r="J37" i="34663"/>
  <c r="J44" i="34663" s="1"/>
  <c r="L37" i="34663"/>
  <c r="N37" i="34663"/>
  <c r="C38" i="34663"/>
  <c r="E44" i="34663"/>
  <c r="L44" i="34663"/>
  <c r="N44" i="34663"/>
  <c r="C50" i="34663"/>
  <c r="J50" i="34663"/>
  <c r="E51" i="34663"/>
  <c r="E56" i="34663" s="1"/>
  <c r="E57" i="34663" s="1"/>
  <c r="H51" i="34663"/>
  <c r="H56" i="34663" s="1"/>
  <c r="H57" i="34663" s="1"/>
  <c r="J51" i="34663"/>
  <c r="J56" i="34663" s="1"/>
  <c r="L51" i="34663"/>
  <c r="N51" i="34663"/>
  <c r="N56" i="34663" s="1"/>
  <c r="N57" i="34663" s="1"/>
  <c r="L56" i="34663"/>
  <c r="L57" i="34663" s="1"/>
  <c r="J57" i="34663"/>
  <c r="J58" i="34663" s="1"/>
  <c r="E66" i="34663"/>
  <c r="E12" i="34663" s="1"/>
  <c r="E14" i="34663" s="1"/>
  <c r="N66" i="34663"/>
  <c r="N68" i="34663" s="1"/>
  <c r="H69" i="34663"/>
  <c r="J69" i="34663"/>
  <c r="H79" i="34663"/>
  <c r="J79" i="34663"/>
  <c r="B1" i="34664"/>
  <c r="M1" i="34664"/>
  <c r="M2" i="34664"/>
  <c r="E9" i="34664"/>
  <c r="H9" i="34664"/>
  <c r="J9" i="34664"/>
  <c r="L9" i="34664"/>
  <c r="N9" i="34664"/>
  <c r="E16" i="34664"/>
  <c r="H16" i="34664"/>
  <c r="J16" i="34664"/>
  <c r="L16" i="34664"/>
  <c r="N16" i="34664"/>
  <c r="C22" i="34664"/>
  <c r="C26" i="34664"/>
  <c r="E28" i="34664"/>
  <c r="H28" i="34664"/>
  <c r="H29" i="34664" s="1"/>
  <c r="J28" i="34664"/>
  <c r="J29" i="34664" s="1"/>
  <c r="L28" i="34664"/>
  <c r="N28" i="34664"/>
  <c r="E29" i="34664"/>
  <c r="L29" i="34664"/>
  <c r="N29" i="34664"/>
  <c r="N66" i="34664" s="1"/>
  <c r="N68" i="34664" s="1"/>
  <c r="C34" i="34664"/>
  <c r="C35" i="34664"/>
  <c r="H35" i="34664"/>
  <c r="J35" i="34664"/>
  <c r="J37" i="34664" s="1"/>
  <c r="L35" i="34664"/>
  <c r="L37" i="34664" s="1"/>
  <c r="L44" i="34664" s="1"/>
  <c r="L66" i="34664" s="1"/>
  <c r="L68" i="34664" s="1"/>
  <c r="M35" i="34664"/>
  <c r="N35" i="34664"/>
  <c r="E37" i="34664"/>
  <c r="E44" i="34664" s="1"/>
  <c r="H37" i="34664"/>
  <c r="H44" i="34664" s="1"/>
  <c r="N37" i="34664"/>
  <c r="N44" i="34664" s="1"/>
  <c r="C38" i="34664"/>
  <c r="J44" i="34664"/>
  <c r="C50" i="34664"/>
  <c r="H50" i="34664"/>
  <c r="H51" i="34664" s="1"/>
  <c r="J50" i="34664"/>
  <c r="E51" i="34664"/>
  <c r="E56" i="34664" s="1"/>
  <c r="E57" i="34664" s="1"/>
  <c r="J51" i="34664"/>
  <c r="J56" i="34664" s="1"/>
  <c r="J57" i="34664" s="1"/>
  <c r="L51" i="34664"/>
  <c r="L56" i="34664" s="1"/>
  <c r="L57" i="34664" s="1"/>
  <c r="N51" i="34664"/>
  <c r="H56" i="34664"/>
  <c r="H57" i="34664" s="1"/>
  <c r="N56" i="34664"/>
  <c r="N57" i="34664"/>
  <c r="L58" i="34664"/>
  <c r="J66" i="34664"/>
  <c r="J68" i="34664" s="1"/>
  <c r="H69" i="34664"/>
  <c r="H79" i="34664"/>
  <c r="J79" i="34664"/>
  <c r="C86" i="34664"/>
  <c r="B1" i="34665"/>
  <c r="C86" i="34665" s="1"/>
  <c r="M1" i="34665"/>
  <c r="M2" i="34665"/>
  <c r="E9" i="34665"/>
  <c r="H9" i="34665"/>
  <c r="J9" i="34665"/>
  <c r="L9" i="34665"/>
  <c r="N9" i="34665"/>
  <c r="E16" i="34665"/>
  <c r="H16" i="34665"/>
  <c r="J16" i="34665"/>
  <c r="L16" i="34665"/>
  <c r="N16" i="34665"/>
  <c r="C22" i="34665"/>
  <c r="C26" i="34665"/>
  <c r="E28" i="34665"/>
  <c r="H28" i="34665"/>
  <c r="J28" i="34665"/>
  <c r="J29" i="34665" s="1"/>
  <c r="J66" i="34665" s="1"/>
  <c r="L28" i="34665"/>
  <c r="N28" i="34665"/>
  <c r="N29" i="34665" s="1"/>
  <c r="H29" i="34665"/>
  <c r="L29" i="34665"/>
  <c r="C34" i="34665"/>
  <c r="C35" i="34665"/>
  <c r="E35" i="34665"/>
  <c r="H35" i="34665"/>
  <c r="J35" i="34665"/>
  <c r="K35" i="34665"/>
  <c r="L35" i="34665"/>
  <c r="M35" i="34665"/>
  <c r="N35" i="34665"/>
  <c r="O35" i="34665"/>
  <c r="E37" i="34665"/>
  <c r="H37" i="34665"/>
  <c r="H44" i="34665" s="1"/>
  <c r="J37" i="34665"/>
  <c r="L37" i="34665"/>
  <c r="L44" i="34665" s="1"/>
  <c r="N37" i="34665"/>
  <c r="C38" i="34665"/>
  <c r="H38" i="34665"/>
  <c r="E44" i="34665"/>
  <c r="J44" i="34665"/>
  <c r="N44" i="34665"/>
  <c r="J49" i="34665"/>
  <c r="J51" i="34665" s="1"/>
  <c r="J56" i="34665" s="1"/>
  <c r="J57" i="34665" s="1"/>
  <c r="C50" i="34665"/>
  <c r="E51" i="34665"/>
  <c r="H51" i="34665"/>
  <c r="H56" i="34665" s="1"/>
  <c r="H57" i="34665" s="1"/>
  <c r="L51" i="34665"/>
  <c r="L56" i="34665" s="1"/>
  <c r="N51" i="34665"/>
  <c r="E56" i="34665"/>
  <c r="E57" i="34665" s="1"/>
  <c r="N56" i="34665"/>
  <c r="N57" i="34665" s="1"/>
  <c r="L57" i="34665"/>
  <c r="H66" i="34665"/>
  <c r="H68" i="34665" s="1"/>
  <c r="H69" i="34665"/>
  <c r="H79" i="34665"/>
  <c r="J79" i="34665"/>
  <c r="B1" i="34666"/>
  <c r="C86" i="34666" s="1"/>
  <c r="M1" i="34666"/>
  <c r="M2" i="34666"/>
  <c r="E9" i="34666"/>
  <c r="H9" i="34666"/>
  <c r="J9" i="34666"/>
  <c r="L9" i="34666"/>
  <c r="N9" i="34666"/>
  <c r="E16" i="34666"/>
  <c r="H16" i="34666"/>
  <c r="J16" i="34666"/>
  <c r="L16" i="34666"/>
  <c r="N16" i="34666"/>
  <c r="C22" i="34666"/>
  <c r="C26" i="34666"/>
  <c r="E28" i="34666"/>
  <c r="E29" i="34666" s="1"/>
  <c r="E66" i="34666" s="1"/>
  <c r="E12" i="34666" s="1"/>
  <c r="E14" i="34666" s="1"/>
  <c r="H28" i="34666"/>
  <c r="H29" i="34666" s="1"/>
  <c r="J28" i="34666"/>
  <c r="L28" i="34666"/>
  <c r="L29" i="34666" s="1"/>
  <c r="N28" i="34666"/>
  <c r="N29" i="34666" s="1"/>
  <c r="J29" i="34666"/>
  <c r="C34" i="34666"/>
  <c r="C35" i="34666"/>
  <c r="H35" i="34666"/>
  <c r="I35" i="34666" s="1"/>
  <c r="K35" i="34666"/>
  <c r="L35" i="34666"/>
  <c r="L37" i="34666" s="1"/>
  <c r="L44" i="34666" s="1"/>
  <c r="M35" i="34666"/>
  <c r="N35" i="34666"/>
  <c r="N37" i="34666" s="1"/>
  <c r="N44" i="34666" s="1"/>
  <c r="O35" i="34666"/>
  <c r="H37" i="34666"/>
  <c r="H44" i="34666" s="1"/>
  <c r="H66" i="34666" s="1"/>
  <c r="H68" i="34666" s="1"/>
  <c r="J37" i="34666"/>
  <c r="J44" i="34666" s="1"/>
  <c r="C38" i="34666"/>
  <c r="E44" i="34666"/>
  <c r="C50" i="34666"/>
  <c r="E51" i="34666"/>
  <c r="H51" i="34666"/>
  <c r="H56" i="34666" s="1"/>
  <c r="H57" i="34666" s="1"/>
  <c r="J51" i="34666"/>
  <c r="J56" i="34666" s="1"/>
  <c r="J57" i="34666" s="1"/>
  <c r="L51" i="34666"/>
  <c r="L56" i="34666" s="1"/>
  <c r="L57" i="34666" s="1"/>
  <c r="N51" i="34666"/>
  <c r="E56" i="34666"/>
  <c r="E57" i="34666" s="1"/>
  <c r="N56" i="34666"/>
  <c r="N57" i="34666" s="1"/>
  <c r="H79" i="34666"/>
  <c r="J79" i="34666"/>
  <c r="G3" i="3"/>
  <c r="I6" i="3"/>
  <c r="D12" i="3"/>
  <c r="D13" i="3"/>
  <c r="D43" i="3" s="1"/>
  <c r="F14" i="3"/>
  <c r="H14" i="3"/>
  <c r="H28" i="3" s="1"/>
  <c r="J14" i="3"/>
  <c r="G19" i="3"/>
  <c r="J23" i="3"/>
  <c r="H24" i="3"/>
  <c r="F25" i="3"/>
  <c r="H25" i="3"/>
  <c r="F28" i="3"/>
  <c r="G33" i="3"/>
  <c r="D39" i="3"/>
  <c r="F39" i="3"/>
  <c r="D40" i="3"/>
  <c r="F40" i="3"/>
  <c r="D41" i="3"/>
  <c r="E41" i="3"/>
  <c r="F41" i="3"/>
  <c r="D42" i="3"/>
  <c r="E42" i="3"/>
  <c r="F42" i="3"/>
  <c r="E43" i="3"/>
  <c r="F43" i="3"/>
  <c r="H44" i="3"/>
  <c r="J44" i="3"/>
  <c r="D52" i="3"/>
  <c r="F52" i="3"/>
  <c r="F55" i="3" s="1"/>
  <c r="D53" i="3"/>
  <c r="F53" i="3"/>
  <c r="J53" i="3"/>
  <c r="D54" i="3"/>
  <c r="F54" i="3"/>
  <c r="H55" i="3"/>
  <c r="H58" i="3"/>
  <c r="G63" i="3"/>
  <c r="D69" i="3"/>
  <c r="F69" i="3"/>
  <c r="F74" i="3" s="1"/>
  <c r="F88" i="3" s="1"/>
  <c r="D70" i="3"/>
  <c r="F70" i="3"/>
  <c r="D71" i="3"/>
  <c r="E71" i="3"/>
  <c r="F71" i="3"/>
  <c r="D72" i="3"/>
  <c r="E72" i="3"/>
  <c r="F72" i="3"/>
  <c r="E73" i="3"/>
  <c r="F73" i="3"/>
  <c r="H74" i="3"/>
  <c r="J74" i="3"/>
  <c r="D82" i="3"/>
  <c r="F82" i="3"/>
  <c r="F85" i="3" s="1"/>
  <c r="D83" i="3"/>
  <c r="F83" i="3"/>
  <c r="J83" i="3"/>
  <c r="D84" i="3"/>
  <c r="F84" i="3"/>
  <c r="H85" i="3"/>
  <c r="H88" i="3"/>
  <c r="D2" i="1"/>
  <c r="B3" i="1"/>
  <c r="H6" i="1"/>
  <c r="J6" i="1" s="1"/>
  <c r="L6" i="1"/>
  <c r="M6" i="1"/>
  <c r="N6" i="1"/>
  <c r="H7" i="1"/>
  <c r="J7" i="1" s="1"/>
  <c r="L7" i="1"/>
  <c r="M7" i="1"/>
  <c r="N7" i="1"/>
  <c r="E8" i="1"/>
  <c r="F8" i="1"/>
  <c r="H8" i="1"/>
  <c r="H10" i="1"/>
  <c r="J10" i="1" s="1"/>
  <c r="L10" i="1"/>
  <c r="M10" i="1"/>
  <c r="N10" i="1"/>
  <c r="H11" i="1"/>
  <c r="J11" i="1" s="1"/>
  <c r="L11" i="1"/>
  <c r="M11" i="1"/>
  <c r="N11" i="1"/>
  <c r="E12" i="1"/>
  <c r="F12" i="1"/>
  <c r="H14" i="1"/>
  <c r="J14" i="1" s="1"/>
  <c r="L14" i="1"/>
  <c r="M14" i="1"/>
  <c r="N14" i="1"/>
  <c r="O14" i="1"/>
  <c r="D15" i="1"/>
  <c r="H15" i="1"/>
  <c r="J15" i="1"/>
  <c r="L15" i="1"/>
  <c r="M15" i="1"/>
  <c r="N15" i="1"/>
  <c r="O15" i="1"/>
  <c r="D16" i="1"/>
  <c r="H16" i="1"/>
  <c r="J16" i="1" s="1"/>
  <c r="L16" i="1"/>
  <c r="M16" i="1"/>
  <c r="N16" i="1"/>
  <c r="O16" i="1"/>
  <c r="E17" i="1"/>
  <c r="F17" i="1"/>
  <c r="H17" i="1"/>
  <c r="H19" i="1"/>
  <c r="J19" i="1"/>
  <c r="L19" i="1"/>
  <c r="M19" i="1"/>
  <c r="N19" i="1"/>
  <c r="H21" i="1"/>
  <c r="J21" i="1" s="1"/>
  <c r="L21" i="1"/>
  <c r="M21" i="1"/>
  <c r="N21" i="1"/>
  <c r="H22" i="1"/>
  <c r="J22" i="1"/>
  <c r="K22" i="1"/>
  <c r="K23" i="1" s="1"/>
  <c r="L22" i="1"/>
  <c r="M22" i="1"/>
  <c r="N22" i="1"/>
  <c r="H23" i="1"/>
  <c r="L23" i="1"/>
  <c r="M23" i="1"/>
  <c r="N23" i="1"/>
  <c r="H24" i="1"/>
  <c r="L24" i="1"/>
  <c r="M24" i="1"/>
  <c r="N24" i="1"/>
  <c r="E25" i="1"/>
  <c r="H25" i="1" s="1"/>
  <c r="F25" i="1"/>
  <c r="E27" i="1"/>
  <c r="D30" i="1"/>
  <c r="D37" i="1"/>
  <c r="D42" i="1" s="1"/>
  <c r="F37" i="1"/>
  <c r="E38" i="1"/>
  <c r="H38" i="1"/>
  <c r="D39" i="1"/>
  <c r="F39" i="1"/>
  <c r="D40" i="1"/>
  <c r="E40" i="1"/>
  <c r="F40" i="1"/>
  <c r="H40" i="1"/>
  <c r="H42" i="1" s="1"/>
  <c r="C42" i="1"/>
  <c r="E42" i="1"/>
  <c r="F2" i="2"/>
  <c r="C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H24" i="2"/>
  <c r="I29" i="2"/>
  <c r="I30" i="2"/>
  <c r="I31" i="2"/>
  <c r="I32" i="2"/>
  <c r="I33" i="2"/>
  <c r="H34" i="2"/>
  <c r="I34" i="2" s="1"/>
  <c r="I35" i="2"/>
  <c r="I36" i="2"/>
  <c r="I37" i="2"/>
  <c r="I38" i="2"/>
  <c r="I39" i="2"/>
  <c r="I40" i="2"/>
  <c r="I41" i="2"/>
  <c r="I42" i="2"/>
  <c r="I43" i="2"/>
  <c r="I44" i="2"/>
  <c r="I45" i="2"/>
  <c r="E49" i="2"/>
  <c r="F49" i="2"/>
  <c r="E51" i="2"/>
  <c r="F51" i="2"/>
  <c r="G51" i="2"/>
  <c r="E53" i="2"/>
  <c r="F55" i="2"/>
  <c r="E67" i="2"/>
  <c r="E58" i="34664" l="1"/>
  <c r="J68" i="34665"/>
  <c r="J58" i="34665"/>
  <c r="J58" i="34680"/>
  <c r="E58" i="34662"/>
  <c r="E58" i="34677"/>
  <c r="J58" i="34666"/>
  <c r="I19" i="3"/>
  <c r="G36" i="3"/>
  <c r="H58" i="34664"/>
  <c r="H58" i="34680"/>
  <c r="E58" i="34679"/>
  <c r="K24" i="1"/>
  <c r="J24" i="1" s="1"/>
  <c r="J23" i="1"/>
  <c r="F44" i="3"/>
  <c r="F58" i="3" s="1"/>
  <c r="E58" i="34666"/>
  <c r="L58" i="34665"/>
  <c r="N66" i="34665"/>
  <c r="N68" i="34665" s="1"/>
  <c r="E58" i="34663"/>
  <c r="L58" i="34683"/>
  <c r="E66" i="34683"/>
  <c r="L58" i="34682"/>
  <c r="H66" i="34682"/>
  <c r="N58" i="34666"/>
  <c r="H66" i="34663"/>
  <c r="H68" i="34663" s="1"/>
  <c r="H12" i="1"/>
  <c r="F27" i="1"/>
  <c r="H66" i="34664"/>
  <c r="H68" i="34664" s="1"/>
  <c r="N58" i="34682"/>
  <c r="L66" i="34662"/>
  <c r="L68" i="34662" s="1"/>
  <c r="H58" i="34679"/>
  <c r="H58" i="34677"/>
  <c r="J58" i="34664"/>
  <c r="F53" i="2"/>
  <c r="G49" i="2"/>
  <c r="G53" i="2" s="1"/>
  <c r="L58" i="34663"/>
  <c r="L58" i="34681"/>
  <c r="H66" i="34678"/>
  <c r="H68" i="34678" s="1"/>
  <c r="H58" i="34666"/>
  <c r="J66" i="34666"/>
  <c r="J68" i="34666" s="1"/>
  <c r="N58" i="34664"/>
  <c r="N58" i="34663"/>
  <c r="H58" i="34683"/>
  <c r="N66" i="34683"/>
  <c r="N66" i="34682"/>
  <c r="N68" i="34682" s="1"/>
  <c r="E66" i="34662"/>
  <c r="E12" i="34662" s="1"/>
  <c r="E14" i="34662" s="1"/>
  <c r="J66" i="34681"/>
  <c r="J68" i="34681" s="1"/>
  <c r="N66" i="34680"/>
  <c r="N68" i="34680" s="1"/>
  <c r="J66" i="34680"/>
  <c r="J68" i="34680" s="1"/>
  <c r="N58" i="34679"/>
  <c r="L58" i="34674"/>
  <c r="H27" i="1"/>
  <c r="E66" i="34665"/>
  <c r="E12" i="34665" s="1"/>
  <c r="E14" i="34665" s="1"/>
  <c r="N66" i="34666"/>
  <c r="N68" i="34666" s="1"/>
  <c r="H58" i="34665"/>
  <c r="L66" i="34665"/>
  <c r="L68" i="34665" s="1"/>
  <c r="E66" i="34664"/>
  <c r="J58" i="34683"/>
  <c r="E58" i="34682"/>
  <c r="J58" i="34662"/>
  <c r="J66" i="34679"/>
  <c r="J68" i="34679" s="1"/>
  <c r="E12" i="34673"/>
  <c r="E14" i="34673" s="1"/>
  <c r="E58" i="34673"/>
  <c r="F42" i="1"/>
  <c r="L66" i="34666"/>
  <c r="L68" i="34666" s="1"/>
  <c r="N66" i="34662"/>
  <c r="J68" i="34676"/>
  <c r="J58" i="34676"/>
  <c r="N58" i="34661"/>
  <c r="H66" i="34681"/>
  <c r="L66" i="34679"/>
  <c r="H58" i="34671"/>
  <c r="N66" i="34678"/>
  <c r="L58" i="34677"/>
  <c r="E66" i="34677"/>
  <c r="E12" i="34677" s="1"/>
  <c r="E14" i="34677" s="1"/>
  <c r="N58" i="34676"/>
  <c r="L58" i="34661"/>
  <c r="J66" i="34661"/>
  <c r="J68" i="34661" s="1"/>
  <c r="J66" i="34675"/>
  <c r="J68" i="34675" s="1"/>
  <c r="H58" i="34674"/>
  <c r="E66" i="34672"/>
  <c r="E12" i="34672" s="1"/>
  <c r="E14" i="34672" s="1"/>
  <c r="J58" i="34671"/>
  <c r="N66" i="34671"/>
  <c r="N68" i="34671" s="1"/>
  <c r="H58" i="34670"/>
  <c r="N66" i="34670"/>
  <c r="N68" i="34670" s="1"/>
  <c r="E66" i="34670"/>
  <c r="E12" i="34670" s="1"/>
  <c r="E14" i="34670" s="1"/>
  <c r="N58" i="34669"/>
  <c r="N37" i="34667"/>
  <c r="N44" i="34667" s="1"/>
  <c r="O35" i="34667"/>
  <c r="E66" i="34661"/>
  <c r="N58" i="34675"/>
  <c r="H66" i="34675"/>
  <c r="L66" i="34674"/>
  <c r="L68" i="34674" s="1"/>
  <c r="J66" i="34673"/>
  <c r="J68" i="34673" s="1"/>
  <c r="H58" i="34672"/>
  <c r="E66" i="34667"/>
  <c r="E12" i="34667" s="1"/>
  <c r="E14" i="34667" s="1"/>
  <c r="J66" i="34678"/>
  <c r="J68" i="34678" s="1"/>
  <c r="E58" i="34676"/>
  <c r="N66" i="34661"/>
  <c r="N68" i="34661" s="1"/>
  <c r="N58" i="34674"/>
  <c r="J66" i="34671"/>
  <c r="J68" i="34671" s="1"/>
  <c r="J58" i="34660"/>
  <c r="L58" i="34673"/>
  <c r="N58" i="34672"/>
  <c r="L58" i="34671"/>
  <c r="N58" i="34670"/>
  <c r="N58" i="34659"/>
  <c r="N68" i="34659"/>
  <c r="D73" i="3"/>
  <c r="H66" i="34680"/>
  <c r="H68" i="34680" s="1"/>
  <c r="E66" i="34678"/>
  <c r="E12" i="34678" s="1"/>
  <c r="E14" i="34678" s="1"/>
  <c r="N66" i="34677"/>
  <c r="E58" i="34674"/>
  <c r="N66" i="34672"/>
  <c r="N68" i="34672" s="1"/>
  <c r="J58" i="34669"/>
  <c r="E58" i="34669"/>
  <c r="L37" i="34669"/>
  <c r="L44" i="34669" s="1"/>
  <c r="L66" i="34669" s="1"/>
  <c r="L68" i="34669" s="1"/>
  <c r="M35" i="34669"/>
  <c r="E58" i="34660"/>
  <c r="J66" i="34659"/>
  <c r="J68" i="34659" s="1"/>
  <c r="L66" i="34659"/>
  <c r="L68" i="34659" s="1"/>
  <c r="E66" i="34676"/>
  <c r="E12" i="34676" s="1"/>
  <c r="E14" i="34676" s="1"/>
  <c r="H66" i="34661"/>
  <c r="H68" i="34661" s="1"/>
  <c r="E58" i="34675"/>
  <c r="L66" i="34675"/>
  <c r="L68" i="34675" s="1"/>
  <c r="E58" i="34672"/>
  <c r="L66" i="34672"/>
  <c r="L68" i="34672" s="1"/>
  <c r="J37" i="34667"/>
  <c r="J44" i="34667" s="1"/>
  <c r="J66" i="34667" s="1"/>
  <c r="J68" i="34667" s="1"/>
  <c r="H66" i="34667"/>
  <c r="H68" i="34667" s="1"/>
  <c r="H58" i="34678"/>
  <c r="L66" i="34678"/>
  <c r="L68" i="34678" s="1"/>
  <c r="J66" i="34677"/>
  <c r="J68" i="34677" s="1"/>
  <c r="H58" i="34676"/>
  <c r="H66" i="34673"/>
  <c r="H68" i="34673" s="1"/>
  <c r="E58" i="34671"/>
  <c r="I35" i="34669"/>
  <c r="H37" i="34669"/>
  <c r="H44" i="34669" s="1"/>
  <c r="H66" i="34669" s="1"/>
  <c r="J58" i="34667"/>
  <c r="N66" i="34667"/>
  <c r="N68" i="34667" s="1"/>
  <c r="H66" i="34660"/>
  <c r="H68" i="34660" s="1"/>
  <c r="E58" i="34659"/>
  <c r="H66" i="34659"/>
  <c r="M35" i="34667"/>
  <c r="H68" i="34669" l="1"/>
  <c r="H58" i="34669"/>
  <c r="J58" i="34659"/>
  <c r="N68" i="34677"/>
  <c r="N58" i="34677"/>
  <c r="N58" i="34667"/>
  <c r="L58" i="34675"/>
  <c r="E12" i="34664"/>
  <c r="E68" i="34664"/>
  <c r="J58" i="34678"/>
  <c r="L58" i="34659"/>
  <c r="L68" i="34679"/>
  <c r="L58" i="34679"/>
  <c r="N58" i="34680"/>
  <c r="L58" i="34662"/>
  <c r="L58" i="34666"/>
  <c r="E12" i="34661"/>
  <c r="E14" i="34661" s="1"/>
  <c r="E58" i="34661"/>
  <c r="N58" i="34665"/>
  <c r="J58" i="34675"/>
  <c r="H58" i="34661"/>
  <c r="G49" i="3"/>
  <c r="I49" i="3" s="1"/>
  <c r="I36" i="3"/>
  <c r="G66" i="3" s="1"/>
  <c r="H58" i="34663"/>
  <c r="H68" i="34681"/>
  <c r="H58" i="34681"/>
  <c r="H68" i="34682"/>
  <c r="H58" i="34682"/>
  <c r="J58" i="34661"/>
  <c r="L58" i="34669"/>
  <c r="E58" i="34667"/>
  <c r="J58" i="34673"/>
  <c r="N68" i="34678"/>
  <c r="N58" i="34678"/>
  <c r="N58" i="34671"/>
  <c r="E58" i="34683"/>
  <c r="E12" i="34683"/>
  <c r="E14" i="34683" s="1"/>
  <c r="J58" i="34677"/>
  <c r="H68" i="34659"/>
  <c r="H58" i="34659"/>
  <c r="E58" i="34670"/>
  <c r="H58" i="34667"/>
  <c r="H68" i="34675"/>
  <c r="H58" i="34675"/>
  <c r="E58" i="34678"/>
  <c r="J58" i="34679"/>
  <c r="J58" i="34681"/>
  <c r="H58" i="34673"/>
  <c r="E58" i="34665"/>
  <c r="H58" i="34660"/>
  <c r="N68" i="34662"/>
  <c r="N58" i="34662"/>
  <c r="L58" i="34672"/>
  <c r="N68" i="34683"/>
  <c r="N58" i="34683"/>
  <c r="L58" i="34678"/>
  <c r="G79" i="3" l="1"/>
  <c r="I79" i="3" s="1"/>
  <c r="I66" i="3"/>
  <c r="E14" i="34664"/>
  <c r="E69" i="34664"/>
</calcChain>
</file>

<file path=xl/sharedStrings.xml><?xml version="1.0" encoding="utf-8"?>
<sst xmlns="http://schemas.openxmlformats.org/spreadsheetml/2006/main" count="2984" uniqueCount="199">
  <si>
    <t>VNG</t>
  </si>
  <si>
    <t>GSS</t>
  </si>
  <si>
    <t>FSS</t>
  </si>
  <si>
    <t>WSS</t>
  </si>
  <si>
    <t>*</t>
  </si>
  <si>
    <t xml:space="preserve">  DTH</t>
  </si>
  <si>
    <t>SUPPLY:</t>
  </si>
  <si>
    <t>AVAILABLE</t>
  </si>
  <si>
    <t xml:space="preserve">TRANSCO </t>
  </si>
  <si>
    <t xml:space="preserve"> TOTAL Emporia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</si>
  <si>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</si>
  <si>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</si>
  <si>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</si>
  <si>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</si>
  <si>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</si>
  <si>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</si>
  <si>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Cove Point LNG</t>
  </si>
  <si>
    <t>TOTAL</t>
  </si>
  <si>
    <t xml:space="preserve">  FTNN</t>
  </si>
  <si>
    <t>Subtotal Cannot exceed 46,075 Apr - Oct</t>
  </si>
  <si>
    <t>CNG</t>
  </si>
  <si>
    <t>Cove Point</t>
  </si>
  <si>
    <t>TOTAL Quantico</t>
  </si>
  <si>
    <t xml:space="preserve">  NORTHERN</t>
  </si>
  <si>
    <t xml:space="preserve">  SOUTHERN</t>
  </si>
  <si>
    <t>Projected  Storage  Summary</t>
  </si>
  <si>
    <t>Max Inj.</t>
  </si>
  <si>
    <t>Max W/D</t>
  </si>
  <si>
    <t>LNG</t>
  </si>
  <si>
    <t>Propane</t>
  </si>
  <si>
    <t>VNG Daily Setup</t>
  </si>
  <si>
    <t>Forecasted Demand</t>
  </si>
  <si>
    <t>High Burn Contingenies</t>
  </si>
  <si>
    <t>Low Burn Contingenies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</si>
  <si>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</si>
  <si>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</si>
  <si>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</si>
  <si>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</si>
  <si>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</si>
  <si>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</si>
  <si>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</si>
  <si>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</si>
  <si>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</si>
  <si>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</si>
  <si>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</si>
  <si>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ENA Total VNG Deliveries</t>
  </si>
  <si>
    <t>Friday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</si>
  <si>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</si>
  <si>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</si>
  <si>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</si>
  <si>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</si>
  <si>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</si>
  <si>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</si>
  <si>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</si>
  <si>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</si>
  <si>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</si>
  <si>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</si>
  <si>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</si>
  <si>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</si>
  <si>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 xml:space="preserve"> TOTAL City Gate (.01%)</t>
  </si>
  <si>
    <t xml:space="preserve">  FS  Swing - Williams</t>
  </si>
  <si>
    <t>Norfolk, VA Forecast</t>
  </si>
  <si>
    <t>ACTUAL</t>
  </si>
  <si>
    <t>Total System Sendout</t>
  </si>
  <si>
    <t>Long / (Short) at Gate</t>
  </si>
  <si>
    <t xml:space="preserve">ENA Pipeline Citygate Nominations </t>
  </si>
  <si>
    <t>ENA Pipeline Citygate Nominations</t>
  </si>
  <si>
    <t>Difference: [ -Short] ,[+Long]</t>
  </si>
  <si>
    <t xml:space="preserve">  FT - Enron</t>
  </si>
  <si>
    <t>Saturday</t>
  </si>
  <si>
    <t xml:space="preserve">  ESS-INJ (598)</t>
  </si>
  <si>
    <t xml:space="preserve">  GSS-INJ (851)</t>
  </si>
  <si>
    <t xml:space="preserve">  LNG  X-133 (3,244)</t>
  </si>
  <si>
    <t>Transport Summary</t>
  </si>
  <si>
    <t>VIRGINIA NATURAL GAS</t>
  </si>
  <si>
    <t>Northern VNG System</t>
  </si>
  <si>
    <t>Flowing</t>
  </si>
  <si>
    <t>Available</t>
  </si>
  <si>
    <t>Contract</t>
  </si>
  <si>
    <t>Receipt</t>
  </si>
  <si>
    <t>Delivery</t>
  </si>
  <si>
    <t>MDTQ</t>
  </si>
  <si>
    <t>FT-A</t>
  </si>
  <si>
    <t>Zn 0</t>
  </si>
  <si>
    <t>S Webster</t>
  </si>
  <si>
    <t>Zn 1</t>
  </si>
  <si>
    <t>FT</t>
  </si>
  <si>
    <t>Zn 2</t>
  </si>
  <si>
    <t>Leidy</t>
  </si>
  <si>
    <t>FTNN</t>
  </si>
  <si>
    <t>Storage</t>
  </si>
  <si>
    <t>Oakford</t>
  </si>
  <si>
    <t>Cornwell</t>
  </si>
  <si>
    <t>Petersburg</t>
  </si>
  <si>
    <t>Hastings</t>
  </si>
  <si>
    <t>Finnefrock</t>
  </si>
  <si>
    <t>Primary</t>
  </si>
  <si>
    <t>Southern VNG System</t>
  </si>
  <si>
    <t>Lebanon</t>
  </si>
  <si>
    <t>Cobb</t>
  </si>
  <si>
    <t>Gulf</t>
  </si>
  <si>
    <t>FTS-1</t>
  </si>
  <si>
    <t>Rayne</t>
  </si>
  <si>
    <t>Leach</t>
  </si>
  <si>
    <t>Boswell</t>
  </si>
  <si>
    <t>Emporia</t>
  </si>
  <si>
    <t>FS</t>
  </si>
  <si>
    <t>ESS</t>
  </si>
  <si>
    <t>TGP</t>
  </si>
  <si>
    <t>Total Storage Delivered to VNG:</t>
  </si>
  <si>
    <t>Total Transport Delivered to VNG:</t>
  </si>
  <si>
    <t>Total Gated Deliveries to VNG:</t>
  </si>
  <si>
    <t>Max</t>
  </si>
  <si>
    <t>Current</t>
  </si>
  <si>
    <t>Gas Day:</t>
  </si>
  <si>
    <t>ENA / VNG</t>
  </si>
  <si>
    <t>Zn 3</t>
  </si>
  <si>
    <t xml:space="preserve">  EndUser Transport to VNG</t>
  </si>
  <si>
    <t>DOMINION</t>
  </si>
  <si>
    <t>Tco to Transco @ Boswell</t>
  </si>
  <si>
    <t>PROPANE   (12.63 gal = 1 dth)</t>
  </si>
  <si>
    <t>/dth</t>
  </si>
  <si>
    <t>12.63=1</t>
  </si>
  <si>
    <t>dth</t>
  </si>
  <si>
    <t>Both K#'s</t>
  </si>
  <si>
    <t xml:space="preserve">  WSS - INJ  (4,025)</t>
  </si>
  <si>
    <t xml:space="preserve">  CVA Transport to VNG</t>
  </si>
  <si>
    <t>Leach / Pool</t>
  </si>
  <si>
    <t>S Webster/Pool</t>
  </si>
  <si>
    <t>ON</t>
  </si>
  <si>
    <t>INTERRUPTIBLE VOLUME / STATUS</t>
  </si>
  <si>
    <t>Alliance Transport to VNG</t>
  </si>
  <si>
    <t>K# 100007 MDQ:</t>
  </si>
  <si>
    <t>K#100007 FLOWING VOL</t>
  </si>
  <si>
    <t>FIRM CUSTOMER VOLUME</t>
  </si>
  <si>
    <t>VNG TRADING POSITION FOR:</t>
  </si>
  <si>
    <t>POOL</t>
  </si>
  <si>
    <t>GULF</t>
  </si>
  <si>
    <t>M/L</t>
  </si>
  <si>
    <t>SP</t>
  </si>
  <si>
    <t>TENNESSEE</t>
  </si>
  <si>
    <t>Z0</t>
  </si>
  <si>
    <t>Z1-500</t>
  </si>
  <si>
    <t>Z1-800</t>
  </si>
  <si>
    <t>TRANSCO</t>
  </si>
  <si>
    <t>Z1-30</t>
  </si>
  <si>
    <t>Z2-45</t>
  </si>
  <si>
    <t>Z3-65</t>
  </si>
  <si>
    <t>Z4-85</t>
  </si>
  <si>
    <t>Zn 1-500</t>
  </si>
  <si>
    <t>Zn 1-800</t>
  </si>
  <si>
    <t>Tco</t>
  </si>
  <si>
    <t>PIPE</t>
  </si>
  <si>
    <t>POINT</t>
  </si>
  <si>
    <t>LONG / (SHORT)</t>
  </si>
  <si>
    <t>Pipeline</t>
  </si>
  <si>
    <t>Total Transport - All Pipes</t>
  </si>
  <si>
    <t>Tennessee</t>
  </si>
  <si>
    <t>Columbia Gulf</t>
  </si>
  <si>
    <t>VNG FORECAST :</t>
  </si>
  <si>
    <t>Daily Trading Setup - VNG Desk.xls</t>
  </si>
  <si>
    <t>MaxTCO</t>
  </si>
  <si>
    <t>Min CNG</t>
  </si>
  <si>
    <t>MaxCNG</t>
  </si>
  <si>
    <t>Min TCO</t>
  </si>
  <si>
    <t>SENDOUT VOLUME (Less Enuser and FS Supply) :</t>
  </si>
  <si>
    <t>Oakford/Pool</t>
  </si>
  <si>
    <t>Purchase</t>
  </si>
  <si>
    <t>Delivered</t>
  </si>
  <si>
    <t>Fuel</t>
  </si>
  <si>
    <t>Zn 3 CNG</t>
  </si>
  <si>
    <t>Zn 5 Emporia</t>
  </si>
  <si>
    <t>Remaining</t>
  </si>
  <si>
    <t>Sunday</t>
  </si>
  <si>
    <t>Alliance</t>
  </si>
  <si>
    <t>Tier 2 = 101,852</t>
  </si>
  <si>
    <t>Tier 1 = 10,958</t>
  </si>
  <si>
    <t>Tier 3 = 45,095</t>
  </si>
  <si>
    <t>Storage Fill (TCO)</t>
  </si>
  <si>
    <t>Storage Fill (CNG)</t>
  </si>
  <si>
    <t>Tuesday</t>
  </si>
  <si>
    <t>Wednesday</t>
  </si>
  <si>
    <t>Thursday</t>
  </si>
  <si>
    <t xml:space="preserve">Note: </t>
  </si>
  <si>
    <t>Note:</t>
  </si>
  <si>
    <t>Position Manager (CNG)</t>
  </si>
  <si>
    <t>Position Manager (TCO)</t>
  </si>
  <si>
    <t>Position Manager (TRCO)</t>
  </si>
  <si>
    <t>Zn 4</t>
  </si>
  <si>
    <t xml:space="preserve">  GSS            (19,735) </t>
  </si>
  <si>
    <t>Mondau</t>
  </si>
  <si>
    <t>Monday</t>
  </si>
  <si>
    <t xml:space="preserve">      SST - FSS         (28639)</t>
  </si>
  <si>
    <t xml:space="preserve">      SST - FSS         (28,639)</t>
  </si>
  <si>
    <t>Commodity</t>
  </si>
  <si>
    <t>aca</t>
  </si>
  <si>
    <t>gri</t>
  </si>
  <si>
    <t>great plains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</si>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</sst>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\ AM/PM"/>
    <numFmt numFmtId="165" formatCode="0_);[Red]\(0\)"/>
    <numFmt numFmtId="168" formatCode="m/d/yy\ h:mm\ AM/PM"/>
    <numFmt numFmtId="169" formatCode="0.0000%"/>
    <numFmt numFmtId="171" formatCode="&quot;$&quot;#,##0.0000"/>
  </numFmts>
  <fonts count="40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b/>
      <sz val="12"/>
      <color indexed="9"/>
      <name val="Arial MT"/>
    </font>
    <font>
      <sz val="8"/>
      <name val="Arial"/>
    </font>
    <font>
      <b/>
      <sz val="8"/>
      <name val="Arial MT"/>
    </font>
    <font>
      <sz val="12"/>
      <color indexed="10"/>
      <name val="Arial MT"/>
    </font>
    <font>
      <sz val="12"/>
      <color indexed="12"/>
      <name val="Arial MT"/>
    </font>
    <font>
      <b/>
      <sz val="12"/>
      <color indexed="10"/>
      <name val="Arial MT"/>
    </font>
    <font>
      <b/>
      <sz val="10"/>
      <color indexed="10"/>
      <name val="Arial MT"/>
    </font>
    <font>
      <b/>
      <sz val="10"/>
      <name val="Arial MT"/>
    </font>
    <font>
      <b/>
      <sz val="12"/>
      <color indexed="12"/>
      <name val="Arial MT"/>
    </font>
    <font>
      <i/>
      <sz val="12"/>
      <name val="Arial"/>
      <family val="2"/>
    </font>
    <font>
      <sz val="8"/>
      <color indexed="22"/>
      <name val="Arial MT"/>
    </font>
    <font>
      <sz val="12"/>
      <color indexed="22"/>
      <name val="Arial MT"/>
    </font>
    <font>
      <b/>
      <sz val="14"/>
      <name val="Arial MT"/>
    </font>
    <font>
      <sz val="10"/>
      <name val="Arial"/>
    </font>
    <font>
      <sz val="8"/>
      <name val="Arial MT"/>
    </font>
    <font>
      <sz val="10"/>
      <color indexed="12"/>
      <name val="Arial MT"/>
    </font>
    <font>
      <sz val="9"/>
      <name val="Arial MT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 MT"/>
    </font>
    <font>
      <b/>
      <i/>
      <sz val="12"/>
      <name val="Tahoma"/>
      <family val="2"/>
    </font>
    <font>
      <b/>
      <u/>
      <sz val="12"/>
      <color indexed="10"/>
      <name val="Arial"/>
      <family val="2"/>
    </font>
    <font>
      <b/>
      <i/>
      <sz val="12"/>
      <color indexed="22"/>
      <name val="Arial MT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lightTrellis"/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3">
    <xf numFmtId="3" fontId="0" fillId="0" borderId="0"/>
    <xf numFmtId="0" fontId="30" fillId="0" borderId="0"/>
    <xf numFmtId="0" fontId="1" fillId="0" borderId="0"/>
  </cellStyleXfs>
  <cellXfs count="482">
    <xf numFmtId="0" fontId="2" fillId="0" borderId="0" xfId="0" applyNumberFormat="1" applyFont="1" applyAlignment="1" applyProtection="1">
      <protection locked="0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Continuous"/>
    </xf>
    <xf numFmtId="0" fontId="1" fillId="0" borderId="0" xfId="2" applyNumberFormat="1" applyFont="1" applyAlignment="1"/>
    <xf numFmtId="1" fontId="1" fillId="0" borderId="0" xfId="2" applyNumberFormat="1" applyFont="1" applyAlignment="1"/>
    <xf numFmtId="0" fontId="2" fillId="0" borderId="0" xfId="2" applyNumberFormat="1" applyFont="1" applyAlignment="1">
      <alignment horizontal="centerContinuous"/>
    </xf>
    <xf numFmtId="0" fontId="1" fillId="0" borderId="0" xfId="2" applyFont="1" applyAlignment="1"/>
    <xf numFmtId="16" fontId="1" fillId="0" borderId="0" xfId="2" applyNumberFormat="1" applyFont="1" applyAlignment="1"/>
    <xf numFmtId="164" fontId="1" fillId="0" borderId="0" xfId="2" applyNumberFormat="1" applyFont="1" applyAlignment="1"/>
    <xf numFmtId="3" fontId="1" fillId="0" borderId="0" xfId="2" applyNumberFormat="1" applyFont="1" applyAlignment="1"/>
    <xf numFmtId="0" fontId="4" fillId="0" borderId="0" xfId="2" applyFont="1" applyAlignment="1"/>
    <xf numFmtId="3" fontId="4" fillId="0" borderId="0" xfId="2" applyNumberFormat="1" applyFont="1" applyAlignment="1"/>
    <xf numFmtId="0" fontId="4" fillId="0" borderId="0" xfId="2" applyNumberFormat="1" applyFont="1" applyAlignment="1"/>
    <xf numFmtId="0" fontId="3" fillId="0" borderId="0" xfId="2" applyFont="1" applyAlignment="1"/>
    <xf numFmtId="3" fontId="1" fillId="0" borderId="0" xfId="2" applyNumberFormat="1" applyFont="1" applyAlignment="1">
      <alignment horizontal="right"/>
    </xf>
    <xf numFmtId="3" fontId="5" fillId="0" borderId="0" xfId="2" applyNumberFormat="1" applyFont="1" applyAlignment="1"/>
    <xf numFmtId="3" fontId="3" fillId="0" borderId="0" xfId="2" applyNumberFormat="1" applyFont="1" applyAlignment="1"/>
    <xf numFmtId="0" fontId="5" fillId="0" borderId="0" xfId="2" applyNumberFormat="1" applyFont="1" applyAlignment="1"/>
    <xf numFmtId="0" fontId="6" fillId="0" borderId="0" xfId="2" applyNumberFormat="1" applyFont="1" applyAlignment="1"/>
    <xf numFmtId="0" fontId="1" fillId="0" borderId="0" xfId="2" applyNumberFormat="1" applyFont="1" applyBorder="1" applyAlignment="1"/>
    <xf numFmtId="0" fontId="1" fillId="0" borderId="0" xfId="2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centerContinuous"/>
    </xf>
    <xf numFmtId="0" fontId="7" fillId="0" borderId="0" xfId="2" applyNumberFormat="1" applyFont="1" applyBorder="1" applyAlignment="1">
      <alignment horizontal="centerContinuous"/>
    </xf>
    <xf numFmtId="0" fontId="1" fillId="0" borderId="1" xfId="2" applyNumberFormat="1" applyFont="1" applyBorder="1" applyAlignment="1"/>
    <xf numFmtId="0" fontId="2" fillId="0" borderId="0" xfId="0" applyNumberFormat="1" applyFont="1" applyAlignment="1" applyProtection="1">
      <alignment horizontal="center"/>
      <protection locked="0"/>
    </xf>
    <xf numFmtId="0" fontId="1" fillId="0" borderId="0" xfId="2" applyNumberFormat="1" applyFont="1" applyFill="1" applyAlignment="1"/>
    <xf numFmtId="3" fontId="1" fillId="0" borderId="0" xfId="2" applyNumberFormat="1" applyFont="1" applyFill="1" applyAlignment="1"/>
    <xf numFmtId="0" fontId="9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15" fontId="11" fillId="0" borderId="0" xfId="2" applyNumberFormat="1" applyFont="1" applyAlignment="1">
      <alignment horizontal="center"/>
    </xf>
    <xf numFmtId="16" fontId="8" fillId="0" borderId="1" xfId="2" applyNumberFormat="1" applyFont="1" applyBorder="1" applyAlignment="1">
      <alignment horizontal="center"/>
    </xf>
    <xf numFmtId="3" fontId="12" fillId="0" borderId="0" xfId="2" applyNumberFormat="1" applyFont="1" applyAlignment="1"/>
    <xf numFmtId="0" fontId="14" fillId="0" borderId="0" xfId="0" applyNumberFormat="1" applyFont="1" applyAlignment="1" applyProtection="1">
      <protection locked="0"/>
    </xf>
    <xf numFmtId="0" fontId="15" fillId="0" borderId="0" xfId="2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6" fillId="0" borderId="2" xfId="2" applyFont="1" applyBorder="1" applyAlignment="1"/>
    <xf numFmtId="0" fontId="14" fillId="0" borderId="2" xfId="0" applyNumberFormat="1" applyFont="1" applyBorder="1" applyAlignment="1" applyProtection="1">
      <protection locked="0"/>
    </xf>
    <xf numFmtId="0" fontId="13" fillId="0" borderId="2" xfId="2" applyNumberFormat="1" applyFont="1" applyBorder="1" applyAlignment="1"/>
    <xf numFmtId="0" fontId="14" fillId="0" borderId="2" xfId="0" applyNumberFormat="1" applyFont="1" applyBorder="1" applyAlignment="1" applyProtection="1">
      <alignment horizontal="right"/>
      <protection locked="0"/>
    </xf>
    <xf numFmtId="0" fontId="13" fillId="0" borderId="0" xfId="2" applyFont="1" applyBorder="1" applyAlignment="1">
      <alignment horizontal="left"/>
    </xf>
    <xf numFmtId="0" fontId="14" fillId="0" borderId="0" xfId="0" applyNumberFormat="1" applyFont="1" applyBorder="1" applyAlignment="1" applyProtection="1">
      <protection locked="0"/>
    </xf>
    <xf numFmtId="165" fontId="1" fillId="0" borderId="3" xfId="2" applyNumberFormat="1" applyFont="1" applyBorder="1" applyAlignment="1"/>
    <xf numFmtId="165" fontId="2" fillId="0" borderId="3" xfId="0" applyNumberFormat="1" applyFont="1" applyBorder="1" applyAlignment="1" applyProtection="1"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3" fontId="4" fillId="2" borderId="0" xfId="2" applyNumberFormat="1" applyFont="1" applyFill="1" applyAlignment="1"/>
    <xf numFmtId="3" fontId="1" fillId="3" borderId="0" xfId="2" applyNumberFormat="1" applyFont="1" applyFill="1" applyAlignment="1"/>
    <xf numFmtId="0" fontId="4" fillId="3" borderId="0" xfId="2" applyFont="1" applyFill="1" applyAlignment="1"/>
    <xf numFmtId="3" fontId="1" fillId="4" borderId="0" xfId="2" applyNumberFormat="1" applyFont="1" applyFill="1" applyAlignment="1"/>
    <xf numFmtId="0" fontId="2" fillId="0" borderId="0" xfId="2" applyNumberFormat="1" applyFont="1" applyAlignment="1">
      <alignment horizontal="center"/>
    </xf>
    <xf numFmtId="0" fontId="1" fillId="0" borderId="4" xfId="2" applyNumberFormat="1" applyFont="1" applyBorder="1" applyAlignment="1"/>
    <xf numFmtId="3" fontId="1" fillId="2" borderId="0" xfId="2" applyNumberFormat="1" applyFont="1" applyFill="1" applyAlignment="1"/>
    <xf numFmtId="3" fontId="5" fillId="0" borderId="4" xfId="2" applyNumberFormat="1" applyFont="1" applyBorder="1" applyAlignment="1"/>
    <xf numFmtId="0" fontId="5" fillId="0" borderId="4" xfId="2" applyNumberFormat="1" applyFont="1" applyBorder="1" applyAlignment="1"/>
    <xf numFmtId="0" fontId="1" fillId="0" borderId="5" xfId="2" applyNumberFormat="1" applyFont="1" applyBorder="1" applyAlignme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6" fillId="0" borderId="7" xfId="0" applyNumberFormat="1" applyFont="1" applyBorder="1" applyAlignment="1" applyProtection="1">
      <protection locked="0"/>
    </xf>
    <xf numFmtId="3" fontId="9" fillId="2" borderId="7" xfId="0" applyNumberFormat="1" applyFont="1" applyFill="1" applyBorder="1" applyAlignment="1" applyProtection="1">
      <protection locked="0"/>
    </xf>
    <xf numFmtId="3" fontId="10" fillId="4" borderId="7" xfId="0" applyNumberFormat="1" applyFont="1" applyFill="1" applyBorder="1" applyAlignment="1" applyProtection="1">
      <protection locked="0"/>
    </xf>
    <xf numFmtId="3" fontId="2" fillId="0" borderId="7" xfId="0" applyNumberFormat="1" applyFont="1" applyBorder="1" applyAlignment="1" applyProtection="1">
      <protection locked="0"/>
    </xf>
    <xf numFmtId="0" fontId="2" fillId="0" borderId="9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0" fillId="3" borderId="7" xfId="0" applyNumberFormat="1" applyFon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1" xfId="0" applyNumberFormat="1" applyFont="1" applyBorder="1" applyAlignment="1" applyProtection="1">
      <alignment horizontal="center"/>
      <protection locked="0"/>
    </xf>
    <xf numFmtId="3" fontId="7" fillId="0" borderId="12" xfId="2" applyNumberFormat="1" applyFont="1" applyBorder="1" applyAlignment="1">
      <alignment horizontal="center"/>
    </xf>
    <xf numFmtId="0" fontId="2" fillId="0" borderId="13" xfId="0" applyNumberFormat="1" applyFont="1" applyBorder="1" applyAlignment="1" applyProtection="1">
      <protection locked="0"/>
    </xf>
    <xf numFmtId="0" fontId="2" fillId="0" borderId="14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6" fillId="0" borderId="13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9" fillId="0" borderId="13" xfId="0" applyNumberFormat="1" applyFont="1" applyBorder="1" applyAlignment="1" applyProtection="1">
      <protection locked="0"/>
    </xf>
    <xf numFmtId="0" fontId="9" fillId="0" borderId="0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0" fontId="2" fillId="0" borderId="17" xfId="0" applyNumberFormat="1" applyFont="1" applyBorder="1" applyAlignment="1" applyProtection="1">
      <protection locked="0"/>
    </xf>
    <xf numFmtId="0" fontId="2" fillId="0" borderId="7" xfId="0" applyNumberFormat="1" applyFont="1" applyBorder="1" applyAlignment="1" applyProtection="1">
      <protection locked="0"/>
    </xf>
    <xf numFmtId="3" fontId="2" fillId="0" borderId="18" xfId="0" applyNumberFormat="1" applyFont="1" applyBorder="1" applyAlignment="1" applyProtection="1">
      <protection locked="0"/>
    </xf>
    <xf numFmtId="3" fontId="9" fillId="4" borderId="7" xfId="0" applyNumberFormat="1" applyFont="1" applyFill="1" applyBorder="1" applyAlignment="1" applyProtection="1">
      <protection locked="0"/>
    </xf>
    <xf numFmtId="0" fontId="7" fillId="0" borderId="0" xfId="2" applyNumberFormat="1" applyFont="1" applyAlignment="1"/>
    <xf numFmtId="0" fontId="2" fillId="5" borderId="0" xfId="0" applyNumberFormat="1" applyFont="1" applyFill="1" applyAlignment="1" applyProtection="1">
      <protection locked="0"/>
    </xf>
    <xf numFmtId="0" fontId="2" fillId="5" borderId="13" xfId="0" applyNumberFormat="1" applyFont="1" applyFill="1" applyBorder="1" applyAlignment="1" applyProtection="1">
      <protection locked="0"/>
    </xf>
    <xf numFmtId="0" fontId="2" fillId="5" borderId="0" xfId="0" applyNumberFormat="1" applyFont="1" applyFill="1" applyBorder="1" applyAlignment="1" applyProtection="1">
      <protection locked="0"/>
    </xf>
    <xf numFmtId="0" fontId="2" fillId="5" borderId="14" xfId="0" applyNumberFormat="1" applyFont="1" applyFill="1" applyBorder="1" applyAlignment="1" applyProtection="1">
      <protection locked="0"/>
    </xf>
    <xf numFmtId="0" fontId="2" fillId="6" borderId="0" xfId="0" applyNumberFormat="1" applyFont="1" applyFill="1" applyAlignment="1" applyProtection="1">
      <protection locked="0"/>
    </xf>
    <xf numFmtId="0" fontId="2" fillId="6" borderId="13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14" xfId="0" applyNumberFormat="1" applyFont="1" applyFill="1" applyBorder="1" applyAlignment="1" applyProtection="1">
      <protection locked="0"/>
    </xf>
    <xf numFmtId="0" fontId="2" fillId="7" borderId="0" xfId="0" applyNumberFormat="1" applyFont="1" applyFill="1" applyAlignment="1" applyProtection="1">
      <protection locked="0"/>
    </xf>
    <xf numFmtId="0" fontId="2" fillId="7" borderId="13" xfId="0" applyNumberFormat="1" applyFont="1" applyFill="1" applyBorder="1" applyAlignment="1" applyProtection="1">
      <protection locked="0"/>
    </xf>
    <xf numFmtId="0" fontId="2" fillId="7" borderId="0" xfId="0" applyNumberFormat="1" applyFont="1" applyFill="1" applyBorder="1" applyAlignment="1" applyProtection="1">
      <protection locked="0"/>
    </xf>
    <xf numFmtId="0" fontId="2" fillId="7" borderId="14" xfId="0" applyNumberFormat="1" applyFont="1" applyFill="1" applyBorder="1" applyAlignment="1" applyProtection="1">
      <protection locked="0"/>
    </xf>
    <xf numFmtId="16" fontId="8" fillId="0" borderId="19" xfId="2" applyNumberFormat="1" applyFont="1" applyBorder="1" applyAlignment="1">
      <alignment horizontal="center"/>
    </xf>
    <xf numFmtId="0" fontId="1" fillId="0" borderId="20" xfId="2" applyNumberFormat="1" applyFont="1" applyBorder="1" applyAlignment="1">
      <alignment horizontal="center"/>
    </xf>
    <xf numFmtId="0" fontId="1" fillId="0" borderId="21" xfId="2" applyNumberFormat="1" applyFont="1" applyBorder="1" applyAlignment="1"/>
    <xf numFmtId="0" fontId="2" fillId="0" borderId="20" xfId="0" applyNumberFormat="1" applyFont="1" applyBorder="1" applyAlignment="1" applyProtection="1">
      <alignment horizontal="center"/>
      <protection locked="0"/>
    </xf>
    <xf numFmtId="0" fontId="14" fillId="0" borderId="22" xfId="0" applyNumberFormat="1" applyFont="1" applyBorder="1" applyAlignment="1" applyProtection="1">
      <alignment horizontal="right"/>
      <protection locked="0"/>
    </xf>
    <xf numFmtId="0" fontId="14" fillId="0" borderId="23" xfId="0" applyNumberFormat="1" applyFont="1" applyBorder="1" applyAlignment="1" applyProtection="1">
      <protection locked="0"/>
    </xf>
    <xf numFmtId="0" fontId="14" fillId="0" borderId="20" xfId="0" applyNumberFormat="1" applyFont="1" applyBorder="1" applyAlignment="1" applyProtection="1">
      <protection locked="0"/>
    </xf>
    <xf numFmtId="0" fontId="15" fillId="0" borderId="21" xfId="2" applyNumberFormat="1" applyFont="1" applyBorder="1" applyAlignment="1">
      <alignment horizontal="left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1" fillId="0" borderId="25" xfId="2" applyNumberFormat="1" applyFont="1" applyBorder="1" applyAlignment="1"/>
    <xf numFmtId="165" fontId="2" fillId="0" borderId="20" xfId="0" applyNumberFormat="1" applyFont="1" applyBorder="1" applyAlignment="1" applyProtection="1">
      <alignment horizontal="center"/>
      <protection locked="0"/>
    </xf>
    <xf numFmtId="3" fontId="1" fillId="0" borderId="20" xfId="2" applyNumberFormat="1" applyFont="1" applyBorder="1" applyAlignment="1"/>
    <xf numFmtId="0" fontId="1" fillId="0" borderId="20" xfId="2" applyNumberFormat="1" applyFont="1" applyBorder="1" applyAlignment="1"/>
    <xf numFmtId="3" fontId="1" fillId="0" borderId="21" xfId="2" applyNumberFormat="1" applyFont="1" applyBorder="1" applyAlignment="1"/>
    <xf numFmtId="0" fontId="4" fillId="0" borderId="21" xfId="2" applyFont="1" applyBorder="1" applyAlignment="1"/>
    <xf numFmtId="3" fontId="4" fillId="0" borderId="26" xfId="2" applyNumberFormat="1" applyFont="1" applyBorder="1" applyAlignment="1"/>
    <xf numFmtId="0" fontId="1" fillId="0" borderId="27" xfId="2" applyNumberFormat="1" applyFont="1" applyBorder="1" applyAlignment="1"/>
    <xf numFmtId="0" fontId="1" fillId="0" borderId="20" xfId="2" applyNumberFormat="1" applyFont="1" applyFill="1" applyBorder="1" applyAlignment="1"/>
    <xf numFmtId="3" fontId="1" fillId="0" borderId="20" xfId="2" applyNumberFormat="1" applyFont="1" applyFill="1" applyBorder="1" applyAlignment="1"/>
    <xf numFmtId="3" fontId="1" fillId="0" borderId="0" xfId="2" applyNumberFormat="1" applyFont="1" applyBorder="1" applyAlignment="1"/>
    <xf numFmtId="0" fontId="4" fillId="0" borderId="0" xfId="2" applyFont="1" applyBorder="1" applyAlignment="1"/>
    <xf numFmtId="0" fontId="5" fillId="0" borderId="0" xfId="2" applyNumberFormat="1" applyFont="1" applyBorder="1" applyAlignment="1"/>
    <xf numFmtId="165" fontId="1" fillId="0" borderId="0" xfId="2" applyNumberFormat="1" applyFont="1" applyBorder="1" applyAlignment="1"/>
    <xf numFmtId="3" fontId="1" fillId="0" borderId="21" xfId="2" applyNumberFormat="1" applyFont="1" applyFill="1" applyBorder="1" applyAlignment="1"/>
    <xf numFmtId="0" fontId="1" fillId="0" borderId="21" xfId="2" applyNumberFormat="1" applyFont="1" applyFill="1" applyBorder="1" applyAlignment="1"/>
    <xf numFmtId="0" fontId="4" fillId="0" borderId="21" xfId="2" applyFont="1" applyFill="1" applyBorder="1" applyAlignment="1"/>
    <xf numFmtId="1" fontId="1" fillId="0" borderId="20" xfId="2" applyNumberFormat="1" applyFont="1" applyFill="1" applyBorder="1" applyAlignment="1"/>
    <xf numFmtId="3" fontId="1" fillId="0" borderId="26" xfId="2" applyNumberFormat="1" applyFont="1" applyFill="1" applyBorder="1" applyAlignment="1"/>
    <xf numFmtId="0" fontId="1" fillId="0" borderId="28" xfId="2" quotePrefix="1" applyNumberFormat="1" applyFont="1" applyFill="1" applyBorder="1" applyAlignment="1"/>
    <xf numFmtId="3" fontId="4" fillId="0" borderId="26" xfId="2" applyNumberFormat="1" applyFont="1" applyFill="1" applyBorder="1" applyAlignment="1"/>
    <xf numFmtId="3" fontId="5" fillId="0" borderId="27" xfId="2" applyNumberFormat="1" applyFont="1" applyFill="1" applyBorder="1" applyAlignment="1"/>
    <xf numFmtId="3" fontId="3" fillId="0" borderId="20" xfId="2" applyNumberFormat="1" applyFont="1" applyFill="1" applyBorder="1" applyAlignment="1"/>
    <xf numFmtId="1" fontId="1" fillId="0" borderId="21" xfId="2" applyNumberFormat="1" applyFont="1" applyFill="1" applyBorder="1" applyAlignment="1"/>
    <xf numFmtId="0" fontId="5" fillId="0" borderId="27" xfId="2" applyNumberFormat="1" applyFont="1" applyFill="1" applyBorder="1" applyAlignment="1"/>
    <xf numFmtId="3" fontId="1" fillId="0" borderId="0" xfId="2" applyNumberFormat="1" applyFont="1" applyFill="1" applyBorder="1" applyAlignment="1"/>
    <xf numFmtId="0" fontId="1" fillId="0" borderId="0" xfId="2" applyNumberFormat="1" applyFont="1" applyFill="1" applyBorder="1" applyAlignment="1"/>
    <xf numFmtId="0" fontId="4" fillId="0" borderId="0" xfId="2" applyFont="1" applyFill="1" applyBorder="1" applyAlignment="1"/>
    <xf numFmtId="3" fontId="5" fillId="0" borderId="0" xfId="2" applyNumberFormat="1" applyFont="1" applyFill="1" applyBorder="1" applyAlignment="1"/>
    <xf numFmtId="1" fontId="1" fillId="0" borderId="0" xfId="2" applyNumberFormat="1" applyFont="1" applyFill="1" applyBorder="1" applyAlignment="1"/>
    <xf numFmtId="0" fontId="6" fillId="0" borderId="0" xfId="2" applyNumberFormat="1" applyFont="1" applyBorder="1" applyAlignment="1"/>
    <xf numFmtId="15" fontId="2" fillId="0" borderId="0" xfId="0" applyNumberFormat="1" applyFont="1" applyBorder="1" applyAlignment="1" applyProtection="1">
      <alignment horizontal="center"/>
      <protection locked="0"/>
    </xf>
    <xf numFmtId="14" fontId="17" fillId="8" borderId="11" xfId="0" applyNumberFormat="1" applyFont="1" applyFill="1" applyBorder="1" applyAlignment="1" applyProtection="1">
      <alignment horizontal="center"/>
      <protection locked="0"/>
    </xf>
    <xf numFmtId="0" fontId="18" fillId="0" borderId="0" xfId="2" applyNumberFormat="1" applyFont="1" applyAlignment="1">
      <alignment horizontal="center"/>
    </xf>
    <xf numFmtId="0" fontId="18" fillId="0" borderId="2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19" fillId="0" borderId="0" xfId="0" applyNumberFormat="1" applyFont="1" applyAlignment="1" applyProtection="1">
      <alignment horizontal="center"/>
      <protection locked="0"/>
    </xf>
    <xf numFmtId="0" fontId="2" fillId="0" borderId="0" xfId="2" applyNumberFormat="1" applyFont="1" applyAlignment="1"/>
    <xf numFmtId="0" fontId="1" fillId="4" borderId="0" xfId="2" quotePrefix="1" applyNumberFormat="1" applyFont="1" applyFill="1" applyAlignment="1"/>
    <xf numFmtId="9" fontId="2" fillId="0" borderId="20" xfId="2" applyNumberFormat="1" applyFont="1" applyFill="1" applyBorder="1" applyAlignment="1"/>
    <xf numFmtId="9" fontId="2" fillId="0" borderId="0" xfId="2" applyNumberFormat="1" applyFont="1" applyAlignment="1"/>
    <xf numFmtId="3" fontId="4" fillId="0" borderId="4" xfId="2" applyNumberFormat="1" applyFont="1" applyBorder="1" applyAlignment="1"/>
    <xf numFmtId="3" fontId="5" fillId="0" borderId="5" xfId="2" applyNumberFormat="1" applyFont="1" applyBorder="1" applyAlignment="1"/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29" xfId="2" applyFont="1" applyBorder="1" applyAlignment="1"/>
    <xf numFmtId="1" fontId="1" fillId="0" borderId="4" xfId="2" applyNumberFormat="1" applyFont="1" applyBorder="1" applyAlignment="1"/>
    <xf numFmtId="0" fontId="1" fillId="0" borderId="30" xfId="2" applyNumberFormat="1" applyFont="1" applyBorder="1" applyAlignment="1"/>
    <xf numFmtId="0" fontId="1" fillId="0" borderId="31" xfId="2" applyNumberFormat="1" applyFont="1" applyBorder="1" applyAlignment="1"/>
    <xf numFmtId="0" fontId="1" fillId="0" borderId="32" xfId="2" applyNumberFormat="1" applyFont="1" applyBorder="1" applyAlignment="1"/>
    <xf numFmtId="1" fontId="1" fillId="0" borderId="0" xfId="2" applyNumberFormat="1" applyFont="1" applyBorder="1" applyAlignment="1">
      <alignment horizontal="right"/>
    </xf>
    <xf numFmtId="0" fontId="5" fillId="0" borderId="0" xfId="2" applyFont="1" applyBorder="1" applyAlignment="1"/>
    <xf numFmtId="1" fontId="1" fillId="0" borderId="32" xfId="2" applyNumberFormat="1" applyFont="1" applyBorder="1" applyAlignment="1">
      <alignment horizontal="right"/>
    </xf>
    <xf numFmtId="1" fontId="1" fillId="0" borderId="0" xfId="2" applyNumberFormat="1" applyFont="1" applyBorder="1" applyAlignment="1"/>
    <xf numFmtId="0" fontId="1" fillId="0" borderId="31" xfId="2" applyNumberFormat="1" applyFont="1" applyBorder="1" applyAlignment="1">
      <alignment horizontal="centerContinuous"/>
    </xf>
    <xf numFmtId="3" fontId="1" fillId="0" borderId="32" xfId="2" applyNumberFormat="1" applyFont="1" applyBorder="1" applyAlignment="1"/>
    <xf numFmtId="0" fontId="1" fillId="0" borderId="31" xfId="2" applyFont="1" applyBorder="1" applyAlignment="1">
      <alignment horizontal="center"/>
    </xf>
    <xf numFmtId="0" fontId="9" fillId="0" borderId="0" xfId="2" applyNumberFormat="1" applyFont="1" applyBorder="1" applyAlignment="1"/>
    <xf numFmtId="3" fontId="7" fillId="0" borderId="0" xfId="2" applyNumberFormat="1" applyFont="1" applyBorder="1" applyAlignment="1"/>
    <xf numFmtId="3" fontId="7" fillId="0" borderId="32" xfId="2" applyNumberFormat="1" applyFont="1" applyBorder="1" applyAlignment="1"/>
    <xf numFmtId="3" fontId="1" fillId="0" borderId="0" xfId="2" applyNumberFormat="1" applyFont="1" applyBorder="1" applyAlignment="1">
      <alignment horizontal="right"/>
    </xf>
    <xf numFmtId="3" fontId="7" fillId="0" borderId="33" xfId="2" applyNumberFormat="1" applyFont="1" applyBorder="1" applyAlignment="1"/>
    <xf numFmtId="0" fontId="6" fillId="0" borderId="34" xfId="2" applyNumberFormat="1" applyFont="1" applyBorder="1" applyAlignment="1"/>
    <xf numFmtId="0" fontId="6" fillId="0" borderId="35" xfId="2" applyNumberFormat="1" applyFont="1" applyBorder="1" applyAlignment="1"/>
    <xf numFmtId="0" fontId="6" fillId="0" borderId="36" xfId="2" applyNumberFormat="1" applyFont="1" applyBorder="1" applyAlignment="1"/>
    <xf numFmtId="3" fontId="5" fillId="0" borderId="6" xfId="2" applyNumberFormat="1" applyFont="1" applyBorder="1" applyAlignment="1"/>
    <xf numFmtId="0" fontId="1" fillId="0" borderId="11" xfId="2" applyNumberFormat="1" applyFont="1" applyBorder="1" applyAlignment="1"/>
    <xf numFmtId="3" fontId="5" fillId="0" borderId="7" xfId="2" applyNumberFormat="1" applyFont="1" applyBorder="1" applyAlignment="1"/>
    <xf numFmtId="0" fontId="1" fillId="0" borderId="8" xfId="2" applyNumberFormat="1" applyFont="1" applyBorder="1" applyAlignment="1"/>
    <xf numFmtId="3" fontId="12" fillId="0" borderId="9" xfId="2" applyNumberFormat="1" applyFont="1" applyBorder="1" applyAlignment="1"/>
    <xf numFmtId="0" fontId="1" fillId="0" borderId="10" xfId="2" applyNumberFormat="1" applyFont="1" applyBorder="1" applyAlignment="1"/>
    <xf numFmtId="3" fontId="11" fillId="0" borderId="0" xfId="2" applyNumberFormat="1" applyFont="1" applyAlignment="1"/>
    <xf numFmtId="1" fontId="2" fillId="0" borderId="0" xfId="0" applyNumberFormat="1" applyFont="1" applyAlignment="1" applyProtection="1">
      <alignment horizontal="center"/>
      <protection locked="0"/>
    </xf>
    <xf numFmtId="0" fontId="2" fillId="0" borderId="2" xfId="0" applyNumberFormat="1" applyFont="1" applyBorder="1" applyAlignment="1" applyProtection="1">
      <protection locked="0"/>
    </xf>
    <xf numFmtId="16" fontId="2" fillId="0" borderId="0" xfId="0" applyNumberFormat="1" applyFont="1" applyAlignment="1" applyProtection="1">
      <protection locked="0"/>
    </xf>
    <xf numFmtId="0" fontId="21" fillId="0" borderId="37" xfId="0" applyNumberFormat="1" applyFont="1" applyBorder="1" applyAlignment="1" applyProtection="1">
      <protection locked="0"/>
    </xf>
    <xf numFmtId="0" fontId="9" fillId="0" borderId="1" xfId="0" applyNumberFormat="1" applyFont="1" applyBorder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2" fillId="0" borderId="38" xfId="0" applyNumberFormat="1" applyFont="1" applyBorder="1" applyAlignment="1" applyProtection="1">
      <protection locked="0"/>
    </xf>
    <xf numFmtId="0" fontId="19" fillId="0" borderId="3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protection locked="0"/>
    </xf>
    <xf numFmtId="0" fontId="20" fillId="0" borderId="1" xfId="0" applyNumberFormat="1" applyFont="1" applyBorder="1" applyAlignment="1" applyProtection="1">
      <protection locked="0"/>
    </xf>
    <xf numFmtId="3" fontId="20" fillId="0" borderId="1" xfId="0" applyNumberFormat="1" applyFont="1" applyBorder="1" applyAlignment="1" applyProtection="1">
      <protection locked="0"/>
    </xf>
    <xf numFmtId="0" fontId="21" fillId="0" borderId="1" xfId="0" applyNumberFormat="1" applyFont="1" applyBorder="1" applyAlignment="1" applyProtection="1">
      <protection locked="0"/>
    </xf>
    <xf numFmtId="3" fontId="21" fillId="0" borderId="1" xfId="0" applyNumberFormat="1" applyFont="1" applyBorder="1" applyAlignment="1" applyProtection="1">
      <protection locked="0"/>
    </xf>
    <xf numFmtId="3" fontId="21" fillId="0" borderId="37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0" fontId="22" fillId="0" borderId="0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protection locked="0"/>
    </xf>
    <xf numFmtId="3" fontId="21" fillId="0" borderId="4" xfId="0" applyNumberFormat="1" applyFont="1" applyBorder="1" applyAlignment="1" applyProtection="1">
      <protection locked="0"/>
    </xf>
    <xf numFmtId="0" fontId="20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right"/>
      <protection locked="0"/>
    </xf>
    <xf numFmtId="0" fontId="21" fillId="0" borderId="1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left"/>
      <protection locked="0"/>
    </xf>
    <xf numFmtId="0" fontId="21" fillId="0" borderId="1" xfId="0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left"/>
      <protection locked="0"/>
    </xf>
    <xf numFmtId="0" fontId="20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protection locked="0"/>
    </xf>
    <xf numFmtId="3" fontId="21" fillId="0" borderId="0" xfId="0" applyNumberFormat="1" applyFont="1" applyBorder="1" applyAlignment="1" applyProtection="1"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Border="1" applyAlignment="1" applyProtection="1">
      <protection locked="0"/>
    </xf>
    <xf numFmtId="3" fontId="20" fillId="0" borderId="0" xfId="0" applyNumberFormat="1" applyFont="1" applyBorder="1" applyAlignment="1" applyProtection="1">
      <protection locked="0"/>
    </xf>
    <xf numFmtId="0" fontId="20" fillId="0" borderId="0" xfId="0" applyNumberFormat="1" applyFont="1" applyBorder="1" applyAlignment="1" applyProtection="1">
      <alignment horizontal="right"/>
      <protection locked="0"/>
    </xf>
    <xf numFmtId="0" fontId="20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0" xfId="0" applyNumberFormat="1" applyFont="1" applyAlignment="1" applyProtection="1">
      <alignment horizontal="right"/>
      <protection locked="0"/>
    </xf>
    <xf numFmtId="0" fontId="23" fillId="0" borderId="0" xfId="0" applyNumberFormat="1" applyFont="1" applyBorder="1" applyAlignment="1" applyProtection="1">
      <alignment horizontal="center"/>
      <protection locked="0"/>
    </xf>
    <xf numFmtId="0" fontId="24" fillId="0" borderId="0" xfId="0" applyNumberFormat="1" applyFont="1" applyAlignment="1" applyProtection="1">
      <alignment horizont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0" fontId="24" fillId="0" borderId="39" xfId="0" applyNumberFormat="1" applyFont="1" applyBorder="1" applyAlignment="1" applyProtection="1">
      <alignment horizontal="center"/>
      <protection locked="0"/>
    </xf>
    <xf numFmtId="0" fontId="24" fillId="0" borderId="40" xfId="0" applyNumberFormat="1" applyFont="1" applyBorder="1" applyAlignment="1" applyProtection="1">
      <alignment horizontal="center"/>
      <protection locked="0"/>
    </xf>
    <xf numFmtId="0" fontId="24" fillId="0" borderId="41" xfId="0" applyNumberFormat="1" applyFont="1" applyBorder="1" applyAlignment="1" applyProtection="1">
      <alignment horizontal="center"/>
      <protection locked="0"/>
    </xf>
    <xf numFmtId="3" fontId="2" fillId="2" borderId="42" xfId="0" applyNumberFormat="1" applyFont="1" applyFill="1" applyBorder="1" applyAlignment="1" applyProtection="1">
      <protection locked="0"/>
    </xf>
    <xf numFmtId="3" fontId="2" fillId="2" borderId="43" xfId="0" applyNumberFormat="1" applyFont="1" applyFill="1" applyBorder="1" applyAlignment="1" applyProtection="1">
      <protection locked="0"/>
    </xf>
    <xf numFmtId="3" fontId="2" fillId="2" borderId="44" xfId="0" applyNumberFormat="1" applyFont="1" applyFill="1" applyBorder="1" applyAlignment="1" applyProtection="1">
      <protection locked="0"/>
    </xf>
    <xf numFmtId="3" fontId="2" fillId="0" borderId="42" xfId="0" applyNumberFormat="1" applyFont="1" applyBorder="1" applyAlignment="1" applyProtection="1">
      <protection locked="0"/>
    </xf>
    <xf numFmtId="3" fontId="2" fillId="0" borderId="43" xfId="0" applyNumberFormat="1" applyFont="1" applyBorder="1" applyAlignment="1" applyProtection="1">
      <protection locked="0"/>
    </xf>
    <xf numFmtId="3" fontId="2" fillId="0" borderId="44" xfId="0" applyNumberFormat="1" applyFont="1" applyBorder="1" applyAlignment="1" applyProtection="1">
      <protection locked="0"/>
    </xf>
    <xf numFmtId="3" fontId="2" fillId="3" borderId="42" xfId="0" applyNumberFormat="1" applyFont="1" applyFill="1" applyBorder="1" applyAlignment="1" applyProtection="1">
      <protection locked="0"/>
    </xf>
    <xf numFmtId="3" fontId="2" fillId="3" borderId="43" xfId="0" applyNumberFormat="1" applyFont="1" applyFill="1" applyBorder="1" applyAlignment="1" applyProtection="1">
      <protection locked="0"/>
    </xf>
    <xf numFmtId="3" fontId="2" fillId="3" borderId="44" xfId="0" applyNumberFormat="1" applyFont="1" applyFill="1" applyBorder="1" applyAlignment="1" applyProtection="1">
      <protection locked="0"/>
    </xf>
    <xf numFmtId="3" fontId="2" fillId="4" borderId="45" xfId="0" applyNumberFormat="1" applyFont="1" applyFill="1" applyBorder="1" applyAlignment="1" applyProtection="1">
      <protection locked="0"/>
    </xf>
    <xf numFmtId="3" fontId="2" fillId="4" borderId="46" xfId="0" applyNumberFormat="1" applyFont="1" applyFill="1" applyBorder="1" applyAlignment="1" applyProtection="1">
      <protection locked="0"/>
    </xf>
    <xf numFmtId="3" fontId="2" fillId="4" borderId="47" xfId="0" applyNumberFormat="1" applyFont="1" applyFill="1" applyBorder="1" applyAlignment="1" applyProtection="1">
      <protection locked="0"/>
    </xf>
    <xf numFmtId="15" fontId="2" fillId="0" borderId="0" xfId="0" applyNumberFormat="1" applyFont="1" applyAlignment="1" applyProtection="1">
      <protection locked="0"/>
    </xf>
    <xf numFmtId="16" fontId="1" fillId="0" borderId="48" xfId="2" applyNumberFormat="1" applyFont="1" applyBorder="1" applyAlignment="1"/>
    <xf numFmtId="3" fontId="12" fillId="0" borderId="20" xfId="2" applyNumberFormat="1" applyFont="1" applyFill="1" applyBorder="1" applyAlignment="1"/>
    <xf numFmtId="3" fontId="12" fillId="0" borderId="26" xfId="2" applyNumberFormat="1" applyFont="1" applyFill="1" applyBorder="1" applyAlignment="1"/>
    <xf numFmtId="3" fontId="25" fillId="0" borderId="37" xfId="0" applyNumberFormat="1" applyFont="1" applyBorder="1" applyAlignment="1" applyProtection="1">
      <protection locked="0"/>
    </xf>
    <xf numFmtId="3" fontId="25" fillId="0" borderId="1" xfId="0" applyNumberFormat="1" applyFont="1" applyBorder="1" applyAlignment="1" applyProtection="1">
      <protection locked="0"/>
    </xf>
    <xf numFmtId="3" fontId="2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3" fontId="25" fillId="0" borderId="4" xfId="0" applyNumberFormat="1" applyFont="1" applyBorder="1" applyAlignment="1" applyProtection="1"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3" fontId="9" fillId="3" borderId="7" xfId="0" applyNumberFormat="1" applyFont="1" applyFill="1" applyBorder="1" applyAlignment="1" applyProtection="1">
      <protection locked="0"/>
    </xf>
    <xf numFmtId="3" fontId="6" fillId="0" borderId="7" xfId="0" applyNumberFormat="1" applyFont="1" applyBorder="1" applyAlignment="1" applyProtection="1">
      <protection locked="0"/>
    </xf>
    <xf numFmtId="0" fontId="1" fillId="0" borderId="0" xfId="2" quotePrefix="1" applyNumberFormat="1" applyFont="1" applyAlignment="1"/>
    <xf numFmtId="0" fontId="1" fillId="0" borderId="20" xfId="2" quotePrefix="1" applyNumberFormat="1" applyFont="1" applyFill="1" applyBorder="1" applyAlignment="1"/>
    <xf numFmtId="3" fontId="7" fillId="0" borderId="20" xfId="2" applyNumberFormat="1" applyFont="1" applyBorder="1" applyAlignment="1"/>
    <xf numFmtId="0" fontId="1" fillId="0" borderId="7" xfId="2" applyNumberFormat="1" applyFont="1" applyBorder="1" applyAlignment="1"/>
    <xf numFmtId="3" fontId="7" fillId="0" borderId="0" xfId="2" applyNumberFormat="1" applyFont="1" applyAlignment="1"/>
    <xf numFmtId="0" fontId="1" fillId="0" borderId="0" xfId="2" applyNumberFormat="1" applyFont="1" applyBorder="1" applyAlignment="1">
      <alignment horizontal="right"/>
    </xf>
    <xf numFmtId="0" fontId="11" fillId="0" borderId="0" xfId="2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protection locked="0"/>
    </xf>
    <xf numFmtId="0" fontId="1" fillId="0" borderId="0" xfId="2" applyFont="1" applyAlignment="1">
      <alignment horizontal="left"/>
    </xf>
    <xf numFmtId="3" fontId="9" fillId="3" borderId="7" xfId="0" applyNumberFormat="1" applyFont="1" applyFill="1" applyBorder="1" applyAlignment="1" applyProtection="1">
      <alignment horizontal="right"/>
      <protection locked="0"/>
    </xf>
    <xf numFmtId="3" fontId="2" fillId="0" borderId="7" xfId="0" quotePrefix="1" applyNumberFormat="1" applyFont="1" applyBorder="1" applyAlignment="1" applyProtection="1">
      <alignment horizontal="right"/>
      <protection locked="0"/>
    </xf>
    <xf numFmtId="3" fontId="26" fillId="0" borderId="0" xfId="2" applyNumberFormat="1" applyFont="1" applyAlignment="1">
      <alignment horizontal="center"/>
    </xf>
    <xf numFmtId="0" fontId="26" fillId="0" borderId="0" xfId="2" applyNumberFormat="1" applyFont="1" applyAlignment="1"/>
    <xf numFmtId="0" fontId="1" fillId="0" borderId="0" xfId="2" applyFont="1" applyAlignment="1">
      <alignment horizontal="center"/>
    </xf>
    <xf numFmtId="0" fontId="27" fillId="0" borderId="0" xfId="0" applyNumberFormat="1" applyFont="1" applyAlignment="1" applyProtection="1">
      <alignment horizontal="right"/>
      <protection locked="0"/>
    </xf>
    <xf numFmtId="3" fontId="27" fillId="0" borderId="0" xfId="0" applyNumberFormat="1" applyFont="1" applyAlignment="1" applyProtection="1">
      <alignment horizontal="left"/>
      <protection locked="0"/>
    </xf>
    <xf numFmtId="3" fontId="27" fillId="0" borderId="0" xfId="0" applyNumberFormat="1" applyFont="1" applyAlignment="1" applyProtection="1">
      <alignment horizontal="right"/>
      <protection locked="0"/>
    </xf>
    <xf numFmtId="0" fontId="28" fillId="0" borderId="0" xfId="0" applyNumberFormat="1" applyFont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50" xfId="0" applyNumberFormat="1" applyFont="1" applyBorder="1" applyAlignment="1" applyProtection="1">
      <protection locked="0"/>
    </xf>
    <xf numFmtId="0" fontId="2" fillId="0" borderId="51" xfId="0" applyNumberFormat="1" applyFont="1" applyBorder="1" applyAlignment="1" applyProtection="1">
      <protection locked="0"/>
    </xf>
    <xf numFmtId="0" fontId="2" fillId="0" borderId="52" xfId="0" applyNumberFormat="1" applyFont="1" applyBorder="1" applyAlignment="1" applyProtection="1">
      <protection locked="0"/>
    </xf>
    <xf numFmtId="0" fontId="2" fillId="0" borderId="53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54" xfId="0" applyNumberFormat="1" applyFont="1" applyBorder="1" applyAlignment="1" applyProtection="1">
      <protection locked="0"/>
    </xf>
    <xf numFmtId="15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38" fontId="29" fillId="3" borderId="55" xfId="0" applyNumberFormat="1" applyFont="1" applyFill="1" applyBorder="1" applyAlignment="1" applyProtection="1"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35" xfId="0" applyNumberFormat="1" applyFont="1" applyBorder="1" applyAlignment="1" applyProtection="1">
      <protection locked="0"/>
    </xf>
    <xf numFmtId="3" fontId="1" fillId="9" borderId="56" xfId="2" applyNumberFormat="1" applyFont="1" applyFill="1" applyBorder="1" applyAlignment="1"/>
    <xf numFmtId="0" fontId="1" fillId="9" borderId="27" xfId="2" applyNumberFormat="1" applyFont="1" applyFill="1" applyBorder="1" applyAlignment="1"/>
    <xf numFmtId="0" fontId="1" fillId="9" borderId="21" xfId="2" applyNumberFormat="1" applyFont="1" applyFill="1" applyBorder="1" applyAlignment="1"/>
    <xf numFmtId="3" fontId="1" fillId="9" borderId="20" xfId="2" applyNumberFormat="1" applyFont="1" applyFill="1" applyBorder="1" applyAlignment="1"/>
    <xf numFmtId="38" fontId="1" fillId="9" borderId="20" xfId="2" applyNumberFormat="1" applyFont="1" applyFill="1" applyBorder="1" applyAlignment="1"/>
    <xf numFmtId="3" fontId="26" fillId="9" borderId="20" xfId="2" applyNumberFormat="1" applyFont="1" applyFill="1" applyBorder="1" applyAlignment="1">
      <alignment horizontal="center"/>
    </xf>
    <xf numFmtId="3" fontId="26" fillId="9" borderId="57" xfId="2" applyNumberFormat="1" applyFont="1" applyFill="1" applyBorder="1" applyAlignment="1">
      <alignment horizontal="center"/>
    </xf>
    <xf numFmtId="0" fontId="1" fillId="9" borderId="58" xfId="2" applyNumberFormat="1" applyFont="1" applyFill="1" applyBorder="1" applyAlignment="1"/>
    <xf numFmtId="3" fontId="1" fillId="10" borderId="59" xfId="2" applyNumberFormat="1" applyFont="1" applyFill="1" applyBorder="1" applyAlignment="1"/>
    <xf numFmtId="0" fontId="14" fillId="0" borderId="51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52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0" fontId="21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0" xfId="1" applyNumberFormat="1" applyFont="1" applyAlignment="1">
      <alignment horizontal="right"/>
    </xf>
    <xf numFmtId="15" fontId="2" fillId="0" borderId="0" xfId="1" applyNumberFormat="1" applyFont="1" applyAlignment="1"/>
    <xf numFmtId="168" fontId="2" fillId="0" borderId="0" xfId="1" applyNumberFormat="1" applyFont="1" applyAlignment="1">
      <alignment horizontal="center"/>
    </xf>
    <xf numFmtId="0" fontId="2" fillId="0" borderId="0" xfId="1" applyNumberFormat="1" applyFont="1" applyBorder="1" applyAlignment="1"/>
    <xf numFmtId="0" fontId="19" fillId="0" borderId="38" xfId="1" applyNumberFormat="1" applyFont="1" applyBorder="1" applyAlignment="1"/>
    <xf numFmtId="0" fontId="19" fillId="0" borderId="38" xfId="1" applyNumberFormat="1" applyFont="1" applyBorder="1" applyAlignment="1">
      <alignment horizontal="center"/>
    </xf>
    <xf numFmtId="0" fontId="2" fillId="0" borderId="38" xfId="1" applyNumberFormat="1" applyFont="1" applyBorder="1" applyAlignment="1"/>
    <xf numFmtId="0" fontId="19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9" fillId="0" borderId="0" xfId="1" applyNumberFormat="1" applyFont="1" applyAlignment="1"/>
    <xf numFmtId="0" fontId="21" fillId="0" borderId="60" xfId="1" applyNumberFormat="1" applyFont="1" applyBorder="1" applyAlignment="1"/>
    <xf numFmtId="0" fontId="21" fillId="0" borderId="37" xfId="1" applyNumberFormat="1" applyFont="1" applyBorder="1" applyAlignment="1"/>
    <xf numFmtId="3" fontId="21" fillId="0" borderId="37" xfId="1" applyNumberFormat="1" applyFont="1" applyBorder="1" applyAlignment="1"/>
    <xf numFmtId="0" fontId="21" fillId="0" borderId="0" xfId="1" applyNumberFormat="1" applyFont="1" applyBorder="1" applyAlignment="1">
      <alignment horizontal="left"/>
    </xf>
    <xf numFmtId="3" fontId="21" fillId="0" borderId="0" xfId="1" applyNumberFormat="1" applyFont="1" applyBorder="1" applyAlignment="1"/>
    <xf numFmtId="0" fontId="21" fillId="0" borderId="61" xfId="1" applyNumberFormat="1" applyFont="1" applyBorder="1" applyAlignment="1"/>
    <xf numFmtId="0" fontId="21" fillId="0" borderId="1" xfId="1" applyNumberFormat="1" applyFont="1" applyBorder="1" applyAlignment="1"/>
    <xf numFmtId="3" fontId="21" fillId="0" borderId="1" xfId="1" applyNumberFormat="1" applyFont="1" applyBorder="1" applyAlignment="1"/>
    <xf numFmtId="0" fontId="21" fillId="11" borderId="7" xfId="1" applyNumberFormat="1" applyFont="1" applyFill="1" applyBorder="1" applyAlignment="1"/>
    <xf numFmtId="0" fontId="21" fillId="11" borderId="0" xfId="1" applyNumberFormat="1" applyFont="1" applyFill="1" applyBorder="1" applyAlignment="1"/>
    <xf numFmtId="0" fontId="2" fillId="11" borderId="7" xfId="1" applyNumberFormat="1" applyFont="1" applyFill="1" applyBorder="1" applyAlignment="1"/>
    <xf numFmtId="0" fontId="2" fillId="11" borderId="0" xfId="1" applyNumberFormat="1" applyFont="1" applyFill="1" applyBorder="1" applyAlignment="1"/>
    <xf numFmtId="0" fontId="25" fillId="11" borderId="0" xfId="1" applyNumberFormat="1" applyFont="1" applyFill="1" applyBorder="1" applyAlignment="1"/>
    <xf numFmtId="0" fontId="2" fillId="11" borderId="8" xfId="1" applyNumberFormat="1" applyFont="1" applyFill="1" applyBorder="1" applyAlignment="1"/>
    <xf numFmtId="0" fontId="20" fillId="0" borderId="61" xfId="1" applyNumberFormat="1" applyFont="1" applyBorder="1" applyAlignment="1"/>
    <xf numFmtId="0" fontId="20" fillId="0" borderId="1" xfId="1" applyNumberFormat="1" applyFont="1" applyBorder="1" applyAlignment="1"/>
    <xf numFmtId="3" fontId="20" fillId="0" borderId="1" xfId="1" applyNumberFormat="1" applyFont="1" applyBorder="1" applyAlignment="1"/>
    <xf numFmtId="3" fontId="20" fillId="0" borderId="0" xfId="1" applyNumberFormat="1" applyFont="1" applyBorder="1" applyAlignment="1"/>
    <xf numFmtId="0" fontId="9" fillId="0" borderId="0" xfId="1" applyNumberFormat="1" applyFont="1" applyBorder="1" applyAlignment="1"/>
    <xf numFmtId="0" fontId="9" fillId="0" borderId="0" xfId="1" applyNumberFormat="1" applyFont="1" applyBorder="1" applyAlignment="1">
      <alignment horizontal="left"/>
    </xf>
    <xf numFmtId="3" fontId="9" fillId="0" borderId="0" xfId="1" applyNumberFormat="1" applyFont="1" applyBorder="1" applyAlignment="1"/>
    <xf numFmtId="0" fontId="20" fillId="11" borderId="9" xfId="1" applyNumberFormat="1" applyFont="1" applyFill="1" applyBorder="1" applyAlignment="1"/>
    <xf numFmtId="0" fontId="20" fillId="11" borderId="62" xfId="1" applyNumberFormat="1" applyFont="1" applyFill="1" applyBorder="1" applyAlignment="1"/>
    <xf numFmtId="3" fontId="2" fillId="0" borderId="0" xfId="1" applyNumberFormat="1" applyFont="1" applyBorder="1" applyAlignment="1"/>
    <xf numFmtId="0" fontId="30" fillId="0" borderId="0" xfId="1"/>
    <xf numFmtId="0" fontId="20" fillId="0" borderId="60" xfId="1" applyNumberFormat="1" applyFont="1" applyBorder="1" applyAlignment="1"/>
    <xf numFmtId="0" fontId="20" fillId="0" borderId="37" xfId="1" applyNumberFormat="1" applyFont="1" applyBorder="1" applyAlignment="1">
      <alignment horizontal="left"/>
    </xf>
    <xf numFmtId="0" fontId="20" fillId="0" borderId="37" xfId="1" applyNumberFormat="1" applyFont="1" applyBorder="1" applyAlignment="1"/>
    <xf numFmtId="3" fontId="20" fillId="0" borderId="37" xfId="1" applyNumberFormat="1" applyFont="1" applyBorder="1" applyAlignment="1"/>
    <xf numFmtId="0" fontId="20" fillId="0" borderId="63" xfId="1" applyNumberFormat="1" applyFont="1" applyBorder="1" applyAlignment="1"/>
    <xf numFmtId="0" fontId="20" fillId="0" borderId="35" xfId="1" applyNumberFormat="1" applyFont="1" applyBorder="1" applyAlignment="1">
      <alignment horizontal="left"/>
    </xf>
    <xf numFmtId="0" fontId="20" fillId="0" borderId="35" xfId="1" applyNumberFormat="1" applyFont="1" applyBorder="1" applyAlignment="1"/>
    <xf numFmtId="3" fontId="20" fillId="0" borderId="35" xfId="1" applyNumberFormat="1" applyFont="1" applyBorder="1" applyAlignment="1"/>
    <xf numFmtId="0" fontId="20" fillId="0" borderId="1" xfId="1" applyNumberFormat="1" applyFont="1" applyBorder="1" applyAlignment="1">
      <alignment horizontal="left"/>
    </xf>
    <xf numFmtId="0" fontId="20" fillId="11" borderId="64" xfId="1" applyNumberFormat="1" applyFont="1" applyFill="1" applyBorder="1" applyAlignment="1"/>
    <xf numFmtId="0" fontId="20" fillId="11" borderId="65" xfId="1" applyNumberFormat="1" applyFont="1" applyFill="1" applyBorder="1" applyAlignment="1">
      <alignment horizontal="left"/>
    </xf>
    <xf numFmtId="0" fontId="20" fillId="11" borderId="65" xfId="1" applyNumberFormat="1" applyFont="1" applyFill="1" applyBorder="1" applyAlignment="1"/>
    <xf numFmtId="0" fontId="2" fillId="0" borderId="0" xfId="1" applyNumberFormat="1" applyFont="1" applyBorder="1" applyAlignment="1">
      <alignment horizontal="right"/>
    </xf>
    <xf numFmtId="0" fontId="21" fillId="0" borderId="6" xfId="1" applyNumberFormat="1" applyFont="1" applyBorder="1" applyAlignment="1"/>
    <xf numFmtId="0" fontId="21" fillId="0" borderId="38" xfId="1" applyNumberFormat="1" applyFont="1" applyBorder="1" applyAlignment="1">
      <alignment horizontal="left"/>
    </xf>
    <xf numFmtId="0" fontId="21" fillId="0" borderId="38" xfId="1" applyNumberFormat="1" applyFont="1" applyBorder="1" applyAlignment="1"/>
    <xf numFmtId="0" fontId="21" fillId="11" borderId="63" xfId="1" applyNumberFormat="1" applyFont="1" applyFill="1" applyBorder="1" applyAlignment="1"/>
    <xf numFmtId="0" fontId="21" fillId="11" borderId="35" xfId="1" applyNumberFormat="1" applyFont="1" applyFill="1" applyBorder="1" applyAlignment="1">
      <alignment horizontal="left"/>
    </xf>
    <xf numFmtId="0" fontId="21" fillId="11" borderId="35" xfId="1" applyNumberFormat="1" applyFont="1" applyFill="1" applyBorder="1" applyAlignment="1"/>
    <xf numFmtId="3" fontId="21" fillId="11" borderId="35" xfId="1" applyNumberFormat="1" applyFont="1" applyFill="1" applyBorder="1" applyAlignment="1"/>
    <xf numFmtId="0" fontId="21" fillId="0" borderId="1" xfId="1" applyNumberFormat="1" applyFont="1" applyBorder="1" applyAlignment="1">
      <alignment horizontal="left"/>
    </xf>
    <xf numFmtId="0" fontId="25" fillId="11" borderId="9" xfId="1" applyNumberFormat="1" applyFont="1" applyFill="1" applyBorder="1" applyAlignment="1"/>
    <xf numFmtId="0" fontId="25" fillId="11" borderId="62" xfId="1" applyNumberFormat="1" applyFont="1" applyFill="1" applyBorder="1" applyAlignment="1"/>
    <xf numFmtId="3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49" xfId="1" applyNumberFormat="1" applyFont="1" applyBorder="1" applyAlignment="1"/>
    <xf numFmtId="0" fontId="2" fillId="0" borderId="2" xfId="1" applyNumberFormat="1" applyFont="1" applyBorder="1" applyAlignment="1">
      <alignment horizontal="right"/>
    </xf>
    <xf numFmtId="15" fontId="2" fillId="0" borderId="2" xfId="1" applyNumberFormat="1" applyFont="1" applyBorder="1" applyAlignment="1"/>
    <xf numFmtId="0" fontId="2" fillId="0" borderId="2" xfId="1" applyNumberFormat="1" applyFont="1" applyBorder="1" applyAlignment="1"/>
    <xf numFmtId="0" fontId="2" fillId="0" borderId="50" xfId="1" applyNumberFormat="1" applyFont="1" applyBorder="1" applyAlignment="1"/>
    <xf numFmtId="0" fontId="2" fillId="0" borderId="51" xfId="1" applyNumberFormat="1" applyFont="1" applyBorder="1" applyAlignment="1"/>
    <xf numFmtId="0" fontId="14" fillId="0" borderId="0" xfId="1" applyNumberFormat="1" applyFont="1" applyAlignment="1">
      <alignment horizontal="center"/>
    </xf>
    <xf numFmtId="0" fontId="14" fillId="0" borderId="51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2" fillId="0" borderId="51" xfId="1" applyNumberFormat="1" applyFont="1" applyBorder="1" applyAlignment="1">
      <alignment horizontal="center"/>
    </xf>
    <xf numFmtId="3" fontId="22" fillId="0" borderId="0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66" xfId="1" applyNumberFormat="1" applyFont="1" applyBorder="1" applyAlignment="1">
      <alignment horizontal="right"/>
    </xf>
    <xf numFmtId="10" fontId="2" fillId="0" borderId="30" xfId="1" applyNumberFormat="1" applyFont="1" applyBorder="1" applyAlignment="1">
      <alignment horizontal="left"/>
    </xf>
    <xf numFmtId="3" fontId="2" fillId="0" borderId="31" xfId="1" applyNumberFormat="1" applyFont="1" applyBorder="1" applyAlignment="1"/>
    <xf numFmtId="3" fontId="2" fillId="0" borderId="51" xfId="1" applyNumberFormat="1" applyFont="1" applyBorder="1" applyAlignment="1"/>
    <xf numFmtId="0" fontId="2" fillId="0" borderId="32" xfId="1" applyNumberFormat="1" applyFont="1" applyBorder="1" applyAlignment="1"/>
    <xf numFmtId="3" fontId="2" fillId="0" borderId="55" xfId="1" applyNumberFormat="1" applyFont="1" applyBorder="1" applyAlignment="1"/>
    <xf numFmtId="38" fontId="29" fillId="0" borderId="0" xfId="1" applyNumberFormat="1" applyFont="1" applyFill="1" applyBorder="1" applyAlignment="1"/>
    <xf numFmtId="0" fontId="2" fillId="0" borderId="53" xfId="1" applyNumberFormat="1" applyFont="1" applyBorder="1" applyAlignment="1"/>
    <xf numFmtId="0" fontId="2" fillId="0" borderId="3" xfId="1" applyNumberFormat="1" applyFont="1" applyBorder="1" applyAlignment="1"/>
    <xf numFmtId="0" fontId="2" fillId="0" borderId="54" xfId="1" applyNumberFormat="1" applyFont="1" applyBorder="1" applyAlignment="1"/>
    <xf numFmtId="0" fontId="19" fillId="0" borderId="0" xfId="1" applyNumberFormat="1" applyFont="1" applyAlignment="1"/>
    <xf numFmtId="0" fontId="31" fillId="0" borderId="0" xfId="1" applyNumberFormat="1" applyFont="1" applyAlignment="1"/>
    <xf numFmtId="169" fontId="32" fillId="0" borderId="0" xfId="1" applyNumberFormat="1" applyFont="1" applyBorder="1" applyAlignment="1">
      <alignment horizontal="center"/>
    </xf>
    <xf numFmtId="3" fontId="25" fillId="2" borderId="67" xfId="1" applyNumberFormat="1" applyFont="1" applyFill="1" applyBorder="1" applyAlignment="1"/>
    <xf numFmtId="3" fontId="22" fillId="2" borderId="68" xfId="1" applyNumberFormat="1" applyFont="1" applyFill="1" applyBorder="1" applyAlignment="1"/>
    <xf numFmtId="3" fontId="21" fillId="2" borderId="69" xfId="1" applyNumberFormat="1" applyFont="1" applyFill="1" applyBorder="1" applyAlignment="1"/>
    <xf numFmtId="3" fontId="25" fillId="2" borderId="68" xfId="1" applyNumberFormat="1" applyFont="1" applyFill="1" applyBorder="1" applyAlignment="1"/>
    <xf numFmtId="0" fontId="19" fillId="0" borderId="70" xfId="1" applyNumberFormat="1" applyFont="1" applyBorder="1" applyAlignment="1">
      <alignment horizontal="center"/>
    </xf>
    <xf numFmtId="0" fontId="19" fillId="0" borderId="71" xfId="1" applyNumberFormat="1" applyFont="1" applyBorder="1" applyAlignment="1">
      <alignment horizontal="center"/>
    </xf>
    <xf numFmtId="3" fontId="21" fillId="0" borderId="72" xfId="1" applyNumberFormat="1" applyFont="1" applyBorder="1" applyAlignment="1"/>
    <xf numFmtId="3" fontId="21" fillId="0" borderId="73" xfId="1" applyNumberFormat="1" applyFont="1" applyBorder="1" applyAlignment="1"/>
    <xf numFmtId="3" fontId="25" fillId="0" borderId="74" xfId="1" applyNumberFormat="1" applyFont="1" applyBorder="1" applyAlignment="1"/>
    <xf numFmtId="0" fontId="2" fillId="11" borderId="71" xfId="1" applyNumberFormat="1" applyFont="1" applyFill="1" applyBorder="1" applyAlignment="1"/>
    <xf numFmtId="3" fontId="20" fillId="0" borderId="73" xfId="1" applyNumberFormat="1" applyFont="1" applyBorder="1" applyAlignment="1"/>
    <xf numFmtId="3" fontId="22" fillId="0" borderId="75" xfId="1" applyNumberFormat="1" applyFont="1" applyBorder="1" applyAlignment="1"/>
    <xf numFmtId="3" fontId="9" fillId="0" borderId="71" xfId="1" applyNumberFormat="1" applyFont="1" applyBorder="1" applyAlignment="1"/>
    <xf numFmtId="3" fontId="21" fillId="11" borderId="74" xfId="1" applyNumberFormat="1" applyFont="1" applyFill="1" applyBorder="1" applyAlignment="1"/>
    <xf numFmtId="3" fontId="25" fillId="0" borderId="76" xfId="1" applyNumberFormat="1" applyFont="1" applyBorder="1" applyAlignment="1"/>
    <xf numFmtId="0" fontId="19" fillId="0" borderId="77" xfId="1" applyNumberFormat="1" applyFont="1" applyBorder="1" applyAlignment="1">
      <alignment horizontal="center"/>
    </xf>
    <xf numFmtId="0" fontId="19" fillId="0" borderId="78" xfId="1" applyNumberFormat="1" applyFont="1" applyBorder="1" applyAlignment="1">
      <alignment horizontal="center"/>
    </xf>
    <xf numFmtId="3" fontId="21" fillId="0" borderId="79" xfId="1" applyNumberFormat="1" applyFont="1" applyBorder="1" applyAlignment="1"/>
    <xf numFmtId="3" fontId="21" fillId="0" borderId="80" xfId="1" applyNumberFormat="1" applyFont="1" applyBorder="1" applyAlignment="1"/>
    <xf numFmtId="3" fontId="25" fillId="2" borderId="81" xfId="1" applyNumberFormat="1" applyFont="1" applyFill="1" applyBorder="1" applyAlignment="1"/>
    <xf numFmtId="0" fontId="2" fillId="11" borderId="78" xfId="1" applyNumberFormat="1" applyFont="1" applyFill="1" applyBorder="1" applyAlignment="1"/>
    <xf numFmtId="3" fontId="20" fillId="0" borderId="80" xfId="1" applyNumberFormat="1" applyFont="1" applyBorder="1" applyAlignment="1"/>
    <xf numFmtId="3" fontId="22" fillId="2" borderId="82" xfId="1" applyNumberFormat="1" applyFont="1" applyFill="1" applyBorder="1" applyAlignment="1"/>
    <xf numFmtId="3" fontId="9" fillId="0" borderId="78" xfId="1" applyNumberFormat="1" applyFont="1" applyBorder="1" applyAlignment="1"/>
    <xf numFmtId="3" fontId="20" fillId="0" borderId="79" xfId="1" applyNumberFormat="1" applyFont="1" applyBorder="1" applyAlignment="1"/>
    <xf numFmtId="3" fontId="21" fillId="2" borderId="83" xfId="1" applyNumberFormat="1" applyFont="1" applyFill="1" applyBorder="1" applyAlignment="1"/>
    <xf numFmtId="3" fontId="21" fillId="11" borderId="81" xfId="1" applyNumberFormat="1" applyFont="1" applyFill="1" applyBorder="1" applyAlignment="1"/>
    <xf numFmtId="3" fontId="25" fillId="2" borderId="84" xfId="1" applyNumberFormat="1" applyFont="1" applyFill="1" applyBorder="1" applyAlignment="1"/>
    <xf numFmtId="0" fontId="19" fillId="0" borderId="11" xfId="1" applyNumberFormat="1" applyFont="1" applyBorder="1" applyAlignment="1">
      <alignment horizontal="center"/>
    </xf>
    <xf numFmtId="0" fontId="19" fillId="0" borderId="8" xfId="1" applyNumberFormat="1" applyFont="1" applyBorder="1" applyAlignment="1">
      <alignment horizontal="center"/>
    </xf>
    <xf numFmtId="3" fontId="25" fillId="0" borderId="85" xfId="1" applyNumberFormat="1" applyFont="1" applyBorder="1" applyAlignment="1"/>
    <xf numFmtId="3" fontId="25" fillId="0" borderId="86" xfId="1" applyNumberFormat="1" applyFont="1" applyBorder="1" applyAlignment="1"/>
    <xf numFmtId="3" fontId="25" fillId="2" borderId="86" xfId="1" applyNumberFormat="1" applyFont="1" applyFill="1" applyBorder="1" applyAlignment="1"/>
    <xf numFmtId="3" fontId="22" fillId="0" borderId="86" xfId="1" applyNumberFormat="1" applyFont="1" applyBorder="1" applyAlignment="1"/>
    <xf numFmtId="3" fontId="22" fillId="2" borderId="87" xfId="1" applyNumberFormat="1" applyFont="1" applyFill="1" applyBorder="1" applyAlignment="1"/>
    <xf numFmtId="3" fontId="2" fillId="0" borderId="8" xfId="1" applyNumberFormat="1" applyFont="1" applyBorder="1" applyAlignment="1"/>
    <xf numFmtId="3" fontId="22" fillId="0" borderId="85" xfId="1" applyNumberFormat="1" applyFont="1" applyBorder="1" applyAlignment="1"/>
    <xf numFmtId="3" fontId="22" fillId="0" borderId="88" xfId="1" applyNumberFormat="1" applyFont="1" applyBorder="1" applyAlignment="1"/>
    <xf numFmtId="3" fontId="25" fillId="2" borderId="85" xfId="1" applyNumberFormat="1" applyFont="1" applyFill="1" applyBorder="1" applyAlignment="1"/>
    <xf numFmtId="3" fontId="25" fillId="11" borderId="88" xfId="1" applyNumberFormat="1" applyFont="1" applyFill="1" applyBorder="1" applyAlignment="1"/>
    <xf numFmtId="3" fontId="25" fillId="2" borderId="87" xfId="1" applyNumberFormat="1" applyFont="1" applyFill="1" applyBorder="1" applyAlignment="1"/>
    <xf numFmtId="0" fontId="19" fillId="0" borderId="0" xfId="1" applyNumberFormat="1" applyFont="1" applyFill="1" applyBorder="1" applyAlignment="1">
      <alignment horizontal="center"/>
    </xf>
    <xf numFmtId="3" fontId="25" fillId="0" borderId="0" xfId="1" applyNumberFormat="1" applyFont="1" applyFill="1" applyBorder="1" applyAlignment="1"/>
    <xf numFmtId="3" fontId="22" fillId="0" borderId="0" xfId="1" applyNumberFormat="1" applyFont="1" applyFill="1" applyBorder="1" applyAlignment="1"/>
    <xf numFmtId="3" fontId="2" fillId="0" borderId="89" xfId="1" applyNumberFormat="1" applyFont="1" applyBorder="1" applyAlignment="1"/>
    <xf numFmtId="3" fontId="2" fillId="0" borderId="90" xfId="1" applyNumberFormat="1" applyFont="1" applyBorder="1" applyAlignment="1"/>
    <xf numFmtId="0" fontId="33" fillId="0" borderId="8" xfId="0" applyNumberFormat="1" applyFont="1" applyBorder="1" applyAlignment="1" applyProtection="1">
      <alignment horizontal="center"/>
      <protection locked="0"/>
    </xf>
    <xf numFmtId="0" fontId="19" fillId="0" borderId="51" xfId="1" applyNumberFormat="1" applyFont="1" applyBorder="1" applyAlignment="1">
      <alignment horizontal="center"/>
    </xf>
    <xf numFmtId="3" fontId="34" fillId="0" borderId="0" xfId="2" applyNumberFormat="1" applyFont="1" applyAlignment="1"/>
    <xf numFmtId="16" fontId="35" fillId="0" borderId="0" xfId="2" applyNumberFormat="1" applyFont="1" applyAlignment="1">
      <alignment horizontal="left"/>
    </xf>
    <xf numFmtId="38" fontId="36" fillId="0" borderId="0" xfId="1" applyNumberFormat="1" applyFont="1" applyFill="1" applyBorder="1" applyAlignment="1">
      <alignment horizontal="right"/>
    </xf>
    <xf numFmtId="0" fontId="36" fillId="0" borderId="51" xfId="1" applyNumberFormat="1" applyFont="1" applyFill="1" applyBorder="1" applyAlignment="1">
      <alignment horizontal="right"/>
    </xf>
    <xf numFmtId="0" fontId="36" fillId="0" borderId="0" xfId="1" applyNumberFormat="1" applyFont="1" applyFill="1" applyBorder="1" applyAlignment="1">
      <alignment horizontal="right"/>
    </xf>
    <xf numFmtId="3" fontId="36" fillId="0" borderId="32" xfId="1" applyNumberFormat="1" applyFont="1" applyFill="1" applyBorder="1" applyAlignment="1"/>
    <xf numFmtId="38" fontId="36" fillId="0" borderId="51" xfId="1" applyNumberFormat="1" applyFont="1" applyFill="1" applyBorder="1" applyAlignment="1">
      <alignment horizontal="right"/>
    </xf>
    <xf numFmtId="1" fontId="36" fillId="0" borderId="32" xfId="1" applyNumberFormat="1" applyFont="1" applyFill="1" applyBorder="1" applyAlignment="1">
      <alignment horizontal="right"/>
    </xf>
    <xf numFmtId="3" fontId="36" fillId="0" borderId="0" xfId="1" applyNumberFormat="1" applyFont="1" applyFill="1" applyBorder="1" applyAlignment="1"/>
    <xf numFmtId="0" fontId="19" fillId="0" borderId="49" xfId="1" applyNumberFormat="1" applyFont="1" applyBorder="1" applyAlignment="1">
      <alignment horizontal="center"/>
    </xf>
    <xf numFmtId="38" fontId="2" fillId="0" borderId="50" xfId="1" applyNumberFormat="1" applyFont="1" applyBorder="1" applyAlignment="1">
      <alignment horizontal="center"/>
    </xf>
    <xf numFmtId="38" fontId="2" fillId="0" borderId="52" xfId="1" applyNumberFormat="1" applyFont="1" applyBorder="1" applyAlignment="1">
      <alignment horizontal="center"/>
    </xf>
    <xf numFmtId="0" fontId="19" fillId="0" borderId="53" xfId="1" applyNumberFormat="1" applyFont="1" applyBorder="1" applyAlignment="1">
      <alignment horizontal="center"/>
    </xf>
    <xf numFmtId="38" fontId="2" fillId="0" borderId="54" xfId="1" applyNumberFormat="1" applyFont="1" applyBorder="1" applyAlignment="1">
      <alignment horizontal="center"/>
    </xf>
    <xf numFmtId="38" fontId="37" fillId="0" borderId="0" xfId="1" applyNumberFormat="1" applyFont="1" applyBorder="1" applyAlignment="1">
      <alignment horizontal="center"/>
    </xf>
    <xf numFmtId="3" fontId="37" fillId="0" borderId="0" xfId="1" applyNumberFormat="1" applyFont="1" applyBorder="1" applyAlignment="1">
      <alignment horizontal="center"/>
    </xf>
    <xf numFmtId="3" fontId="37" fillId="0" borderId="55" xfId="1" applyNumberFormat="1" applyFont="1" applyBorder="1" applyAlignment="1">
      <alignment horizontal="center"/>
    </xf>
    <xf numFmtId="3" fontId="17" fillId="12" borderId="67" xfId="1" applyNumberFormat="1" applyFont="1" applyFill="1" applyBorder="1" applyAlignment="1"/>
    <xf numFmtId="3" fontId="17" fillId="8" borderId="67" xfId="1" applyNumberFormat="1" applyFont="1" applyFill="1" applyBorder="1" applyAlignment="1"/>
    <xf numFmtId="3" fontId="17" fillId="8" borderId="91" xfId="1" applyNumberFormat="1" applyFont="1" applyFill="1" applyBorder="1" applyAlignment="1"/>
    <xf numFmtId="3" fontId="17" fillId="12" borderId="43" xfId="1" applyNumberFormat="1" applyFont="1" applyFill="1" applyBorder="1" applyAlignment="1"/>
    <xf numFmtId="3" fontId="17" fillId="8" borderId="43" xfId="1" applyNumberFormat="1" applyFont="1" applyFill="1" applyBorder="1" applyAlignment="1"/>
    <xf numFmtId="3" fontId="36" fillId="12" borderId="91" xfId="1" applyNumberFormat="1" applyFont="1" applyFill="1" applyBorder="1" applyAlignment="1"/>
    <xf numFmtId="3" fontId="17" fillId="12" borderId="92" xfId="1" applyNumberFormat="1" applyFont="1" applyFill="1" applyBorder="1" applyAlignment="1"/>
    <xf numFmtId="3" fontId="17" fillId="8" borderId="92" xfId="1" applyNumberFormat="1" applyFont="1" applyFill="1" applyBorder="1" applyAlignment="1"/>
    <xf numFmtId="3" fontId="36" fillId="0" borderId="43" xfId="1" applyNumberFormat="1" applyFont="1" applyFill="1" applyBorder="1" applyAlignment="1">
      <alignment horizontal="right"/>
    </xf>
    <xf numFmtId="3" fontId="36" fillId="13" borderId="67" xfId="1" applyNumberFormat="1" applyFont="1" applyFill="1" applyBorder="1" applyAlignment="1">
      <alignment horizontal="right"/>
    </xf>
    <xf numFmtId="3" fontId="36" fillId="0" borderId="92" xfId="1" applyNumberFormat="1" applyFont="1" applyFill="1" applyBorder="1" applyAlignment="1">
      <alignment horizontal="right"/>
    </xf>
    <xf numFmtId="3" fontId="36" fillId="0" borderId="67" xfId="1" applyNumberFormat="1" applyFont="1" applyFill="1" applyBorder="1" applyAlignment="1">
      <alignment horizontal="right"/>
    </xf>
    <xf numFmtId="3" fontId="36" fillId="13" borderId="43" xfId="1" applyNumberFormat="1" applyFont="1" applyFill="1" applyBorder="1" applyAlignment="1">
      <alignment horizontal="right"/>
    </xf>
    <xf numFmtId="3" fontId="36" fillId="13" borderId="92" xfId="1" applyNumberFormat="1" applyFont="1" applyFill="1" applyBorder="1" applyAlignment="1">
      <alignment horizontal="right"/>
    </xf>
    <xf numFmtId="0" fontId="31" fillId="0" borderId="0" xfId="0" applyNumberFormat="1" applyFont="1" applyAlignment="1" applyProtection="1">
      <alignment horizontal="center"/>
      <protection locked="0"/>
    </xf>
    <xf numFmtId="0" fontId="18" fillId="0" borderId="27" xfId="2" applyNumberFormat="1" applyFont="1" applyBorder="1" applyAlignment="1">
      <alignment horizontal="center"/>
    </xf>
    <xf numFmtId="3" fontId="36" fillId="13" borderId="91" xfId="1" applyNumberFormat="1" applyFont="1" applyFill="1" applyBorder="1" applyAlignment="1">
      <alignment horizontal="right"/>
    </xf>
    <xf numFmtId="3" fontId="1" fillId="0" borderId="20" xfId="2" quotePrefix="1" applyNumberFormat="1" applyFont="1" applyFill="1" applyBorder="1" applyAlignment="1"/>
    <xf numFmtId="3" fontId="38" fillId="0" borderId="0" xfId="2" applyNumberFormat="1" applyFont="1" applyAlignment="1"/>
    <xf numFmtId="3" fontId="11" fillId="0" borderId="0" xfId="2" applyNumberFormat="1" applyFont="1" applyFill="1" applyAlignment="1"/>
    <xf numFmtId="0" fontId="31" fillId="0" borderId="20" xfId="0" applyNumberFormat="1" applyFont="1" applyBorder="1" applyAlignment="1" applyProtection="1">
      <alignment horizontal="center"/>
      <protection locked="0"/>
    </xf>
    <xf numFmtId="3" fontId="39" fillId="0" borderId="0" xfId="2" applyNumberFormat="1" applyFont="1" applyAlignment="1"/>
    <xf numFmtId="0" fontId="31" fillId="0" borderId="56" xfId="0" applyNumberFormat="1" applyFont="1" applyBorder="1" applyAlignment="1" applyProtection="1">
      <alignment horizontal="center"/>
      <protection locked="0"/>
    </xf>
    <xf numFmtId="165" fontId="2" fillId="0" borderId="57" xfId="0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/>
    <xf numFmtId="171" fontId="32" fillId="0" borderId="0" xfId="1" applyNumberFormat="1" applyFont="1" applyBorder="1" applyAlignment="1">
      <alignment horizontal="right"/>
    </xf>
    <xf numFmtId="0" fontId="2" fillId="0" borderId="0" xfId="0" quotePrefix="1" applyNumberFormat="1" applyFont="1" applyAlignment="1" applyProtection="1">
      <protection locked="0"/>
    </xf>
    <xf numFmtId="0" fontId="2" fillId="0" borderId="93" xfId="0" applyNumberFormat="1" applyFont="1" applyBorder="1" applyAlignment="1" applyProtection="1">
      <alignment horizontal="center"/>
      <protection locked="0"/>
    </xf>
    <xf numFmtId="0" fontId="2" fillId="0" borderId="94" xfId="0" applyNumberFormat="1" applyFont="1" applyBorder="1" applyAlignment="1" applyProtection="1">
      <alignment horizontal="center"/>
      <protection locked="0"/>
    </xf>
    <xf numFmtId="0" fontId="2" fillId="0" borderId="95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center"/>
    </xf>
  </cellXfs>
  <cellStyles count="3">
    <cellStyle name="Normal" xfId="0" builtinId="0"/>
    <cellStyle name="Normal_Sheet1" xfId="1"/>
    <cellStyle name="Normal_Suppl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609600</xdr:colOff>
      <xdr:row>37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7400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zoomScale="90" workbookViewId="0">
      <selection activeCell="C13" sqref="C13"/>
    </sheetView>
  </sheetViews>
  <sheetFormatPr defaultRowHeight="15.75"/>
  <cols>
    <col min="1" max="1" width="3.88671875" customWidth="1"/>
    <col min="2" max="2" width="21.77734375" customWidth="1"/>
    <col min="3" max="3" width="17.21875" customWidth="1"/>
    <col min="4" max="4" width="13.44140625" customWidth="1"/>
    <col min="5" max="5" width="10.21875" customWidth="1"/>
    <col min="6" max="6" width="9.88671875" customWidth="1"/>
    <col min="7" max="7" width="0.6640625" customWidth="1"/>
    <col min="8" max="8" width="10.44140625" customWidth="1"/>
    <col min="9" max="9" width="0.6640625" customWidth="1"/>
  </cols>
  <sheetData>
    <row r="1" spans="1:17">
      <c r="A1" s="296"/>
      <c r="B1" s="296" t="s">
        <v>73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/>
      <c r="B2" s="296" t="s">
        <v>0</v>
      </c>
      <c r="C2" s="297" t="s">
        <v>114</v>
      </c>
      <c r="D2" s="298">
        <f ca="1">TODAY()+9</f>
        <v>41895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6.5" thickBot="1">
      <c r="A3" s="296"/>
      <c r="B3" s="299">
        <f ca="1">NOW()</f>
        <v>41886.904541435186</v>
      </c>
      <c r="C3" s="296"/>
      <c r="D3" s="296"/>
      <c r="E3" s="296"/>
      <c r="F3" s="296"/>
      <c r="G3" s="296"/>
      <c r="H3" s="296"/>
      <c r="I3" s="296"/>
      <c r="J3" s="300"/>
      <c r="K3" s="300"/>
      <c r="L3" s="300"/>
      <c r="M3" s="300"/>
      <c r="N3" s="300"/>
      <c r="O3" s="300"/>
      <c r="P3" s="300"/>
      <c r="Q3" s="300"/>
    </row>
    <row r="4" spans="1:17" ht="16.5" thickTop="1">
      <c r="A4" s="296"/>
      <c r="B4" s="301" t="s">
        <v>155</v>
      </c>
      <c r="C4" s="302" t="s">
        <v>96</v>
      </c>
      <c r="D4" s="302" t="s">
        <v>96</v>
      </c>
      <c r="E4" s="303"/>
      <c r="F4" s="411" t="s">
        <v>115</v>
      </c>
      <c r="G4" s="424"/>
      <c r="H4" s="398" t="s">
        <v>172</v>
      </c>
      <c r="I4" s="360"/>
      <c r="J4" s="387" t="s">
        <v>79</v>
      </c>
      <c r="K4" s="304" t="s">
        <v>113</v>
      </c>
      <c r="L4" s="304" t="s">
        <v>113</v>
      </c>
      <c r="M4" s="304"/>
      <c r="N4" s="304"/>
      <c r="O4" s="300"/>
      <c r="P4" s="300"/>
      <c r="Q4" s="300"/>
    </row>
    <row r="5" spans="1:17" ht="16.5" thickBot="1">
      <c r="A5" s="305"/>
      <c r="B5" s="305"/>
      <c r="C5" s="305" t="s">
        <v>79</v>
      </c>
      <c r="D5" s="305" t="s">
        <v>80</v>
      </c>
      <c r="E5" s="305" t="s">
        <v>81</v>
      </c>
      <c r="F5" s="412" t="s">
        <v>76</v>
      </c>
      <c r="G5" s="424"/>
      <c r="H5" s="399" t="s">
        <v>168</v>
      </c>
      <c r="I5" s="304"/>
      <c r="J5" s="388" t="s">
        <v>167</v>
      </c>
      <c r="K5" s="304" t="s">
        <v>169</v>
      </c>
      <c r="L5" s="304" t="s">
        <v>194</v>
      </c>
      <c r="M5" s="304" t="s">
        <v>195</v>
      </c>
      <c r="N5" s="304" t="s">
        <v>196</v>
      </c>
      <c r="O5" s="304" t="s">
        <v>197</v>
      </c>
      <c r="P5" s="304"/>
      <c r="Q5" s="304"/>
    </row>
    <row r="6" spans="1:17">
      <c r="A6" s="306"/>
      <c r="B6" s="307" t="s">
        <v>157</v>
      </c>
      <c r="C6" s="308" t="s">
        <v>83</v>
      </c>
      <c r="D6" s="308" t="s">
        <v>170</v>
      </c>
      <c r="E6" s="309">
        <v>2598</v>
      </c>
      <c r="F6" s="413">
        <v>0</v>
      </c>
      <c r="G6" s="425"/>
      <c r="H6" s="400">
        <f>E6-F6</f>
        <v>2598</v>
      </c>
      <c r="I6" s="325"/>
      <c r="J6" s="389">
        <f>H6/(1-K6)</f>
        <v>2735.8887952822242</v>
      </c>
      <c r="K6" s="382">
        <v>5.04E-2</v>
      </c>
      <c r="L6" s="473">
        <f>0.0978</f>
        <v>9.7799999999999998E-2</v>
      </c>
      <c r="M6" s="473">
        <f>0.0022</f>
        <v>2.2000000000000001E-3</v>
      </c>
      <c r="N6" s="473">
        <f>0.007</f>
        <v>7.0000000000000001E-3</v>
      </c>
      <c r="O6" s="311"/>
      <c r="P6" s="311"/>
      <c r="Q6" s="311"/>
    </row>
    <row r="7" spans="1:17">
      <c r="A7" s="306"/>
      <c r="B7" s="312" t="s">
        <v>157</v>
      </c>
      <c r="C7" s="313" t="s">
        <v>85</v>
      </c>
      <c r="D7" s="313" t="s">
        <v>170</v>
      </c>
      <c r="E7" s="314">
        <v>2125</v>
      </c>
      <c r="F7" s="414">
        <v>0</v>
      </c>
      <c r="G7" s="425"/>
      <c r="H7" s="401">
        <f>E7-F7</f>
        <v>2125</v>
      </c>
      <c r="I7" s="325"/>
      <c r="J7" s="390">
        <f>H7/(1-K7)</f>
        <v>2220.2486678507994</v>
      </c>
      <c r="K7" s="382">
        <v>4.2900000000000001E-2</v>
      </c>
      <c r="L7" s="473">
        <f>0.0874</f>
        <v>8.7400000000000005E-2</v>
      </c>
      <c r="M7" s="473">
        <f>0.0022</f>
        <v>2.2000000000000001E-3</v>
      </c>
      <c r="N7" s="473">
        <f>0.007</f>
        <v>7.0000000000000001E-3</v>
      </c>
      <c r="O7" s="311"/>
      <c r="P7" s="311"/>
      <c r="Q7" s="311"/>
    </row>
    <row r="8" spans="1:17">
      <c r="A8" s="306"/>
      <c r="B8" s="315"/>
      <c r="C8" s="316"/>
      <c r="D8" s="316"/>
      <c r="E8" s="383">
        <f>SUM(E6:E7)</f>
        <v>4723</v>
      </c>
      <c r="F8" s="415">
        <f>SUM(F6:F7)</f>
        <v>0</v>
      </c>
      <c r="G8" s="425"/>
      <c r="H8" s="402">
        <f>E8-F8</f>
        <v>4723</v>
      </c>
      <c r="I8" s="325"/>
      <c r="J8" s="391"/>
      <c r="K8" s="295"/>
      <c r="L8" s="473"/>
      <c r="M8" s="310"/>
      <c r="N8" s="295"/>
      <c r="O8" s="311"/>
      <c r="P8" s="311"/>
      <c r="Q8" s="311"/>
    </row>
    <row r="9" spans="1:17">
      <c r="A9" s="296"/>
      <c r="B9" s="317"/>
      <c r="C9" s="318"/>
      <c r="D9" s="318"/>
      <c r="E9" s="319"/>
      <c r="F9" s="320"/>
      <c r="G9" s="356"/>
      <c r="H9" s="403"/>
      <c r="I9" s="300"/>
      <c r="J9" s="392"/>
      <c r="K9" s="296"/>
      <c r="L9" s="473"/>
      <c r="M9" s="296"/>
      <c r="N9" s="296"/>
      <c r="O9" s="296"/>
      <c r="P9" s="296"/>
      <c r="Q9" s="296"/>
    </row>
    <row r="10" spans="1:17">
      <c r="A10" s="306"/>
      <c r="B10" s="321" t="s">
        <v>20</v>
      </c>
      <c r="C10" s="322" t="s">
        <v>166</v>
      </c>
      <c r="D10" s="322" t="s">
        <v>0</v>
      </c>
      <c r="E10" s="323">
        <v>22633</v>
      </c>
      <c r="F10" s="416">
        <v>0</v>
      </c>
      <c r="G10" s="426"/>
      <c r="H10" s="404">
        <f>E10-F10</f>
        <v>22633</v>
      </c>
      <c r="I10" s="325"/>
      <c r="J10" s="393">
        <f>H10/(1-K10)</f>
        <v>23161.072451903397</v>
      </c>
      <c r="K10" s="382">
        <v>2.2800000000000001E-2</v>
      </c>
      <c r="L10" s="473">
        <f>0.0951</f>
        <v>9.5100000000000004E-2</v>
      </c>
      <c r="M10" s="473">
        <f>0.0022</f>
        <v>2.2000000000000001E-3</v>
      </c>
      <c r="N10" s="473">
        <f>0</f>
        <v>0</v>
      </c>
      <c r="O10" s="324"/>
      <c r="P10" s="324"/>
      <c r="Q10" s="324"/>
    </row>
    <row r="11" spans="1:17">
      <c r="A11" s="306"/>
      <c r="B11" s="321" t="s">
        <v>20</v>
      </c>
      <c r="C11" s="322" t="s">
        <v>128</v>
      </c>
      <c r="D11" s="322" t="s">
        <v>0</v>
      </c>
      <c r="E11" s="323">
        <v>4723</v>
      </c>
      <c r="F11" s="416">
        <v>0</v>
      </c>
      <c r="G11" s="426"/>
      <c r="H11" s="404">
        <f>E11-F11</f>
        <v>4723</v>
      </c>
      <c r="I11" s="325"/>
      <c r="J11" s="393">
        <f>H11/(1-K11)</f>
        <v>4833.1968890708149</v>
      </c>
      <c r="K11" s="382">
        <v>2.2800000000000001E-2</v>
      </c>
      <c r="L11" s="473">
        <f>0.0951</f>
        <v>9.5100000000000004E-2</v>
      </c>
      <c r="M11" s="473">
        <f>0.0022</f>
        <v>2.2000000000000001E-3</v>
      </c>
      <c r="N11" s="473">
        <f>0</f>
        <v>0</v>
      </c>
      <c r="O11" s="327"/>
      <c r="P11" s="327"/>
      <c r="Q11" s="327"/>
    </row>
    <row r="12" spans="1:17" ht="16.5" thickBot="1">
      <c r="A12" s="306"/>
      <c r="B12" s="328"/>
      <c r="C12" s="329"/>
      <c r="D12" s="329"/>
      <c r="E12" s="384">
        <f>SUM(E10:E11)</f>
        <v>27356</v>
      </c>
      <c r="F12" s="417">
        <f>SUM(F10:F11)</f>
        <v>0</v>
      </c>
      <c r="G12" s="426"/>
      <c r="H12" s="405">
        <f>E12-F12</f>
        <v>27356</v>
      </c>
      <c r="I12" s="325"/>
      <c r="J12" s="394"/>
      <c r="K12" s="325"/>
      <c r="L12" s="473"/>
      <c r="M12" s="326"/>
      <c r="N12" s="325"/>
      <c r="O12" s="327"/>
      <c r="P12" s="327"/>
      <c r="Q12" s="327"/>
    </row>
    <row r="13" spans="1:17" ht="16.5" thickBot="1">
      <c r="A13" s="306"/>
      <c r="B13" s="325"/>
      <c r="C13" s="325"/>
      <c r="D13" s="325"/>
      <c r="E13" s="327"/>
      <c r="F13" s="418"/>
      <c r="G13" s="355"/>
      <c r="H13" s="406"/>
      <c r="I13" s="325"/>
      <c r="J13" s="395"/>
      <c r="K13" s="325"/>
      <c r="L13" s="473"/>
      <c r="M13" s="326"/>
      <c r="N13" s="325"/>
      <c r="O13" s="327"/>
      <c r="P13" s="327"/>
      <c r="Q13" s="327"/>
    </row>
    <row r="14" spans="1:17">
      <c r="A14" s="331"/>
      <c r="B14" s="332" t="s">
        <v>55</v>
      </c>
      <c r="C14" s="333" t="s">
        <v>85</v>
      </c>
      <c r="D14" s="334" t="s">
        <v>171</v>
      </c>
      <c r="E14" s="335">
        <v>3400</v>
      </c>
      <c r="F14" s="419">
        <v>0</v>
      </c>
      <c r="G14" s="426">
        <v>0</v>
      </c>
      <c r="H14" s="407">
        <f>E14-F14</f>
        <v>3400</v>
      </c>
      <c r="I14" s="300"/>
      <c r="J14" s="393">
        <f>H14/(1-K14)</f>
        <v>3563.1942988891215</v>
      </c>
      <c r="K14" s="382">
        <v>4.58E-2</v>
      </c>
      <c r="L14" s="473">
        <f>0.0334</f>
        <v>3.3399999999999999E-2</v>
      </c>
      <c r="M14" s="473">
        <f>0.0022</f>
        <v>2.2000000000000001E-3</v>
      </c>
      <c r="N14" s="473">
        <f>0</f>
        <v>0</v>
      </c>
      <c r="O14" s="473">
        <f>0.0097</f>
        <v>9.7000000000000003E-3</v>
      </c>
      <c r="P14" s="296"/>
      <c r="Q14" s="296"/>
    </row>
    <row r="15" spans="1:17">
      <c r="A15" s="331"/>
      <c r="B15" s="336" t="s">
        <v>55</v>
      </c>
      <c r="C15" s="337" t="s">
        <v>87</v>
      </c>
      <c r="D15" s="338" t="str">
        <f>D14</f>
        <v>Zn 5 Emporia</v>
      </c>
      <c r="E15" s="339">
        <v>5000</v>
      </c>
      <c r="F15" s="420">
        <v>0</v>
      </c>
      <c r="G15" s="426"/>
      <c r="H15" s="404">
        <f>E15-F15</f>
        <v>5000</v>
      </c>
      <c r="I15" s="300"/>
      <c r="J15" s="393">
        <f>H15/(1-K15)</f>
        <v>5220.8415996658659</v>
      </c>
      <c r="K15" s="382">
        <v>4.2299999999999997E-2</v>
      </c>
      <c r="L15" s="473">
        <f>0.0309</f>
        <v>3.09E-2</v>
      </c>
      <c r="M15" s="473">
        <f>0.0022</f>
        <v>2.2000000000000001E-3</v>
      </c>
      <c r="N15" s="473">
        <f>0</f>
        <v>0</v>
      </c>
      <c r="O15" s="473">
        <f>0.0097</f>
        <v>9.7000000000000003E-3</v>
      </c>
      <c r="P15" s="296"/>
      <c r="Q15" s="296"/>
    </row>
    <row r="16" spans="1:17">
      <c r="A16" s="331"/>
      <c r="B16" s="321" t="s">
        <v>55</v>
      </c>
      <c r="C16" s="340" t="s">
        <v>116</v>
      </c>
      <c r="D16" s="322" t="str">
        <f>D14</f>
        <v>Zn 5 Emporia</v>
      </c>
      <c r="E16" s="323">
        <v>11600</v>
      </c>
      <c r="F16" s="416">
        <v>0</v>
      </c>
      <c r="G16" s="426"/>
      <c r="H16" s="404">
        <f>E16-F16</f>
        <v>11600</v>
      </c>
      <c r="I16" s="300"/>
      <c r="J16" s="393">
        <f>H16/(1-K16)</f>
        <v>12059.465640919016</v>
      </c>
      <c r="K16" s="382">
        <v>3.8100000000000002E-2</v>
      </c>
      <c r="L16" s="473">
        <f>0.0278</f>
        <v>2.7799999999999998E-2</v>
      </c>
      <c r="M16" s="473">
        <f>0.0022</f>
        <v>2.2000000000000001E-3</v>
      </c>
      <c r="N16" s="473">
        <f>0</f>
        <v>0</v>
      </c>
      <c r="O16" s="473">
        <f>0.0097</f>
        <v>9.7000000000000003E-3</v>
      </c>
      <c r="P16" s="296"/>
      <c r="Q16" s="296"/>
    </row>
    <row r="17" spans="1:17" ht="16.5" thickBot="1">
      <c r="A17" s="331"/>
      <c r="B17" s="341"/>
      <c r="C17" s="342"/>
      <c r="D17" s="343"/>
      <c r="E17" s="384">
        <f>SUM(E14:E16)</f>
        <v>20000</v>
      </c>
      <c r="F17" s="417">
        <f>SUM(F14:F16)</f>
        <v>0</v>
      </c>
      <c r="G17" s="426"/>
      <c r="H17" s="405">
        <f>E17-F17</f>
        <v>20000</v>
      </c>
      <c r="I17" s="300"/>
      <c r="J17" s="394"/>
      <c r="K17" s="300"/>
      <c r="L17" s="473"/>
      <c r="M17" s="300"/>
      <c r="N17" s="300"/>
      <c r="O17" s="300"/>
      <c r="P17" s="300"/>
      <c r="Q17" s="300"/>
    </row>
    <row r="18" spans="1:17" ht="16.5" thickBot="1">
      <c r="A18" s="331"/>
      <c r="B18" s="325"/>
      <c r="C18" s="326"/>
      <c r="D18" s="325"/>
      <c r="E18" s="327"/>
      <c r="F18" s="418"/>
      <c r="G18" s="355"/>
      <c r="H18" s="406"/>
      <c r="I18" s="300"/>
      <c r="J18" s="395"/>
      <c r="K18" s="300"/>
      <c r="L18" s="473"/>
      <c r="M18" s="300"/>
      <c r="N18" s="300"/>
      <c r="O18" s="300"/>
      <c r="P18" s="300"/>
      <c r="Q18" s="300"/>
    </row>
    <row r="19" spans="1:17">
      <c r="A19" s="331"/>
      <c r="B19" s="345" t="s">
        <v>158</v>
      </c>
      <c r="C19" s="346" t="s">
        <v>102</v>
      </c>
      <c r="D19" s="347" t="s">
        <v>103</v>
      </c>
      <c r="E19" s="385">
        <v>51479</v>
      </c>
      <c r="F19" s="421">
        <v>0</v>
      </c>
      <c r="G19" s="425"/>
      <c r="H19" s="408">
        <f>E19-F19</f>
        <v>51479</v>
      </c>
      <c r="I19" s="300"/>
      <c r="J19" s="389">
        <f>H19/(1-K19)</f>
        <v>53017.569877855363</v>
      </c>
      <c r="K19" s="382">
        <v>2.9020000000000001E-2</v>
      </c>
      <c r="L19" s="473">
        <f>0.017</f>
        <v>1.7000000000000001E-2</v>
      </c>
      <c r="M19" s="473">
        <f>0.0022</f>
        <v>2.2000000000000001E-3</v>
      </c>
      <c r="N19" s="473">
        <f>0</f>
        <v>0</v>
      </c>
      <c r="O19" s="300"/>
      <c r="P19" s="300"/>
      <c r="Q19" s="300"/>
    </row>
    <row r="20" spans="1:17">
      <c r="A20" s="331"/>
      <c r="B20" s="348"/>
      <c r="C20" s="349"/>
      <c r="D20" s="350"/>
      <c r="E20" s="351"/>
      <c r="F20" s="422"/>
      <c r="G20" s="425"/>
      <c r="H20" s="409"/>
      <c r="I20" s="300"/>
      <c r="J20" s="396"/>
      <c r="K20" s="296"/>
      <c r="L20" s="473"/>
      <c r="M20" s="296"/>
      <c r="N20" s="296"/>
      <c r="O20" s="296"/>
      <c r="P20" s="296"/>
      <c r="Q20" s="296"/>
    </row>
    <row r="21" spans="1:17">
      <c r="A21" s="331"/>
      <c r="B21" s="312" t="s">
        <v>56</v>
      </c>
      <c r="C21" s="352" t="s">
        <v>98</v>
      </c>
      <c r="D21" s="313" t="s">
        <v>0</v>
      </c>
      <c r="E21" s="314">
        <v>5000</v>
      </c>
      <c r="F21" s="414">
        <v>0</v>
      </c>
      <c r="G21" s="425"/>
      <c r="H21" s="401">
        <f>E21-F21</f>
        <v>5000</v>
      </c>
      <c r="I21" s="300"/>
      <c r="J21" s="390">
        <f>H21/(1-K21)</f>
        <v>5142.7631037603887</v>
      </c>
      <c r="K21" s="382">
        <v>2.776E-2</v>
      </c>
      <c r="L21" s="473">
        <f>0.0134</f>
        <v>1.34E-2</v>
      </c>
      <c r="M21" s="473">
        <f>0.0022</f>
        <v>2.2000000000000001E-3</v>
      </c>
      <c r="N21" s="473">
        <f>0.007</f>
        <v>7.0000000000000001E-3</v>
      </c>
      <c r="O21" s="296"/>
      <c r="P21" s="296"/>
      <c r="Q21" s="296"/>
    </row>
    <row r="22" spans="1:17">
      <c r="A22" s="331"/>
      <c r="B22" s="312" t="s">
        <v>56</v>
      </c>
      <c r="C22" s="352" t="s">
        <v>99</v>
      </c>
      <c r="D22" s="313" t="s">
        <v>0</v>
      </c>
      <c r="E22" s="314">
        <v>2631</v>
      </c>
      <c r="F22" s="414">
        <v>0</v>
      </c>
      <c r="G22" s="425"/>
      <c r="H22" s="401">
        <f>E22-F22</f>
        <v>2631</v>
      </c>
      <c r="I22" s="300"/>
      <c r="J22" s="390">
        <f>H22/(1-K22)</f>
        <v>2706.1219451987163</v>
      </c>
      <c r="K22" s="382">
        <f>K21</f>
        <v>2.776E-2</v>
      </c>
      <c r="L22" s="473">
        <f>0.0134</f>
        <v>1.34E-2</v>
      </c>
      <c r="M22" s="473">
        <f>0.0022</f>
        <v>2.2000000000000001E-3</v>
      </c>
      <c r="N22" s="473">
        <f>0.007</f>
        <v>7.0000000000000001E-3</v>
      </c>
      <c r="O22" s="296"/>
      <c r="P22" s="296"/>
      <c r="Q22" s="296"/>
    </row>
    <row r="23" spans="1:17">
      <c r="A23" s="331"/>
      <c r="B23" s="312" t="s">
        <v>56</v>
      </c>
      <c r="C23" s="352" t="s">
        <v>127</v>
      </c>
      <c r="D23" s="313" t="s">
        <v>0</v>
      </c>
      <c r="E23" s="314">
        <v>50270</v>
      </c>
      <c r="F23" s="414">
        <v>0</v>
      </c>
      <c r="G23" s="425"/>
      <c r="H23" s="401">
        <f>E23-F23</f>
        <v>50270</v>
      </c>
      <c r="I23" s="300"/>
      <c r="J23" s="390">
        <f>H23/(1-K23)</f>
        <v>51705.340245206942</v>
      </c>
      <c r="K23" s="382">
        <f>K22</f>
        <v>2.776E-2</v>
      </c>
      <c r="L23" s="473">
        <f>0.0134</f>
        <v>1.34E-2</v>
      </c>
      <c r="M23" s="473">
        <f>0.0022</f>
        <v>2.2000000000000001E-3</v>
      </c>
      <c r="N23" s="473">
        <f>0.007</f>
        <v>7.0000000000000001E-3</v>
      </c>
      <c r="O23" s="296"/>
      <c r="P23" s="296"/>
      <c r="Q23" s="296"/>
    </row>
    <row r="24" spans="1:17">
      <c r="A24" s="331"/>
      <c r="B24" s="312" t="s">
        <v>56</v>
      </c>
      <c r="C24" s="352" t="s">
        <v>105</v>
      </c>
      <c r="D24" s="313" t="s">
        <v>0</v>
      </c>
      <c r="E24" s="314">
        <v>38000</v>
      </c>
      <c r="F24" s="414">
        <v>0</v>
      </c>
      <c r="G24" s="425"/>
      <c r="H24" s="401">
        <f>E24-F24</f>
        <v>38000</v>
      </c>
      <c r="I24" s="300"/>
      <c r="J24" s="390">
        <f>H24/(1-K24)</f>
        <v>39084.999588578954</v>
      </c>
      <c r="K24" s="382">
        <f>K23</f>
        <v>2.776E-2</v>
      </c>
      <c r="L24" s="473">
        <f>0.0134</f>
        <v>1.34E-2</v>
      </c>
      <c r="M24" s="473">
        <f>0.0022</f>
        <v>2.2000000000000001E-3</v>
      </c>
      <c r="N24" s="473">
        <f>0.007</f>
        <v>7.0000000000000001E-3</v>
      </c>
      <c r="O24" s="296"/>
      <c r="P24" s="296"/>
      <c r="Q24" s="296"/>
    </row>
    <row r="25" spans="1:17" ht="16.5" thickBot="1">
      <c r="A25" s="331"/>
      <c r="B25" s="353"/>
      <c r="C25" s="354"/>
      <c r="D25" s="354"/>
      <c r="E25" s="386">
        <f>SUM(E21:E24)</f>
        <v>95901</v>
      </c>
      <c r="F25" s="423">
        <f>SUM(F21:F24)</f>
        <v>0</v>
      </c>
      <c r="G25" s="425"/>
      <c r="H25" s="410">
        <f>E25-F25</f>
        <v>95901</v>
      </c>
      <c r="I25" s="378"/>
      <c r="J25" s="397"/>
      <c r="K25" s="296"/>
      <c r="L25" s="296"/>
      <c r="M25" s="296"/>
      <c r="N25" s="296"/>
      <c r="O25" s="296"/>
      <c r="P25" s="296"/>
      <c r="Q25" s="296"/>
    </row>
    <row r="26" spans="1:17">
      <c r="A26" s="331"/>
      <c r="B26" s="296"/>
      <c r="C26" s="355"/>
      <c r="D26" s="355"/>
      <c r="E26" s="355"/>
      <c r="F26" s="356"/>
      <c r="G26" s="35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 spans="1:17">
      <c r="A27" s="331"/>
      <c r="B27" s="296" t="s">
        <v>156</v>
      </c>
      <c r="C27" s="355"/>
      <c r="D27" s="355"/>
      <c r="E27" s="355">
        <f>SUM(E25,E12)</f>
        <v>123257</v>
      </c>
      <c r="F27" s="355">
        <f>SUM(F25,F12)</f>
        <v>0</v>
      </c>
      <c r="G27" s="355"/>
      <c r="H27" s="355">
        <f>SUM(H25,H12)</f>
        <v>123257</v>
      </c>
      <c r="I27" s="296"/>
      <c r="J27" s="296"/>
      <c r="K27" s="296"/>
      <c r="L27" s="296"/>
      <c r="M27" s="296"/>
      <c r="N27" s="296"/>
      <c r="O27" s="296"/>
      <c r="P27" s="296"/>
      <c r="Q27" s="296"/>
    </row>
    <row r="28" spans="1:17">
      <c r="A28" s="331"/>
      <c r="B28" s="296"/>
      <c r="C28" s="355"/>
      <c r="D28" s="355"/>
      <c r="E28" s="355"/>
      <c r="F28" s="355"/>
      <c r="G28" s="355"/>
      <c r="H28" s="355"/>
      <c r="I28" s="296"/>
      <c r="J28" s="296"/>
      <c r="K28" s="296"/>
      <c r="L28" s="296"/>
      <c r="M28" s="296"/>
      <c r="N28" s="296"/>
      <c r="O28" s="296"/>
      <c r="P28" s="296"/>
      <c r="Q28" s="296"/>
    </row>
    <row r="29" spans="1:17" ht="16.5" thickBot="1">
      <c r="A29" s="331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</row>
    <row r="30" spans="1:17" ht="16.5" thickTop="1">
      <c r="A30" s="296"/>
      <c r="B30" s="357"/>
      <c r="C30" s="358" t="s">
        <v>159</v>
      </c>
      <c r="D30" s="359">
        <f ca="1">D2</f>
        <v>41895</v>
      </c>
      <c r="E30" s="359"/>
      <c r="F30" s="360"/>
      <c r="G30" s="360"/>
      <c r="H30" s="360"/>
      <c r="I30" s="361"/>
      <c r="J30" s="362"/>
      <c r="K30" s="331"/>
      <c r="L30" s="331"/>
      <c r="M30" s="331"/>
      <c r="N30" s="331"/>
      <c r="O30" s="331"/>
      <c r="P30" s="331"/>
      <c r="Q30" s="331"/>
    </row>
    <row r="31" spans="1:17">
      <c r="A31" s="363"/>
      <c r="B31" s="364"/>
      <c r="C31" s="365"/>
      <c r="D31" s="365"/>
      <c r="E31" s="365"/>
      <c r="F31" s="365"/>
      <c r="G31" s="365"/>
      <c r="H31" s="365"/>
      <c r="I31" s="363"/>
      <c r="J31" s="364"/>
      <c r="K31" s="331"/>
      <c r="L31" s="331"/>
      <c r="M31" s="331"/>
      <c r="N31" s="331"/>
      <c r="O31" s="331"/>
      <c r="P31" s="331"/>
      <c r="Q31" s="331"/>
    </row>
    <row r="32" spans="1:17">
      <c r="A32" s="296"/>
      <c r="B32" s="366"/>
      <c r="C32" s="296"/>
      <c r="D32" s="300"/>
      <c r="E32" s="344" t="s">
        <v>165</v>
      </c>
      <c r="F32" s="367">
        <v>27493</v>
      </c>
      <c r="G32" s="367"/>
      <c r="H32" s="300"/>
      <c r="I32" s="296"/>
      <c r="J32" s="362"/>
      <c r="K32" s="331"/>
      <c r="L32" s="331"/>
      <c r="M32" s="331"/>
      <c r="N32" s="331"/>
      <c r="O32" s="331"/>
      <c r="P32" s="331"/>
      <c r="Q32" s="331"/>
    </row>
    <row r="33" spans="1:17" ht="16.5" thickBot="1">
      <c r="A33" s="296"/>
      <c r="B33" s="362"/>
      <c r="C33" s="330"/>
      <c r="D33" s="368" t="s">
        <v>161</v>
      </c>
      <c r="E33" s="369" t="s">
        <v>162</v>
      </c>
      <c r="F33" s="370" t="s">
        <v>164</v>
      </c>
      <c r="G33" s="369"/>
      <c r="H33" s="371" t="s">
        <v>163</v>
      </c>
      <c r="I33" s="296"/>
      <c r="J33" s="362"/>
      <c r="K33" s="331"/>
      <c r="L33" s="331"/>
      <c r="M33" s="331"/>
      <c r="N33" s="331"/>
      <c r="O33" s="331"/>
      <c r="P33" s="331"/>
      <c r="Q33" s="331"/>
    </row>
    <row r="34" spans="1:17" ht="16.5" thickTop="1">
      <c r="A34" s="296"/>
      <c r="B34" s="440" t="s">
        <v>185</v>
      </c>
      <c r="C34" s="441">
        <v>0</v>
      </c>
      <c r="D34" s="435"/>
      <c r="E34" s="433"/>
      <c r="F34" s="434"/>
      <c r="G34" s="435"/>
      <c r="H34" s="436"/>
      <c r="I34" s="296"/>
      <c r="J34" s="362"/>
      <c r="K34" s="331"/>
      <c r="L34" s="331"/>
      <c r="M34" s="331"/>
      <c r="N34" s="331"/>
      <c r="O34" s="331"/>
      <c r="P34" s="331"/>
      <c r="Q34" s="331"/>
    </row>
    <row r="35" spans="1:17">
      <c r="A35" s="296"/>
      <c r="B35" s="430" t="s">
        <v>186</v>
      </c>
      <c r="C35" s="442">
        <v>0</v>
      </c>
      <c r="D35" s="439"/>
      <c r="E35" s="435"/>
      <c r="F35" s="437"/>
      <c r="G35" s="435"/>
      <c r="H35" s="438"/>
      <c r="I35" s="296"/>
      <c r="J35" s="362"/>
      <c r="K35" s="331"/>
      <c r="L35" s="331"/>
      <c r="M35" s="331"/>
      <c r="N35" s="331"/>
      <c r="O35" s="331"/>
      <c r="P35" s="331"/>
      <c r="Q35" s="331"/>
    </row>
    <row r="36" spans="1:17" ht="16.5" thickBot="1">
      <c r="A36" s="296"/>
      <c r="B36" s="443" t="s">
        <v>187</v>
      </c>
      <c r="C36" s="444">
        <v>0</v>
      </c>
      <c r="D36" s="439"/>
      <c r="E36" s="435"/>
      <c r="F36" s="434"/>
      <c r="G36" s="435"/>
      <c r="H36" s="438"/>
      <c r="I36" s="296"/>
      <c r="J36" s="362"/>
      <c r="K36" s="331"/>
      <c r="L36" s="331"/>
      <c r="M36" s="331"/>
      <c r="N36" s="331"/>
      <c r="O36" s="331"/>
      <c r="P36" s="331"/>
      <c r="Q36" s="331"/>
    </row>
    <row r="37" spans="1:17" ht="16.5" thickTop="1">
      <c r="A37" s="296"/>
      <c r="B37" s="430" t="s">
        <v>178</v>
      </c>
      <c r="C37" s="445">
        <v>0</v>
      </c>
      <c r="D37" s="456">
        <f>C37</f>
        <v>0</v>
      </c>
      <c r="E37" s="457"/>
      <c r="F37" s="458">
        <f>C37</f>
        <v>0</v>
      </c>
      <c r="G37" s="464"/>
      <c r="H37" s="460"/>
      <c r="I37" s="296"/>
      <c r="J37" s="362"/>
      <c r="K37" s="331"/>
      <c r="L37" s="331"/>
      <c r="M37" s="331"/>
      <c r="N37" s="331"/>
      <c r="O37" s="331"/>
      <c r="P37" s="331"/>
      <c r="Q37" s="331"/>
    </row>
    <row r="38" spans="1:17">
      <c r="A38" s="296"/>
      <c r="B38" s="430" t="s">
        <v>179</v>
      </c>
      <c r="C38" s="445">
        <v>0</v>
      </c>
      <c r="D38" s="460"/>
      <c r="E38" s="459">
        <f>C38</f>
        <v>0</v>
      </c>
      <c r="F38" s="461"/>
      <c r="G38" s="464"/>
      <c r="H38" s="456">
        <f>C38</f>
        <v>0</v>
      </c>
      <c r="I38" s="296"/>
      <c r="J38" s="362"/>
      <c r="K38" s="331"/>
      <c r="L38" s="331"/>
      <c r="M38" s="331"/>
      <c r="N38" s="331"/>
      <c r="O38" s="331"/>
      <c r="P38" s="331"/>
      <c r="Q38" s="331"/>
    </row>
    <row r="39" spans="1:17">
      <c r="A39" s="296"/>
      <c r="B39" s="364" t="s">
        <v>176</v>
      </c>
      <c r="C39" s="446">
        <v>0</v>
      </c>
      <c r="D39" s="451">
        <f>C39</f>
        <v>0</v>
      </c>
      <c r="E39" s="448">
        <v>0</v>
      </c>
      <c r="F39" s="454">
        <f>C39</f>
        <v>0</v>
      </c>
      <c r="G39" s="453"/>
      <c r="H39" s="451">
        <v>0</v>
      </c>
      <c r="I39" s="296"/>
      <c r="J39" s="362"/>
      <c r="K39" s="331"/>
      <c r="L39" s="331"/>
      <c r="M39" s="331"/>
      <c r="N39" s="331"/>
      <c r="O39" s="331"/>
      <c r="P39" s="331"/>
      <c r="Q39" s="331"/>
    </row>
    <row r="40" spans="1:17">
      <c r="A40" s="296"/>
      <c r="B40" s="364" t="s">
        <v>175</v>
      </c>
      <c r="C40" s="446">
        <v>0</v>
      </c>
      <c r="D40" s="452">
        <f>(C40*0.8)</f>
        <v>0</v>
      </c>
      <c r="E40" s="449">
        <f>(C40*0.2)</f>
        <v>0</v>
      </c>
      <c r="F40" s="455">
        <f>(C40*0.6)</f>
        <v>0</v>
      </c>
      <c r="G40" s="450"/>
      <c r="H40" s="452">
        <f>(C40*0.4)</f>
        <v>0</v>
      </c>
      <c r="I40" s="296"/>
      <c r="J40" s="362"/>
      <c r="K40" s="331"/>
      <c r="L40" s="331"/>
      <c r="M40" s="331"/>
      <c r="N40" s="331"/>
      <c r="O40" s="331"/>
      <c r="P40" s="331"/>
      <c r="Q40" s="331"/>
    </row>
    <row r="41" spans="1:17" ht="16.5" thickBot="1">
      <c r="A41" s="296"/>
      <c r="B41" s="364" t="s">
        <v>177</v>
      </c>
      <c r="C41" s="446">
        <v>0</v>
      </c>
      <c r="D41" s="372"/>
      <c r="E41" s="330"/>
      <c r="F41" s="373"/>
      <c r="G41" s="330"/>
      <c r="H41" s="374"/>
      <c r="I41" s="296"/>
      <c r="J41" s="362"/>
      <c r="K41" s="331"/>
      <c r="L41" s="331"/>
      <c r="M41" s="331"/>
      <c r="N41" s="331"/>
      <c r="O41" s="331"/>
      <c r="P41" s="331"/>
      <c r="Q41" s="331"/>
    </row>
    <row r="42" spans="1:17" ht="16.5" thickBot="1">
      <c r="A42" s="296"/>
      <c r="B42" s="366"/>
      <c r="C42" s="447">
        <f>SUM(C37:C41)</f>
        <v>0</v>
      </c>
      <c r="D42" s="375">
        <f>SUM(D34:D41)</f>
        <v>0</v>
      </c>
      <c r="E42" s="375">
        <f>SUM(E34:E41)</f>
        <v>0</v>
      </c>
      <c r="F42" s="375">
        <f>SUM(F34:F41)</f>
        <v>0</v>
      </c>
      <c r="G42" s="428"/>
      <c r="H42" s="427">
        <f>SUM(H34:H41)</f>
        <v>0</v>
      </c>
      <c r="I42" s="296"/>
      <c r="J42" s="362"/>
      <c r="K42" s="331"/>
      <c r="L42" s="331"/>
      <c r="M42" s="331"/>
      <c r="N42" s="331"/>
      <c r="O42" s="331"/>
      <c r="P42" s="331"/>
      <c r="Q42" s="331"/>
    </row>
    <row r="43" spans="1:17" ht="18">
      <c r="A43" s="296"/>
      <c r="B43" s="362"/>
      <c r="C43" s="376"/>
      <c r="D43" s="300"/>
      <c r="E43" s="300"/>
      <c r="F43" s="300"/>
      <c r="G43" s="300"/>
      <c r="H43" s="300"/>
      <c r="I43" s="296"/>
      <c r="J43" s="362"/>
      <c r="K43" s="331"/>
      <c r="L43" s="331"/>
      <c r="M43" s="331"/>
      <c r="N43" s="331"/>
      <c r="O43" s="331"/>
      <c r="P43" s="331"/>
      <c r="Q43" s="331"/>
    </row>
    <row r="44" spans="1:17" ht="16.5" thickBot="1">
      <c r="A44" s="296"/>
      <c r="B44" s="377"/>
      <c r="C44" s="378"/>
      <c r="D44" s="378"/>
      <c r="E44" s="378"/>
      <c r="F44" s="378"/>
      <c r="G44" s="378"/>
      <c r="H44" s="378"/>
      <c r="I44" s="379"/>
      <c r="J44" s="362"/>
      <c r="K44" s="331"/>
      <c r="L44" s="331"/>
      <c r="M44" s="331"/>
      <c r="N44" s="331"/>
      <c r="O44" s="331"/>
      <c r="P44" s="331"/>
      <c r="Q44" s="331"/>
    </row>
    <row r="45" spans="1:17" ht="16.5" thickTop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331"/>
      <c r="L45" s="331"/>
      <c r="M45" s="331"/>
      <c r="N45" s="331"/>
      <c r="O45" s="331"/>
      <c r="P45" s="331"/>
      <c r="Q45" s="331"/>
    </row>
    <row r="46" spans="1:17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</row>
    <row r="47" spans="1:17">
      <c r="A47" s="380"/>
      <c r="B47" s="296"/>
      <c r="C47" s="296"/>
      <c r="D47" s="296"/>
      <c r="E47" s="296"/>
      <c r="F47" s="296"/>
      <c r="G47" s="296"/>
      <c r="H47" s="296"/>
      <c r="I47" s="296"/>
      <c r="J47" s="296"/>
      <c r="K47" s="331"/>
      <c r="L47" s="331"/>
      <c r="M47" s="331"/>
      <c r="N47" s="331"/>
      <c r="O47" s="331"/>
      <c r="P47" s="331"/>
      <c r="Q47" s="331"/>
    </row>
    <row r="48" spans="1:17">
      <c r="A48" s="296"/>
      <c r="B48" s="381" t="s">
        <v>160</v>
      </c>
      <c r="C48" s="296"/>
      <c r="D48" s="296"/>
      <c r="E48" s="296"/>
      <c r="F48" s="296"/>
      <c r="G48" s="296"/>
      <c r="H48" s="296"/>
      <c r="I48" s="296"/>
      <c r="J48" s="296"/>
      <c r="K48" s="331"/>
      <c r="L48" s="331"/>
      <c r="M48" s="331"/>
      <c r="N48" s="331"/>
      <c r="O48" s="331"/>
      <c r="P48" s="331"/>
      <c r="Q48" s="331"/>
    </row>
  </sheetData>
  <phoneticPr fontId="18" type="noConversion"/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37033</v>
      </c>
      <c r="F4" s="241"/>
      <c r="G4" s="19"/>
      <c r="H4" s="30">
        <v>37034</v>
      </c>
      <c r="I4" s="23"/>
      <c r="J4" s="30">
        <v>37035</v>
      </c>
      <c r="K4" s="23"/>
      <c r="L4" s="30">
        <v>37036</v>
      </c>
      <c r="M4" s="23"/>
      <c r="N4" s="30">
        <v>37037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89</v>
      </c>
      <c r="F8" s="106">
        <v>70</v>
      </c>
      <c r="G8" s="33"/>
      <c r="H8" s="42">
        <v>78</v>
      </c>
      <c r="I8" s="33">
        <v>67</v>
      </c>
      <c r="J8" s="42">
        <v>81</v>
      </c>
      <c r="K8" s="33">
        <v>58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14.5</v>
      </c>
      <c r="F9" s="108"/>
      <c r="G9" s="121"/>
      <c r="H9" s="45">
        <f>(H8+I8)/2-65</f>
        <v>7.5</v>
      </c>
      <c r="I9" s="43"/>
      <c r="J9" s="45">
        <f>(J8+K8)/2-65</f>
        <v>4.5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44256.26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-1557.260000000002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3750</v>
      </c>
      <c r="K35" s="469">
        <f>J35+J43</f>
        <v>1179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3750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-18564</v>
      </c>
      <c r="F38" s="123"/>
      <c r="G38" s="134"/>
      <c r="H38" s="26">
        <v>-19509</v>
      </c>
      <c r="I38" s="3"/>
      <c r="J38" s="26">
        <v>-10720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1803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10974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-10523</v>
      </c>
      <c r="F50" s="123"/>
      <c r="G50" s="134"/>
      <c r="H50" s="16">
        <v>-10974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612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6938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6920.6550000000007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0.15637686058424277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0.26980942078803166</v>
      </c>
      <c r="M58" s="3"/>
      <c r="N58" s="148">
        <f>N57/N66</f>
        <v>0.26980942078803166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44256.26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64554.26</v>
      </c>
      <c r="M66" s="3"/>
      <c r="N66" s="15">
        <f>N29+N44+N56+N61+N62</f>
        <v>64554.26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21855.260000000002</v>
      </c>
      <c r="M68" s="3"/>
      <c r="N68" s="31">
        <f>N66-N11</f>
        <v>21855.260000000002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37032</v>
      </c>
      <c r="F4" s="241"/>
      <c r="G4" s="19"/>
      <c r="H4" s="30">
        <v>37033</v>
      </c>
      <c r="I4" s="23"/>
      <c r="J4" s="30">
        <v>37034</v>
      </c>
      <c r="K4" s="23"/>
      <c r="L4" s="30">
        <v>37035</v>
      </c>
      <c r="M4" s="23"/>
      <c r="N4" s="30">
        <v>37036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62</v>
      </c>
      <c r="G8" s="33"/>
      <c r="H8" s="42">
        <v>91</v>
      </c>
      <c r="I8" s="33">
        <v>68</v>
      </c>
      <c r="J8" s="42">
        <v>77</v>
      </c>
      <c r="K8" s="33">
        <v>67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5" thickBot="1">
      <c r="B9" s="43" t="s">
        <v>47</v>
      </c>
      <c r="C9" s="44"/>
      <c r="D9" s="43"/>
      <c r="E9" s="107">
        <f>(E8+F8)/2-65</f>
        <v>6</v>
      </c>
      <c r="F9" s="108"/>
      <c r="G9" s="121"/>
      <c r="H9" s="45">
        <f>(H8+I8)/2-65</f>
        <v>14.5</v>
      </c>
      <c r="I9" s="43"/>
      <c r="J9" s="45">
        <f>(J8+K8)/2-65</f>
        <v>7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44788.26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-2089.260000000002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-16679</v>
      </c>
      <c r="F38" s="123"/>
      <c r="G38" s="134"/>
      <c r="H38" s="467">
        <v>-19509</v>
      </c>
      <c r="I38" s="3"/>
      <c r="J38" s="26">
        <v>-19509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9692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2981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20367</v>
      </c>
      <c r="M44" s="53"/>
      <c r="N44" s="149">
        <f>SUM(N37:N43)</f>
        <v>20367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10974</v>
      </c>
      <c r="K49" s="48"/>
      <c r="L49" s="47">
        <v>10974</v>
      </c>
      <c r="M49" s="48"/>
      <c r="N49" s="47">
        <v>10974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-11169</v>
      </c>
      <c r="F50" s="123"/>
      <c r="G50" s="134"/>
      <c r="H50" s="16">
        <v>-11135</v>
      </c>
      <c r="I50" s="3"/>
      <c r="J50" s="16">
        <v>-10974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-34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10974</v>
      </c>
      <c r="M51" s="4"/>
      <c r="N51" s="9">
        <f>SUM(N49:N50)</f>
        <v>10974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6292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17300</v>
      </c>
      <c r="M56" s="54"/>
      <c r="N56" s="149">
        <f>SUM(N51:N55)</f>
        <v>17300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6276.27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17256.75</v>
      </c>
      <c r="M57" s="3"/>
      <c r="N57" s="11">
        <f>N56*0.9975</f>
        <v>17256.75</v>
      </c>
      <c r="O57" s="3"/>
    </row>
    <row r="58" spans="2:15">
      <c r="B58" s="145" t="s">
        <v>0</v>
      </c>
      <c r="C58" s="9"/>
      <c r="D58" s="3"/>
      <c r="E58" s="147">
        <f>E57/E66</f>
        <v>0.14013203460013851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0.23580509812077405</v>
      </c>
      <c r="M58" s="3"/>
      <c r="N58" s="148">
        <f>N57/N66</f>
        <v>0.23580509812077405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44788.26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73182.260000000009</v>
      </c>
      <c r="M66" s="3"/>
      <c r="N66" s="15">
        <f>N29+N44+N56+N61+N62</f>
        <v>73182.260000000009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30483.260000000009</v>
      </c>
      <c r="M68" s="3"/>
      <c r="N68" s="31">
        <f>N66-N11</f>
        <v>30483.260000000009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37031</v>
      </c>
      <c r="F4" s="241"/>
      <c r="G4" s="19"/>
      <c r="H4" s="30">
        <v>37032</v>
      </c>
      <c r="I4" s="23"/>
      <c r="J4" s="30">
        <v>37033</v>
      </c>
      <c r="K4" s="23"/>
      <c r="L4" s="30">
        <v>37034</v>
      </c>
      <c r="M4" s="23"/>
      <c r="N4" s="30">
        <v>37035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76</v>
      </c>
      <c r="I8" s="33">
        <v>60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3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44047.26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-1348.260000000002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-15733</v>
      </c>
      <c r="F38" s="123"/>
      <c r="G38" s="134"/>
      <c r="H38" s="467">
        <v>-18802</v>
      </c>
      <c r="I38" s="3"/>
      <c r="J38" s="26">
        <v>-18802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467">
        <v>9692</v>
      </c>
      <c r="I39" s="3"/>
      <c r="J39" s="26">
        <v>9692</v>
      </c>
      <c r="K39" s="3"/>
      <c r="L39" s="26">
        <v>9692</v>
      </c>
      <c r="M39" s="3"/>
      <c r="N39" s="26">
        <v>9692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2127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19660</v>
      </c>
      <c r="M44" s="53"/>
      <c r="N44" s="149">
        <f>SUM(N37:N43)</f>
        <v>19660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-11056</v>
      </c>
      <c r="F50" s="123"/>
      <c r="G50" s="134"/>
      <c r="H50" s="16">
        <v>-11135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6405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6388.9875000000002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0.14504846612479413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0.23978860558073883</v>
      </c>
      <c r="M58" s="3"/>
      <c r="N58" s="148">
        <f>N57/N66</f>
        <v>0.23978860558073883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44047.26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72636.260000000009</v>
      </c>
      <c r="M66" s="3"/>
      <c r="N66" s="15">
        <f>N29+N44+N56+N61+N62</f>
        <v>72636.260000000009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29937.260000000009</v>
      </c>
      <c r="M68" s="3"/>
      <c r="N68" s="31">
        <f>N66-N11</f>
        <v>29937.260000000009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37028</v>
      </c>
      <c r="F4" s="241"/>
      <c r="G4" s="19"/>
      <c r="H4" s="30">
        <v>37029</v>
      </c>
      <c r="I4" s="23"/>
      <c r="J4" s="30">
        <v>37030</v>
      </c>
      <c r="K4" s="23"/>
      <c r="L4" s="30">
        <v>37031</v>
      </c>
      <c r="M4" s="23"/>
      <c r="N4" s="30">
        <v>37032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52000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>
        <v>0</v>
      </c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8357</v>
      </c>
      <c r="I35" s="469">
        <f>H36+H44</f>
        <v>858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8357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-12820</v>
      </c>
      <c r="I38" s="3"/>
      <c r="J38" s="26">
        <v>-17002</v>
      </c>
      <c r="K38" s="3"/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-11135</v>
      </c>
      <c r="I50" s="3"/>
      <c r="J50" s="16">
        <v>-11135</v>
      </c>
      <c r="K50" s="3"/>
      <c r="L50" s="16">
        <v>-11135</v>
      </c>
      <c r="M50" s="3"/>
      <c r="N50" s="16">
        <v>-11135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0.14778206929113058</v>
      </c>
      <c r="M58" s="3"/>
      <c r="N58" s="148">
        <f>N57/N66</f>
        <v>0.14778206929113058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42699.26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6" activePane="bottomRight" state="frozen"/>
      <selection pane="topRight" activeCell="E1" sqref="E1"/>
      <selection pane="bottomLeft" activeCell="A10" sqref="A10"/>
      <selection pane="bottomRight" activeCell="H44" sqref="H44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37027</v>
      </c>
      <c r="F4" s="241"/>
      <c r="G4" s="19"/>
      <c r="H4" s="30">
        <v>37028</v>
      </c>
      <c r="I4" s="23"/>
      <c r="J4" s="30">
        <v>37029</v>
      </c>
      <c r="K4" s="23"/>
      <c r="L4" s="30">
        <v>37030</v>
      </c>
      <c r="M4" s="23"/>
      <c r="N4" s="30">
        <v>37031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17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54216.26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-2216.260000000002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3"/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264" t="s">
        <v>129</v>
      </c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3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9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10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3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9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1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52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3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9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8357</v>
      </c>
      <c r="K35" s="3"/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469">
        <f>J36+J44</f>
        <v>858</v>
      </c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8357</v>
      </c>
      <c r="K37" s="3"/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-7285</v>
      </c>
      <c r="F38" s="123"/>
      <c r="G38" s="134"/>
      <c r="H38" s="26">
        <v>-17002</v>
      </c>
      <c r="I38" s="3"/>
      <c r="J38" s="26">
        <v>-12820</v>
      </c>
      <c r="K38" s="146" t="s">
        <v>4</v>
      </c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3"/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10575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49" t="s">
        <v>4</v>
      </c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53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9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8308</v>
      </c>
      <c r="I49" s="48"/>
      <c r="J49" s="47">
        <v>11135</v>
      </c>
      <c r="K49" s="3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-9210</v>
      </c>
      <c r="F50" s="123"/>
      <c r="G50" s="134"/>
      <c r="H50" s="16">
        <v>-8308</v>
      </c>
      <c r="I50" s="3"/>
      <c r="J50" s="16">
        <v>-11135</v>
      </c>
      <c r="K50" s="48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1800</v>
      </c>
      <c r="F51" s="131"/>
      <c r="G51" s="137"/>
      <c r="H51" s="9">
        <f>SUM(H49:H50)</f>
        <v>0</v>
      </c>
      <c r="I51" s="4"/>
      <c r="J51" s="9">
        <f>SUM(J49:J50)</f>
        <v>0</v>
      </c>
      <c r="K51" s="3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4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8126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3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8105.6850000000004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54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0.14950653180429635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0.3081447101074512</v>
      </c>
      <c r="M58" s="3"/>
      <c r="N58" s="148">
        <f>N57/N66</f>
        <v>0.3081447101074512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3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9"/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252" t="s">
        <v>121</v>
      </c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7.25" thickTop="1" thickBot="1">
      <c r="B65" s="17"/>
      <c r="C65" s="15"/>
      <c r="D65" s="17"/>
      <c r="E65" s="173"/>
      <c r="F65" s="174"/>
      <c r="G65" s="255"/>
      <c r="H65" s="150"/>
      <c r="I65" s="55"/>
      <c r="J65" s="150"/>
      <c r="K65" s="9"/>
      <c r="L65" s="150"/>
      <c r="M65" s="55"/>
      <c r="N65" s="150"/>
      <c r="O65" s="55"/>
    </row>
    <row r="66" spans="2:15" ht="16.5" thickTop="1">
      <c r="B66" s="17" t="s">
        <v>17</v>
      </c>
      <c r="C66" s="15"/>
      <c r="D66" s="17"/>
      <c r="E66" s="175">
        <f>E29+E44+E56+E61+E62</f>
        <v>54216.26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55"/>
      <c r="L66" s="15">
        <f>L29+L44+L56+L61+L62</f>
        <v>52632.26</v>
      </c>
      <c r="M66" s="3"/>
      <c r="N66" s="15">
        <f>N29+N44+N56+N61+N62</f>
        <v>52632.26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9933.260000000002</v>
      </c>
      <c r="M68" s="3"/>
      <c r="N68" s="31">
        <f>N66-N11</f>
        <v>9933.260000000002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A34"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37026</v>
      </c>
      <c r="F4" s="241"/>
      <c r="G4" s="19"/>
      <c r="H4" s="30">
        <v>37027</v>
      </c>
      <c r="I4" s="23"/>
      <c r="J4" s="30">
        <v>37028</v>
      </c>
      <c r="K4" s="23"/>
      <c r="L4" s="30">
        <v>37029</v>
      </c>
      <c r="M4" s="23"/>
      <c r="N4" s="30">
        <v>37030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67</v>
      </c>
      <c r="F8" s="106">
        <v>51</v>
      </c>
      <c r="G8" s="33"/>
      <c r="H8" s="42">
        <v>67</v>
      </c>
      <c r="I8" s="33">
        <v>52</v>
      </c>
      <c r="J8" s="42">
        <v>62</v>
      </c>
      <c r="K8" s="33">
        <v>54</v>
      </c>
      <c r="L8" s="42">
        <v>80</v>
      </c>
      <c r="M8" s="33">
        <v>59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-6</v>
      </c>
      <c r="F9" s="108"/>
      <c r="G9" s="121"/>
      <c r="H9" s="45">
        <f>(H8+I8)/2-65</f>
        <v>-5.5</v>
      </c>
      <c r="I9" s="43"/>
      <c r="J9" s="45">
        <f>(J8+K8)/2-65</f>
        <v>-7</v>
      </c>
      <c r="K9" s="43"/>
      <c r="L9" s="45">
        <f>(L8+M8)/2-65</f>
        <v>4.5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51000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-2458.260000000002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39000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467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-10756</v>
      </c>
      <c r="F38" s="123"/>
      <c r="G38" s="134"/>
      <c r="H38" s="467">
        <v>-8711</v>
      </c>
      <c r="I38" s="3"/>
      <c r="J38" s="26">
        <v>-8701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6354</v>
      </c>
      <c r="F44" s="129"/>
      <c r="G44" s="136"/>
      <c r="H44" s="149">
        <f>SUM(H37:H43)</f>
        <v>9149</v>
      </c>
      <c r="I44" s="53"/>
      <c r="J44" s="149">
        <f>SUM(J37:J43)</f>
        <v>9159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11010</v>
      </c>
      <c r="I49" s="48"/>
      <c r="J49" s="47">
        <v>8308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-9049</v>
      </c>
      <c r="F50" s="123"/>
      <c r="G50" s="134"/>
      <c r="H50" s="16">
        <v>-10000</v>
      </c>
      <c r="I50" s="3"/>
      <c r="J50" s="16">
        <v>-8308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1961</v>
      </c>
      <c r="F51" s="131"/>
      <c r="G51" s="137"/>
      <c r="H51" s="9">
        <f>SUM(H49:H50)</f>
        <v>1010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8287</v>
      </c>
      <c r="F56" s="132"/>
      <c r="G56" s="120"/>
      <c r="H56" s="149">
        <f>SUM(H51:H55)</f>
        <v>7336</v>
      </c>
      <c r="I56" s="54"/>
      <c r="J56" s="149">
        <f>SUM(J51:J55)</f>
        <v>6326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8266.2825000000012</v>
      </c>
      <c r="F57" s="123"/>
      <c r="G57" s="19"/>
      <c r="H57" s="11">
        <f>H56*0.9975</f>
        <v>7317.6600000000008</v>
      </c>
      <c r="I57" s="3"/>
      <c r="J57" s="11">
        <f>J56*0.9975</f>
        <v>6310.1850000000004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0.16481058396299886</v>
      </c>
      <c r="F58" s="123"/>
      <c r="G58" s="19"/>
      <c r="H58" s="148">
        <f>H57/H66</f>
        <v>0.14072352715159503</v>
      </c>
      <c r="I58" s="3"/>
      <c r="J58" s="148">
        <f>J57/J66</f>
        <v>0.12372848687438065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50156.26</v>
      </c>
      <c r="F66" s="176"/>
      <c r="G66" s="19"/>
      <c r="H66" s="15">
        <f>H29+H44+H56+H61+H62</f>
        <v>52000.26</v>
      </c>
      <c r="I66" s="3"/>
      <c r="J66" s="15">
        <f>J29+J44+J56+J61+J62</f>
        <v>51000.26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A34"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37025</v>
      </c>
      <c r="F4" s="241"/>
      <c r="G4" s="19"/>
      <c r="H4" s="30">
        <v>37026</v>
      </c>
      <c r="I4" s="23"/>
      <c r="J4" s="30">
        <v>37027</v>
      </c>
      <c r="K4" s="23"/>
      <c r="L4" s="30">
        <v>37028</v>
      </c>
      <c r="M4" s="23"/>
      <c r="N4" s="30">
        <v>37029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51</v>
      </c>
      <c r="G8" s="33"/>
      <c r="H8" s="42">
        <v>70</v>
      </c>
      <c r="I8" s="33">
        <v>51</v>
      </c>
      <c r="J8" s="42">
        <v>70</v>
      </c>
      <c r="K8" s="33">
        <v>54</v>
      </c>
      <c r="L8" s="42">
        <v>75</v>
      </c>
      <c r="M8" s="33">
        <v>55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-5.5</v>
      </c>
      <c r="F9" s="108"/>
      <c r="G9" s="121"/>
      <c r="H9" s="45">
        <f>(H8+I8)/2-65</f>
        <v>-4.5</v>
      </c>
      <c r="I9" s="43"/>
      <c r="J9" s="45">
        <f>(J8+K8)/2-65</f>
        <v>-3</v>
      </c>
      <c r="K9" s="43"/>
      <c r="L9" s="45">
        <f>(L8+M8)/2-65</f>
        <v>0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49151.26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2848.739999999998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v>11789</v>
      </c>
      <c r="I35" s="469">
        <f>H35+H43</f>
        <v>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-11633</v>
      </c>
      <c r="F38" s="123"/>
      <c r="G38" s="134"/>
      <c r="H38" s="467">
        <v>-11186</v>
      </c>
      <c r="I38" s="3"/>
      <c r="J38" s="26">
        <v>-12263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5477</v>
      </c>
      <c r="F44" s="129"/>
      <c r="G44" s="136"/>
      <c r="H44" s="149">
        <f>SUM(H37:H43)</f>
        <v>5924</v>
      </c>
      <c r="I44" s="53"/>
      <c r="J44" s="149">
        <f>SUM(J37:J43)</f>
        <v>4847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9933</v>
      </c>
      <c r="F49" s="124"/>
      <c r="G49" s="135"/>
      <c r="H49" s="47">
        <v>9933</v>
      </c>
      <c r="I49" s="48"/>
      <c r="J49" s="47">
        <v>11010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-8100</v>
      </c>
      <c r="F50" s="123"/>
      <c r="G50" s="134"/>
      <c r="H50" s="466">
        <v>-10000</v>
      </c>
      <c r="I50" s="3"/>
      <c r="J50" s="16">
        <v>-10000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1833</v>
      </c>
      <c r="F51" s="131"/>
      <c r="G51" s="137"/>
      <c r="H51" s="9">
        <f>SUM(H49:H50)</f>
        <v>-67</v>
      </c>
      <c r="I51" s="4"/>
      <c r="J51" s="9">
        <f>SUM(J49:J50)</f>
        <v>1010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8159</v>
      </c>
      <c r="F56" s="132"/>
      <c r="G56" s="120"/>
      <c r="H56" s="149">
        <f>SUM(H51:H55)</f>
        <v>6259</v>
      </c>
      <c r="I56" s="54"/>
      <c r="J56" s="149">
        <f>SUM(J51:J55)</f>
        <v>7336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8138.6025000000009</v>
      </c>
      <c r="F57" s="123"/>
      <c r="G57" s="19"/>
      <c r="H57" s="11">
        <f>H56*0.9975</f>
        <v>6243.3525</v>
      </c>
      <c r="I57" s="3"/>
      <c r="J57" s="11">
        <f>J56*0.9975</f>
        <v>7317.6600000000008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0.1655827846529265</v>
      </c>
      <c r="F58" s="123"/>
      <c r="G58" s="19"/>
      <c r="H58" s="148">
        <f>H57/H66</f>
        <v>0.13089266778284994</v>
      </c>
      <c r="I58" s="3"/>
      <c r="J58" s="148">
        <f>J57/J66</f>
        <v>0.15341565918756786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49151.26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A34" zoomScale="75" workbookViewId="0"/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37024</v>
      </c>
      <c r="F4" s="241"/>
      <c r="G4" s="19"/>
      <c r="H4" s="30">
        <v>37025</v>
      </c>
      <c r="I4" s="23"/>
      <c r="J4" s="30">
        <v>37026</v>
      </c>
      <c r="K4" s="23"/>
      <c r="L4" s="30">
        <v>37027</v>
      </c>
      <c r="M4" s="23"/>
      <c r="N4" s="30">
        <v>37028</v>
      </c>
      <c r="O4" s="23"/>
    </row>
    <row r="5" spans="1:15" s="144" customFormat="1" ht="11.25">
      <c r="B5" s="141"/>
      <c r="C5" s="141"/>
      <c r="D5" s="141"/>
      <c r="E5" s="468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59</v>
      </c>
      <c r="G8" s="33"/>
      <c r="H8" s="42">
        <v>67</v>
      </c>
      <c r="I8" s="33">
        <v>55</v>
      </c>
      <c r="J8" s="42">
        <v>69</v>
      </c>
      <c r="K8" s="33">
        <v>50</v>
      </c>
      <c r="L8" s="42">
        <v>68</v>
      </c>
      <c r="M8" s="33">
        <v>54</v>
      </c>
      <c r="N8" s="42">
        <v>69</v>
      </c>
      <c r="O8" s="33">
        <v>54</v>
      </c>
    </row>
    <row r="9" spans="1:15" s="36" customFormat="1" ht="16.5" thickBot="1">
      <c r="B9" s="43" t="s">
        <v>47</v>
      </c>
      <c r="C9" s="44"/>
      <c r="D9" s="43"/>
      <c r="E9" s="107">
        <f>(E8+F8)/2-65</f>
        <v>-1.5</v>
      </c>
      <c r="F9" s="108"/>
      <c r="G9" s="121"/>
      <c r="H9" s="45">
        <f>(H8+I8)/2-65</f>
        <v>-4</v>
      </c>
      <c r="I9" s="43"/>
      <c r="J9" s="45">
        <f>(J8+K8)/2-65</f>
        <v>-5.5</v>
      </c>
      <c r="K9" s="43"/>
      <c r="L9" s="45">
        <f>(L8+M8)/2-65</f>
        <v>-4</v>
      </c>
      <c r="M9" s="43"/>
      <c r="N9" s="45">
        <f>(N8+O8)/2-65</f>
        <v>-3.5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65698</v>
      </c>
      <c r="K11" s="3"/>
      <c r="L11" s="9">
        <v>61199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42649.26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5048.739999999998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53698</v>
      </c>
      <c r="K16" s="3"/>
      <c r="L16" s="263">
        <f>L11-L17</f>
        <v>49199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21789</v>
      </c>
      <c r="F35" s="124"/>
      <c r="G35" s="135"/>
      <c r="H35" s="26">
        <v>21789</v>
      </c>
      <c r="I35" s="469">
        <f>H35+H43</f>
        <v>19218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21789</v>
      </c>
      <c r="F37" s="127" t="s">
        <v>4</v>
      </c>
      <c r="G37" s="253"/>
      <c r="H37" s="49">
        <f>SUM(H34:H36)</f>
        <v>21789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-25773</v>
      </c>
      <c r="F38" s="123"/>
      <c r="G38" s="134"/>
      <c r="H38" s="26">
        <v>-18768</v>
      </c>
      <c r="I38" s="3"/>
      <c r="J38" s="26">
        <v>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770</v>
      </c>
      <c r="F44" s="129"/>
      <c r="G44" s="136"/>
      <c r="H44" s="149">
        <f>SUM(H37:H43)</f>
        <v>8342</v>
      </c>
      <c r="I44" s="53"/>
      <c r="J44" s="149">
        <f>SUM(J37:J43)</f>
        <v>17110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18817</v>
      </c>
      <c r="F49" s="124"/>
      <c r="G49" s="135"/>
      <c r="H49" s="47">
        <f>18865-48</f>
        <v>18817</v>
      </c>
      <c r="I49" s="48"/>
      <c r="J49" s="47">
        <v>9933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-18804</v>
      </c>
      <c r="F50" s="123"/>
      <c r="G50" s="134"/>
      <c r="H50" s="16">
        <v>-17000</v>
      </c>
      <c r="I50" s="3"/>
      <c r="J50" s="16">
        <v>-3186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13</v>
      </c>
      <c r="F51" s="131"/>
      <c r="G51" s="137"/>
      <c r="H51" s="9">
        <f>SUM(H49:H50)</f>
        <v>1817</v>
      </c>
      <c r="I51" s="4"/>
      <c r="J51" s="9">
        <f>SUM(J49:J50)</f>
        <v>6747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6364</v>
      </c>
      <c r="F56" s="132"/>
      <c r="G56" s="120"/>
      <c r="H56" s="149">
        <f>SUM(H51:H55)</f>
        <v>8143</v>
      </c>
      <c r="I56" s="54"/>
      <c r="J56" s="149">
        <f>SUM(J51:J55)</f>
        <v>13073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6348.09</v>
      </c>
      <c r="F57" s="123"/>
      <c r="G57" s="19"/>
      <c r="H57" s="11">
        <f>H56*0.9975</f>
        <v>8122.6425000000008</v>
      </c>
      <c r="I57" s="3"/>
      <c r="J57" s="11">
        <f>J56*0.9975</f>
        <v>13040.317500000001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0.14884408310953109</v>
      </c>
      <c r="F58" s="123"/>
      <c r="G58" s="19"/>
      <c r="H58" s="148">
        <f>H57/H66</f>
        <v>0.15620388244212627</v>
      </c>
      <c r="I58" s="3"/>
      <c r="J58" s="148">
        <f>J57/J66</f>
        <v>0.19848801931740656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42649.26</v>
      </c>
      <c r="F66" s="176"/>
      <c r="G66" s="19"/>
      <c r="H66" s="15">
        <f>H29+H44+H56+H61+H62</f>
        <v>52000.26</v>
      </c>
      <c r="I66" s="3"/>
      <c r="J66" s="15">
        <f>J29+J44+J56+J61+J62</f>
        <v>65698.260000000009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0.26000000000931323</v>
      </c>
      <c r="K68" s="3"/>
      <c r="L68" s="31">
        <f>L66-L11</f>
        <v>7685.2600000000093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37021</v>
      </c>
      <c r="F4" s="241"/>
      <c r="G4" s="19"/>
      <c r="H4" s="30">
        <v>37022</v>
      </c>
      <c r="I4" s="23"/>
      <c r="J4" s="30">
        <v>37023</v>
      </c>
      <c r="K4" s="23"/>
      <c r="L4" s="30">
        <v>37024</v>
      </c>
      <c r="M4" s="23"/>
      <c r="N4" s="30">
        <v>37025</v>
      </c>
      <c r="O4" s="23"/>
    </row>
    <row r="5" spans="1:15" s="144" customFormat="1" ht="11.25">
      <c r="B5" s="141"/>
      <c r="C5" s="141"/>
      <c r="D5" s="141"/>
      <c r="E5" s="468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56</v>
      </c>
      <c r="G8" s="33"/>
      <c r="H8" s="42">
        <v>88</v>
      </c>
      <c r="I8" s="33">
        <v>60</v>
      </c>
      <c r="J8" s="42">
        <v>86</v>
      </c>
      <c r="K8" s="33">
        <v>68</v>
      </c>
      <c r="L8" s="42">
        <v>66</v>
      </c>
      <c r="M8" s="33">
        <v>55</v>
      </c>
      <c r="N8" s="42">
        <v>74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3</v>
      </c>
      <c r="F9" s="108"/>
      <c r="G9" s="121"/>
      <c r="H9" s="45">
        <f>(H8+I8)/2-65</f>
        <v>9</v>
      </c>
      <c r="I9" s="43"/>
      <c r="J9" s="45">
        <f>(J8+K8)/2-65</f>
        <v>12</v>
      </c>
      <c r="K9" s="43"/>
      <c r="L9" s="45">
        <f>(L8+M8)/2-65</f>
        <v>-4.5</v>
      </c>
      <c r="M9" s="43"/>
      <c r="N9" s="45">
        <f>(N8+O8)/2-65</f>
        <v>-3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47687.26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10.739999999997963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f>11789</f>
        <v>11789</v>
      </c>
      <c r="I35" s="469">
        <f>H35+H43</f>
        <v>9218</v>
      </c>
      <c r="J35" s="26">
        <v>21789</v>
      </c>
      <c r="K35" s="469">
        <f>J35+J43</f>
        <v>19218</v>
      </c>
      <c r="L35" s="26">
        <v>21789</v>
      </c>
      <c r="M35" s="469">
        <f>L35+L43</f>
        <v>19218</v>
      </c>
      <c r="N35" s="26">
        <v>21789</v>
      </c>
      <c r="O35" s="469">
        <f>N35+N43</f>
        <v>19218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21789</v>
      </c>
      <c r="K37" s="146" t="s">
        <v>4</v>
      </c>
      <c r="L37" s="49">
        <f>SUM(L34:L36)</f>
        <v>21789</v>
      </c>
      <c r="M37" s="146" t="s">
        <v>4</v>
      </c>
      <c r="N37" s="49">
        <f>SUM(N34:N36)</f>
        <v>21789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-11217</v>
      </c>
      <c r="F38" s="123"/>
      <c r="G38" s="134"/>
      <c r="H38" s="26">
        <v>-10686</v>
      </c>
      <c r="I38" s="3"/>
      <c r="J38" s="26">
        <v>-22576</v>
      </c>
      <c r="K38" s="3"/>
      <c r="L38" s="26">
        <f>-22576+22</f>
        <v>-22554</v>
      </c>
      <c r="M38" s="3"/>
      <c r="N38" s="26">
        <f>-22576+48</f>
        <v>-22528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5326</v>
      </c>
      <c r="F44" s="129"/>
      <c r="G44" s="136"/>
      <c r="H44" s="149">
        <f>SUM(H37:H43)</f>
        <v>5857</v>
      </c>
      <c r="I44" s="53"/>
      <c r="J44" s="149">
        <f>SUM(J37:J43)</f>
        <v>3967</v>
      </c>
      <c r="K44" s="53"/>
      <c r="L44" s="149">
        <f>SUM(L37:L43)</f>
        <v>3989</v>
      </c>
      <c r="M44" s="53"/>
      <c r="N44" s="149">
        <f>SUM(N37:N43)</f>
        <v>4015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18865</v>
      </c>
      <c r="K49" s="48"/>
      <c r="L49" s="47">
        <f>18865-22</f>
        <v>18843</v>
      </c>
      <c r="M49" s="48"/>
      <c r="N49" s="47">
        <f>18865-48</f>
        <v>18817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-15413</v>
      </c>
      <c r="F50" s="123"/>
      <c r="G50" s="134"/>
      <c r="H50" s="16">
        <v>-15933</v>
      </c>
      <c r="I50" s="3"/>
      <c r="J50" s="16">
        <v>-17000</v>
      </c>
      <c r="K50" s="3"/>
      <c r="L50" s="16">
        <v>-17000</v>
      </c>
      <c r="M50" s="3"/>
      <c r="N50" s="16">
        <v>-17000</v>
      </c>
      <c r="O50" s="3"/>
    </row>
    <row r="51" spans="2:15">
      <c r="B51" s="3" t="s">
        <v>19</v>
      </c>
      <c r="C51" s="3"/>
      <c r="D51" s="101"/>
      <c r="E51" s="9">
        <f>SUM(E49:E50)</f>
        <v>520</v>
      </c>
      <c r="F51" s="131"/>
      <c r="G51" s="137"/>
      <c r="H51" s="9">
        <f>SUM(H49:H50)</f>
        <v>0</v>
      </c>
      <c r="I51" s="4"/>
      <c r="J51" s="9">
        <f>SUM(J49:J50)</f>
        <v>1865</v>
      </c>
      <c r="K51" s="4"/>
      <c r="L51" s="9">
        <f>SUM(L49:L50)</f>
        <v>1843</v>
      </c>
      <c r="M51" s="4"/>
      <c r="N51" s="9">
        <f>SUM(N49:N50)</f>
        <v>1817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6846</v>
      </c>
      <c r="F56" s="132"/>
      <c r="G56" s="120"/>
      <c r="H56" s="149">
        <f>SUM(H51:H55)</f>
        <v>6326</v>
      </c>
      <c r="I56" s="54"/>
      <c r="J56" s="149">
        <f>SUM(J51:J55)</f>
        <v>8216</v>
      </c>
      <c r="K56" s="54"/>
      <c r="L56" s="149">
        <f>SUM(L51:L55)</f>
        <v>8194</v>
      </c>
      <c r="M56" s="54"/>
      <c r="N56" s="149">
        <f>SUM(N51:N55)</f>
        <v>8168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6828.8850000000002</v>
      </c>
      <c r="F57" s="123"/>
      <c r="G57" s="19"/>
      <c r="H57" s="11">
        <f>H56*0.9975</f>
        <v>6310.1850000000004</v>
      </c>
      <c r="I57" s="3"/>
      <c r="J57" s="11">
        <f>J56*0.9975</f>
        <v>8195.4600000000009</v>
      </c>
      <c r="K57" s="3"/>
      <c r="L57" s="11">
        <f>L56*0.9975</f>
        <v>8173.5150000000003</v>
      </c>
      <c r="M57" s="3"/>
      <c r="N57" s="11">
        <f>N56*0.9975</f>
        <v>8147.5800000000008</v>
      </c>
      <c r="O57" s="3"/>
    </row>
    <row r="58" spans="2:15">
      <c r="B58" s="145" t="s">
        <v>0</v>
      </c>
      <c r="C58" s="9"/>
      <c r="D58" s="3"/>
      <c r="E58" s="147">
        <f>E57/E66</f>
        <v>0.14320145464428025</v>
      </c>
      <c r="F58" s="123"/>
      <c r="G58" s="19"/>
      <c r="H58" s="148">
        <f>H57/H66</f>
        <v>0.13229381952297631</v>
      </c>
      <c r="I58" s="3"/>
      <c r="J58" s="148">
        <f>J57/J66</f>
        <v>0.17181884622206345</v>
      </c>
      <c r="K58" s="3"/>
      <c r="L58" s="148">
        <f>L57/L66</f>
        <v>0.17135876654620105</v>
      </c>
      <c r="M58" s="3"/>
      <c r="N58" s="148">
        <f>N57/N66</f>
        <v>0.17081503602018189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47687.26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47698.26</v>
      </c>
      <c r="M66" s="3"/>
      <c r="N66" s="15">
        <f>N29+N44+N56+N61+N62</f>
        <v>47698.26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43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37020</v>
      </c>
      <c r="F4" s="241"/>
      <c r="G4" s="19"/>
      <c r="H4" s="30">
        <v>37021</v>
      </c>
      <c r="I4" s="23"/>
      <c r="J4" s="30">
        <v>37022</v>
      </c>
      <c r="K4" s="23"/>
      <c r="L4" s="30">
        <v>37023</v>
      </c>
      <c r="M4" s="23"/>
      <c r="N4" s="30">
        <v>37024</v>
      </c>
      <c r="O4" s="23"/>
    </row>
    <row r="5" spans="1:15" s="144" customFormat="1" ht="11.25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50</v>
      </c>
      <c r="G8" s="33"/>
      <c r="H8" s="42">
        <v>72</v>
      </c>
      <c r="I8" s="33">
        <v>52</v>
      </c>
      <c r="J8" s="42">
        <v>84</v>
      </c>
      <c r="K8" s="33">
        <v>55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-4.5</v>
      </c>
      <c r="F9" s="108"/>
      <c r="G9" s="121"/>
      <c r="H9" s="45">
        <f>(H8+I8)/2-65</f>
        <v>-3</v>
      </c>
      <c r="I9" s="43"/>
      <c r="J9" s="45">
        <f>(J8+K8)/2-65</f>
        <v>4.5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48963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52156.26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36963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24252+2571</f>
        <v>26823</v>
      </c>
      <c r="F35" s="124"/>
      <c r="G35" s="135"/>
      <c r="H35" s="26">
        <f>11789</f>
        <v>11789</v>
      </c>
      <c r="I35" s="469">
        <f>H35+H43</f>
        <v>9218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26823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-21606</v>
      </c>
      <c r="F38" s="123"/>
      <c r="G38" s="134"/>
      <c r="H38" s="467">
        <v>-10686</v>
      </c>
      <c r="I38" s="3"/>
      <c r="J38" s="26">
        <v>-10686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9971</v>
      </c>
      <c r="F44" s="129"/>
      <c r="G44" s="136"/>
      <c r="H44" s="149">
        <f>SUM(H37:H43)</f>
        <v>5857</v>
      </c>
      <c r="I44" s="53"/>
      <c r="J44" s="149">
        <f>SUM(J37:J43)</f>
        <v>5857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-15614</v>
      </c>
      <c r="F50" s="123"/>
      <c r="G50" s="134"/>
      <c r="H50" s="16">
        <v>-15933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319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467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6670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6653.3250000000007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>
        <f>E57/E66</f>
        <v>0.12756522419360591</v>
      </c>
      <c r="F58" s="123"/>
      <c r="G58" s="19"/>
      <c r="H58" s="148">
        <f>H57/H66</f>
        <v>0.13229381952297631</v>
      </c>
      <c r="I58" s="3"/>
      <c r="J58" s="148">
        <f>J57/J66</f>
        <v>0.13229381952297631</v>
      </c>
      <c r="K58" s="3"/>
      <c r="L58" s="148">
        <f>L57/L66</f>
        <v>0.13177994188486988</v>
      </c>
      <c r="M58" s="3"/>
      <c r="N58" s="148">
        <f>N57/N66</f>
        <v>0.13177994188486988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52156.26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47884.26</v>
      </c>
      <c r="M66" s="3"/>
      <c r="N66" s="15">
        <f>N29+N44+N56+N61+N62</f>
        <v>47884.26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186.26000000000204</v>
      </c>
      <c r="M68" s="3"/>
      <c r="N68" s="31">
        <f>N66-N11</f>
        <v>186.26000000000204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/>
  </sheetViews>
  <sheetFormatPr defaultRowHeight="15.75"/>
  <cols>
    <col min="3" max="3" width="18.33203125" customWidth="1"/>
    <col min="5" max="5" width="14" customWidth="1"/>
    <col min="6" max="6" width="9.5546875" bestFit="1" customWidth="1"/>
    <col min="7" max="7" width="9.21875" bestFit="1" customWidth="1"/>
  </cols>
  <sheetData>
    <row r="1" spans="1:18">
      <c r="B1" t="s">
        <v>73</v>
      </c>
    </row>
    <row r="2" spans="1:18">
      <c r="B2" t="s">
        <v>74</v>
      </c>
      <c r="E2" s="28" t="s">
        <v>114</v>
      </c>
      <c r="F2" s="240">
        <f ca="1">TODAY()+1</f>
        <v>41887</v>
      </c>
    </row>
    <row r="3" spans="1:18" ht="16.5" thickBot="1">
      <c r="B3" s="182"/>
      <c r="C3" s="249">
        <f ca="1">NOW()</f>
        <v>41886.904541435186</v>
      </c>
      <c r="K3" s="68"/>
      <c r="L3" s="68"/>
      <c r="M3" s="68"/>
      <c r="N3" s="68"/>
      <c r="O3" s="68"/>
      <c r="P3" s="68"/>
      <c r="Q3" s="68"/>
      <c r="R3" s="68"/>
    </row>
    <row r="4" spans="1:18">
      <c r="B4" s="186" t="s">
        <v>75</v>
      </c>
      <c r="C4" s="186"/>
      <c r="D4" s="186"/>
      <c r="E4" s="187" t="s">
        <v>96</v>
      </c>
      <c r="F4" s="187" t="s">
        <v>96</v>
      </c>
      <c r="G4" s="186"/>
      <c r="H4" s="187" t="s">
        <v>115</v>
      </c>
      <c r="I4" s="186"/>
      <c r="K4" s="68"/>
      <c r="L4" s="68"/>
      <c r="M4" s="68"/>
      <c r="N4" s="209"/>
      <c r="O4" s="209"/>
      <c r="P4" s="68"/>
      <c r="Q4" s="68"/>
      <c r="R4" s="68"/>
    </row>
    <row r="5" spans="1:18" s="144" customFormat="1" ht="12" thickBot="1"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76</v>
      </c>
      <c r="I5" s="144" t="s">
        <v>77</v>
      </c>
      <c r="K5" s="209"/>
      <c r="L5" s="209"/>
      <c r="M5" s="209"/>
      <c r="N5" s="209"/>
      <c r="O5" s="209"/>
      <c r="P5" s="209"/>
      <c r="Q5" s="209"/>
      <c r="R5" s="209"/>
    </row>
    <row r="6" spans="1:18">
      <c r="A6" s="27"/>
      <c r="B6" s="183" t="s">
        <v>108</v>
      </c>
      <c r="C6" s="183" t="s">
        <v>82</v>
      </c>
      <c r="D6" s="183">
        <v>47</v>
      </c>
      <c r="E6" s="183" t="s">
        <v>83</v>
      </c>
      <c r="F6" s="183" t="s">
        <v>84</v>
      </c>
      <c r="G6" s="193">
        <v>2375</v>
      </c>
      <c r="H6" s="244">
        <v>2375</v>
      </c>
      <c r="I6" s="193">
        <f t="shared" ref="I6:I23" si="0">G6-H6</f>
        <v>0</v>
      </c>
      <c r="J6" s="27"/>
      <c r="K6" s="210"/>
      <c r="L6" s="210"/>
      <c r="M6" s="212"/>
      <c r="N6" s="213"/>
      <c r="O6" s="210"/>
      <c r="P6" s="211"/>
      <c r="Q6" s="211"/>
      <c r="R6" s="211"/>
    </row>
    <row r="7" spans="1:18" s="27" customFormat="1">
      <c r="B7" s="191" t="s">
        <v>108</v>
      </c>
      <c r="C7" s="191" t="s">
        <v>82</v>
      </c>
      <c r="D7" s="191">
        <v>47</v>
      </c>
      <c r="E7" s="191" t="s">
        <v>149</v>
      </c>
      <c r="F7" s="191" t="s">
        <v>84</v>
      </c>
      <c r="G7" s="192">
        <v>2348</v>
      </c>
      <c r="H7" s="245">
        <v>0</v>
      </c>
      <c r="I7" s="192">
        <f t="shared" si="0"/>
        <v>2348</v>
      </c>
      <c r="K7" s="210"/>
      <c r="L7" s="210"/>
      <c r="M7" s="212"/>
      <c r="N7" s="213"/>
      <c r="O7" s="210"/>
      <c r="P7" s="211"/>
      <c r="Q7" s="211"/>
      <c r="R7" s="211"/>
    </row>
    <row r="8" spans="1:18" s="27" customFormat="1">
      <c r="B8" s="191" t="s">
        <v>108</v>
      </c>
      <c r="C8" s="191" t="s">
        <v>82</v>
      </c>
      <c r="D8" s="191">
        <v>47</v>
      </c>
      <c r="E8" s="191" t="s">
        <v>150</v>
      </c>
      <c r="F8" s="191" t="s">
        <v>84</v>
      </c>
      <c r="G8" s="192">
        <v>0</v>
      </c>
      <c r="H8" s="245">
        <v>2348</v>
      </c>
      <c r="I8" s="192">
        <f>G8-H8</f>
        <v>-2348</v>
      </c>
      <c r="K8" s="210"/>
      <c r="L8" s="210"/>
      <c r="M8" s="212"/>
      <c r="N8" s="213"/>
      <c r="O8" s="210"/>
      <c r="P8" s="211"/>
      <c r="Q8" s="211"/>
      <c r="R8" s="211"/>
    </row>
    <row r="9" spans="1:18" s="27" customFormat="1" hidden="1">
      <c r="B9" s="191" t="s">
        <v>108</v>
      </c>
      <c r="C9" s="191" t="s">
        <v>82</v>
      </c>
      <c r="D9" s="191">
        <v>21881</v>
      </c>
      <c r="E9" s="191" t="s">
        <v>83</v>
      </c>
      <c r="F9" s="191" t="s">
        <v>84</v>
      </c>
      <c r="G9" s="192">
        <v>2598</v>
      </c>
      <c r="H9" s="245">
        <v>0</v>
      </c>
      <c r="I9" s="192">
        <f t="shared" si="0"/>
        <v>2598</v>
      </c>
      <c r="K9" s="210"/>
      <c r="L9" s="210"/>
      <c r="M9" s="212"/>
      <c r="N9" s="213"/>
      <c r="O9" s="210"/>
      <c r="P9" s="211"/>
      <c r="Q9" s="211"/>
      <c r="R9" s="211"/>
    </row>
    <row r="10" spans="1:18" s="27" customFormat="1" hidden="1">
      <c r="B10" s="191" t="s">
        <v>108</v>
      </c>
      <c r="C10" s="191" t="s">
        <v>82</v>
      </c>
      <c r="D10" s="191">
        <v>21882</v>
      </c>
      <c r="E10" s="191" t="s">
        <v>149</v>
      </c>
      <c r="F10" s="191" t="s">
        <v>84</v>
      </c>
      <c r="G10" s="192">
        <v>1062</v>
      </c>
      <c r="H10" s="245">
        <v>0</v>
      </c>
      <c r="I10" s="192">
        <f t="shared" si="0"/>
        <v>1062</v>
      </c>
      <c r="K10" s="210"/>
      <c r="L10" s="210"/>
      <c r="M10" s="212"/>
      <c r="N10" s="213"/>
      <c r="O10" s="210"/>
      <c r="P10" s="211"/>
      <c r="Q10" s="211"/>
      <c r="R10" s="211"/>
    </row>
    <row r="11" spans="1:18" s="27" customFormat="1" hidden="1">
      <c r="B11" s="191" t="s">
        <v>108</v>
      </c>
      <c r="C11" s="191" t="s">
        <v>82</v>
      </c>
      <c r="D11" s="191">
        <v>21882</v>
      </c>
      <c r="E11" s="191" t="s">
        <v>150</v>
      </c>
      <c r="F11" s="191" t="s">
        <v>84</v>
      </c>
      <c r="G11" s="192">
        <v>1062</v>
      </c>
      <c r="H11" s="245">
        <v>0</v>
      </c>
      <c r="I11" s="192">
        <f>G11-H11</f>
        <v>1062</v>
      </c>
      <c r="K11" s="210"/>
      <c r="L11" s="210"/>
      <c r="M11" s="212"/>
      <c r="N11" s="213"/>
      <c r="O11" s="210"/>
      <c r="P11" s="211"/>
      <c r="Q11" s="211"/>
      <c r="R11" s="211"/>
    </row>
    <row r="12" spans="1:18" s="27" customFormat="1">
      <c r="B12" s="191" t="s">
        <v>55</v>
      </c>
      <c r="C12" s="191" t="s">
        <v>86</v>
      </c>
      <c r="D12" s="191">
        <v>0.65069999999999995</v>
      </c>
      <c r="E12" s="191" t="s">
        <v>87</v>
      </c>
      <c r="F12" s="191" t="s">
        <v>88</v>
      </c>
      <c r="G12" s="192">
        <v>556</v>
      </c>
      <c r="H12" s="245">
        <v>550</v>
      </c>
      <c r="I12" s="192">
        <f t="shared" si="0"/>
        <v>6</v>
      </c>
      <c r="K12" s="210"/>
      <c r="L12" s="210"/>
      <c r="M12" s="212"/>
      <c r="N12" s="213"/>
      <c r="O12" s="210"/>
      <c r="P12" s="211"/>
      <c r="Q12" s="211"/>
      <c r="R12" s="211"/>
    </row>
    <row r="13" spans="1:18" s="27" customFormat="1">
      <c r="B13" s="189" t="s">
        <v>20</v>
      </c>
      <c r="C13" s="189" t="s">
        <v>89</v>
      </c>
      <c r="D13" s="189">
        <v>700005</v>
      </c>
      <c r="E13" s="189" t="s">
        <v>90</v>
      </c>
      <c r="F13" s="189" t="s">
        <v>44</v>
      </c>
      <c r="G13" s="190">
        <v>40148</v>
      </c>
      <c r="H13" s="246">
        <v>0</v>
      </c>
      <c r="I13" s="190">
        <f t="shared" si="0"/>
        <v>40148</v>
      </c>
      <c r="K13" s="210"/>
      <c r="L13" s="210"/>
      <c r="M13" s="212"/>
      <c r="N13" s="213"/>
      <c r="O13" s="210"/>
      <c r="P13" s="211"/>
      <c r="Q13" s="211"/>
      <c r="R13" s="211"/>
    </row>
    <row r="14" spans="1:18" s="27" customFormat="1">
      <c r="B14" s="189" t="s">
        <v>20</v>
      </c>
      <c r="C14" s="189" t="s">
        <v>89</v>
      </c>
      <c r="D14" s="189">
        <v>100104</v>
      </c>
      <c r="E14" s="189" t="s">
        <v>90</v>
      </c>
      <c r="F14" s="189" t="s">
        <v>44</v>
      </c>
      <c r="G14" s="190">
        <v>15225</v>
      </c>
      <c r="H14" s="246">
        <v>-11385</v>
      </c>
      <c r="I14" s="190">
        <f t="shared" si="0"/>
        <v>26610</v>
      </c>
      <c r="K14" s="210"/>
      <c r="L14" s="210"/>
      <c r="M14" s="212"/>
      <c r="N14" s="213"/>
      <c r="O14" s="210"/>
      <c r="P14" s="211"/>
      <c r="Q14" s="211"/>
      <c r="R14" s="211"/>
    </row>
    <row r="15" spans="1:18" s="27" customFormat="1">
      <c r="B15" s="189" t="s">
        <v>20</v>
      </c>
      <c r="C15" s="189" t="s">
        <v>28</v>
      </c>
      <c r="D15" s="189">
        <v>200088</v>
      </c>
      <c r="E15" s="189" t="s">
        <v>90</v>
      </c>
      <c r="F15" s="189" t="s">
        <v>44</v>
      </c>
      <c r="G15" s="190">
        <v>11990</v>
      </c>
      <c r="H15" s="246">
        <v>0</v>
      </c>
      <c r="I15" s="190">
        <f t="shared" si="0"/>
        <v>11990</v>
      </c>
      <c r="K15" s="210"/>
      <c r="L15" s="210"/>
      <c r="M15" s="212"/>
      <c r="N15" s="213"/>
      <c r="O15" s="210"/>
      <c r="P15" s="211"/>
      <c r="Q15" s="211"/>
      <c r="R15" s="211"/>
    </row>
    <row r="16" spans="1:18" s="27" customFormat="1">
      <c r="B16" s="189" t="s">
        <v>20</v>
      </c>
      <c r="C16" s="189" t="s">
        <v>86</v>
      </c>
      <c r="D16" s="189">
        <v>100007</v>
      </c>
      <c r="E16" s="189" t="s">
        <v>90</v>
      </c>
      <c r="F16" s="189" t="s">
        <v>44</v>
      </c>
      <c r="G16" s="190">
        <v>13500</v>
      </c>
      <c r="H16" s="246">
        <v>0</v>
      </c>
      <c r="I16" s="190">
        <f t="shared" si="0"/>
        <v>13500</v>
      </c>
      <c r="K16" s="210"/>
      <c r="L16" s="210"/>
      <c r="M16" s="212"/>
      <c r="N16" s="213"/>
      <c r="O16" s="210"/>
      <c r="P16" s="211"/>
      <c r="Q16" s="211"/>
      <c r="R16" s="211"/>
    </row>
    <row r="17" spans="2:20" s="27" customFormat="1">
      <c r="B17" s="184" t="s">
        <v>20</v>
      </c>
      <c r="C17" s="184" t="s">
        <v>86</v>
      </c>
      <c r="D17" s="184">
        <v>100007</v>
      </c>
      <c r="E17" s="184" t="s">
        <v>91</v>
      </c>
      <c r="F17" s="184" t="s">
        <v>44</v>
      </c>
      <c r="G17" s="185">
        <v>12981</v>
      </c>
      <c r="H17" s="247">
        <v>0</v>
      </c>
      <c r="I17" s="185">
        <f t="shared" si="0"/>
        <v>12981</v>
      </c>
      <c r="K17" s="214"/>
      <c r="L17" s="214"/>
      <c r="M17" s="216"/>
      <c r="N17" s="217"/>
      <c r="O17" s="214"/>
      <c r="P17" s="215"/>
      <c r="Q17" s="215"/>
      <c r="R17" s="215"/>
    </row>
    <row r="18" spans="2:20" s="27" customFormat="1">
      <c r="B18" s="184" t="s">
        <v>20</v>
      </c>
      <c r="C18" s="184" t="s">
        <v>86</v>
      </c>
      <c r="D18" s="184">
        <v>100007</v>
      </c>
      <c r="E18" s="184" t="s">
        <v>92</v>
      </c>
      <c r="F18" s="184" t="s">
        <v>44</v>
      </c>
      <c r="G18" s="185">
        <v>2172</v>
      </c>
      <c r="H18" s="247">
        <v>0</v>
      </c>
      <c r="I18" s="185">
        <f t="shared" si="0"/>
        <v>2172</v>
      </c>
      <c r="K18" s="214"/>
      <c r="L18" s="214"/>
      <c r="M18" s="216"/>
      <c r="N18" s="217"/>
      <c r="O18" s="214"/>
      <c r="P18" s="215"/>
      <c r="Q18" s="215"/>
      <c r="R18" s="215"/>
    </row>
    <row r="19" spans="2:20" s="27" customFormat="1">
      <c r="B19" s="184" t="s">
        <v>20</v>
      </c>
      <c r="C19" s="184" t="s">
        <v>86</v>
      </c>
      <c r="D19" s="184">
        <v>100007</v>
      </c>
      <c r="E19" s="184" t="s">
        <v>93</v>
      </c>
      <c r="F19" s="184" t="s">
        <v>44</v>
      </c>
      <c r="G19" s="185">
        <v>2430</v>
      </c>
      <c r="H19" s="247">
        <v>0</v>
      </c>
      <c r="I19" s="185">
        <f t="shared" si="0"/>
        <v>2430</v>
      </c>
      <c r="K19" s="214"/>
      <c r="L19" s="214"/>
      <c r="M19" s="216"/>
      <c r="N19" s="217"/>
      <c r="O19" s="214"/>
      <c r="P19" s="215"/>
      <c r="Q19" s="215"/>
      <c r="R19" s="215"/>
    </row>
    <row r="20" spans="2:20" s="27" customFormat="1">
      <c r="B20" s="184" t="s">
        <v>20</v>
      </c>
      <c r="C20" s="184" t="s">
        <v>86</v>
      </c>
      <c r="D20" s="184">
        <v>100007</v>
      </c>
      <c r="E20" s="184" t="s">
        <v>94</v>
      </c>
      <c r="F20" s="184" t="s">
        <v>44</v>
      </c>
      <c r="G20" s="185">
        <v>3755</v>
      </c>
      <c r="H20" s="247">
        <v>0</v>
      </c>
      <c r="I20" s="185">
        <f t="shared" si="0"/>
        <v>3755</v>
      </c>
      <c r="K20" s="214"/>
      <c r="L20" s="214"/>
      <c r="M20" s="216"/>
      <c r="N20" s="217"/>
      <c r="O20" s="214"/>
      <c r="P20" s="215"/>
      <c r="Q20" s="215"/>
      <c r="R20" s="215"/>
    </row>
    <row r="21" spans="2:20" s="27" customFormat="1">
      <c r="B21" s="184" t="s">
        <v>20</v>
      </c>
      <c r="C21" s="184" t="s">
        <v>86</v>
      </c>
      <c r="D21" s="184">
        <v>100007</v>
      </c>
      <c r="E21" s="184" t="s">
        <v>95</v>
      </c>
      <c r="F21" s="184" t="s">
        <v>44</v>
      </c>
      <c r="G21" s="185">
        <v>1295</v>
      </c>
      <c r="H21" s="247">
        <v>0</v>
      </c>
      <c r="I21" s="185">
        <f t="shared" si="0"/>
        <v>1295</v>
      </c>
      <c r="K21" s="214"/>
      <c r="L21" s="214"/>
      <c r="M21" s="216"/>
      <c r="N21" s="217"/>
      <c r="O21" s="214"/>
      <c r="P21" s="215"/>
      <c r="Q21" s="215"/>
      <c r="R21" s="215"/>
    </row>
    <row r="22" spans="2:20" s="27" customFormat="1">
      <c r="B22" s="184" t="s">
        <v>20</v>
      </c>
      <c r="C22" s="184" t="s">
        <v>86</v>
      </c>
      <c r="D22" s="184">
        <v>100007</v>
      </c>
      <c r="E22" s="184" t="s">
        <v>88</v>
      </c>
      <c r="F22" s="184" t="s">
        <v>44</v>
      </c>
      <c r="G22" s="185">
        <v>556</v>
      </c>
      <c r="H22" s="247">
        <v>0</v>
      </c>
      <c r="I22" s="185">
        <f t="shared" si="0"/>
        <v>556</v>
      </c>
      <c r="K22" s="79"/>
      <c r="L22" s="79"/>
      <c r="M22" s="218"/>
      <c r="N22" s="219"/>
      <c r="O22" s="79"/>
      <c r="P22" s="208"/>
      <c r="Q22" s="208"/>
      <c r="R22" s="208"/>
    </row>
    <row r="23" spans="2:20" s="27" customFormat="1">
      <c r="B23" s="184" t="s">
        <v>20</v>
      </c>
      <c r="C23" s="184" t="s">
        <v>86</v>
      </c>
      <c r="D23" s="184">
        <v>100007</v>
      </c>
      <c r="E23" s="184" t="s">
        <v>128</v>
      </c>
      <c r="F23" s="184" t="s">
        <v>44</v>
      </c>
      <c r="G23" s="185">
        <v>21490</v>
      </c>
      <c r="H23" s="247">
        <v>11385</v>
      </c>
      <c r="I23" s="185">
        <f t="shared" si="0"/>
        <v>10105</v>
      </c>
      <c r="K23" s="79"/>
      <c r="L23" s="79"/>
      <c r="M23" s="218"/>
      <c r="N23" s="219"/>
      <c r="O23" s="79"/>
      <c r="P23" s="208"/>
      <c r="Q23" s="208"/>
      <c r="R23" s="208"/>
    </row>
    <row r="24" spans="2:20" s="27" customFormat="1" ht="15">
      <c r="F24" s="266" t="s">
        <v>132</v>
      </c>
      <c r="G24" s="267">
        <f>SUM(G16:G23)</f>
        <v>58179</v>
      </c>
      <c r="H24" s="268">
        <f>SUM(H16:H23)</f>
        <v>11385</v>
      </c>
      <c r="I24" s="267" t="s">
        <v>133</v>
      </c>
      <c r="J24" s="269"/>
      <c r="K24" s="79"/>
      <c r="L24" s="79"/>
      <c r="M24" s="218"/>
      <c r="N24" s="219"/>
      <c r="O24" s="79"/>
      <c r="P24" s="208"/>
      <c r="Q24" s="208"/>
      <c r="R24" s="208"/>
      <c r="S24" s="208"/>
      <c r="T24" s="208"/>
    </row>
    <row r="25" spans="2:20" s="27" customFormat="1">
      <c r="J25"/>
      <c r="K25" s="79"/>
      <c r="L25" s="79"/>
      <c r="M25" s="218"/>
      <c r="N25" s="219"/>
      <c r="O25" s="79"/>
      <c r="P25" s="208"/>
      <c r="Q25" s="208"/>
      <c r="R25" s="208"/>
      <c r="S25" s="208"/>
      <c r="T25" s="208"/>
    </row>
    <row r="26" spans="2:20" ht="16.5" thickBot="1">
      <c r="J26" s="68"/>
      <c r="K26" s="68"/>
      <c r="L26" s="68"/>
      <c r="M26" s="68"/>
      <c r="N26" s="68"/>
      <c r="O26" s="68"/>
      <c r="P26" s="65"/>
      <c r="Q26" s="65"/>
      <c r="R26" s="65"/>
      <c r="S26" s="188"/>
      <c r="T26" s="188"/>
    </row>
    <row r="27" spans="2:20">
      <c r="B27" s="186" t="s">
        <v>97</v>
      </c>
      <c r="C27" s="186"/>
      <c r="D27" s="186"/>
      <c r="E27" s="187" t="s">
        <v>96</v>
      </c>
      <c r="F27" s="187" t="s">
        <v>96</v>
      </c>
      <c r="G27" s="186"/>
      <c r="H27" s="187" t="s">
        <v>115</v>
      </c>
      <c r="I27" s="186"/>
      <c r="J27" s="68"/>
      <c r="K27" s="194"/>
      <c r="L27" s="79"/>
      <c r="M27" s="68"/>
      <c r="N27" s="68"/>
      <c r="O27" s="68"/>
      <c r="P27" s="68"/>
      <c r="Q27" s="68"/>
      <c r="R27" s="68"/>
    </row>
    <row r="28" spans="2:20" ht="16.5" thickBot="1">
      <c r="B28" s="144"/>
      <c r="C28" s="144"/>
      <c r="D28" s="144" t="s">
        <v>78</v>
      </c>
      <c r="E28" s="144" t="s">
        <v>79</v>
      </c>
      <c r="F28" s="144" t="s">
        <v>80</v>
      </c>
      <c r="G28" s="144" t="s">
        <v>81</v>
      </c>
      <c r="H28" s="144" t="s">
        <v>76</v>
      </c>
      <c r="I28" s="144" t="s">
        <v>77</v>
      </c>
      <c r="J28" s="68"/>
      <c r="K28" s="195"/>
      <c r="L28" s="68"/>
      <c r="M28" s="65"/>
      <c r="N28" s="68"/>
      <c r="O28" s="68"/>
      <c r="P28" s="68"/>
      <c r="Q28" s="68"/>
      <c r="R28" s="68"/>
    </row>
    <row r="29" spans="2:20">
      <c r="B29" s="183" t="s">
        <v>100</v>
      </c>
      <c r="C29" s="183" t="s">
        <v>101</v>
      </c>
      <c r="D29" s="199">
        <v>37901</v>
      </c>
      <c r="E29" s="203" t="s">
        <v>102</v>
      </c>
      <c r="F29" s="183" t="s">
        <v>103</v>
      </c>
      <c r="G29" s="193">
        <v>51479</v>
      </c>
      <c r="H29" s="244">
        <v>51479</v>
      </c>
      <c r="I29" s="193">
        <f t="shared" ref="I29:I45" si="1">G29-H29</f>
        <v>0</v>
      </c>
      <c r="J29" s="68"/>
      <c r="K29" s="194"/>
      <c r="L29" s="68"/>
      <c r="M29" s="65"/>
      <c r="N29" s="68"/>
      <c r="O29" s="68"/>
      <c r="P29" s="68"/>
      <c r="Q29" s="68"/>
      <c r="R29" s="68"/>
    </row>
    <row r="30" spans="2:20">
      <c r="B30" s="191" t="s">
        <v>56</v>
      </c>
      <c r="C30" s="191" t="s">
        <v>57</v>
      </c>
      <c r="D30" s="200">
        <v>60536</v>
      </c>
      <c r="E30" s="204" t="s">
        <v>90</v>
      </c>
      <c r="F30" s="191" t="s">
        <v>104</v>
      </c>
      <c r="G30" s="192">
        <v>14625</v>
      </c>
      <c r="H30" s="245">
        <v>0</v>
      </c>
      <c r="I30" s="192">
        <f t="shared" si="1"/>
        <v>14625</v>
      </c>
      <c r="K30" s="194"/>
      <c r="L30" s="68"/>
      <c r="M30" s="65"/>
      <c r="N30" s="68"/>
      <c r="O30" s="68"/>
      <c r="P30" s="68"/>
      <c r="Q30" s="68"/>
      <c r="R30" s="68"/>
    </row>
    <row r="31" spans="2:20">
      <c r="B31" s="191" t="s">
        <v>55</v>
      </c>
      <c r="C31" s="191" t="s">
        <v>86</v>
      </c>
      <c r="D31" s="200">
        <v>3.1212</v>
      </c>
      <c r="E31" s="204" t="s">
        <v>104</v>
      </c>
      <c r="F31" s="191" t="s">
        <v>105</v>
      </c>
      <c r="G31" s="192">
        <v>14625</v>
      </c>
      <c r="H31" s="245">
        <v>0</v>
      </c>
      <c r="I31" s="192">
        <f t="shared" si="1"/>
        <v>14625</v>
      </c>
      <c r="K31" s="194"/>
      <c r="L31" s="68"/>
      <c r="M31" s="65"/>
      <c r="N31" s="68"/>
      <c r="O31" s="68"/>
      <c r="P31" s="68"/>
      <c r="Q31" s="68"/>
      <c r="R31" s="68"/>
    </row>
    <row r="32" spans="2:20">
      <c r="B32" s="191" t="s">
        <v>55</v>
      </c>
      <c r="C32" s="191" t="s">
        <v>106</v>
      </c>
      <c r="D32" s="200">
        <v>0.39240000000000003</v>
      </c>
      <c r="E32" s="204" t="s">
        <v>85</v>
      </c>
      <c r="F32" s="191" t="s">
        <v>105</v>
      </c>
      <c r="G32" s="192">
        <v>3400</v>
      </c>
      <c r="H32" s="245">
        <v>3400</v>
      </c>
      <c r="I32" s="192">
        <f t="shared" si="1"/>
        <v>0</v>
      </c>
      <c r="L32" s="68"/>
    </row>
    <row r="33" spans="2:9">
      <c r="B33" s="191" t="s">
        <v>55</v>
      </c>
      <c r="C33" s="191" t="s">
        <v>106</v>
      </c>
      <c r="D33" s="200">
        <v>0.39240000000000003</v>
      </c>
      <c r="E33" s="204" t="s">
        <v>87</v>
      </c>
      <c r="F33" s="191" t="s">
        <v>105</v>
      </c>
      <c r="G33" s="192">
        <v>5000</v>
      </c>
      <c r="H33" s="245">
        <v>5000</v>
      </c>
      <c r="I33" s="192">
        <f t="shared" si="1"/>
        <v>0</v>
      </c>
    </row>
    <row r="34" spans="2:9">
      <c r="B34" s="196" t="s">
        <v>55</v>
      </c>
      <c r="C34" s="196" t="s">
        <v>106</v>
      </c>
      <c r="D34" s="201">
        <v>0.39240000000000003</v>
      </c>
      <c r="E34" s="205" t="s">
        <v>116</v>
      </c>
      <c r="F34" s="196" t="s">
        <v>105</v>
      </c>
      <c r="G34" s="197">
        <v>11600</v>
      </c>
      <c r="H34" s="248">
        <f>11600-62</f>
        <v>11538</v>
      </c>
      <c r="I34" s="197">
        <f t="shared" si="1"/>
        <v>62</v>
      </c>
    </row>
    <row r="35" spans="2:9">
      <c r="B35" s="196" t="s">
        <v>55</v>
      </c>
      <c r="C35" s="196" t="s">
        <v>106</v>
      </c>
      <c r="D35" s="201">
        <v>0.39240000000000003</v>
      </c>
      <c r="E35" s="205" t="s">
        <v>188</v>
      </c>
      <c r="F35" s="196" t="s">
        <v>105</v>
      </c>
      <c r="G35" s="197">
        <v>0</v>
      </c>
      <c r="H35" s="248">
        <v>0</v>
      </c>
      <c r="I35" s="197">
        <f>G35-H35</f>
        <v>0</v>
      </c>
    </row>
    <row r="36" spans="2:9">
      <c r="B36" s="191" t="s">
        <v>55</v>
      </c>
      <c r="C36" s="191" t="s">
        <v>1</v>
      </c>
      <c r="D36" s="200">
        <v>0.37680000000000002</v>
      </c>
      <c r="E36" s="204" t="s">
        <v>90</v>
      </c>
      <c r="F36" s="191" t="s">
        <v>105</v>
      </c>
      <c r="G36" s="192">
        <v>2070</v>
      </c>
      <c r="H36" s="245">
        <v>-62</v>
      </c>
      <c r="I36" s="192">
        <f t="shared" si="1"/>
        <v>2132</v>
      </c>
    </row>
    <row r="37" spans="2:9">
      <c r="B37" s="191" t="s">
        <v>55</v>
      </c>
      <c r="C37" s="191" t="s">
        <v>107</v>
      </c>
      <c r="D37" s="200">
        <v>6558</v>
      </c>
      <c r="E37" s="204" t="s">
        <v>90</v>
      </c>
      <c r="F37" s="191" t="s">
        <v>105</v>
      </c>
      <c r="G37" s="192">
        <v>8970</v>
      </c>
      <c r="H37" s="245">
        <v>0</v>
      </c>
      <c r="I37" s="192">
        <f t="shared" si="1"/>
        <v>8970</v>
      </c>
    </row>
    <row r="38" spans="2:9">
      <c r="B38" s="191" t="s">
        <v>55</v>
      </c>
      <c r="C38" s="191" t="s">
        <v>3</v>
      </c>
      <c r="D38" s="200">
        <v>3767</v>
      </c>
      <c r="E38" s="204" t="s">
        <v>90</v>
      </c>
      <c r="F38" s="191" t="s">
        <v>105</v>
      </c>
      <c r="G38" s="192">
        <v>8523</v>
      </c>
      <c r="H38" s="245">
        <v>-1802</v>
      </c>
      <c r="I38" s="192">
        <f t="shared" si="1"/>
        <v>10325</v>
      </c>
    </row>
    <row r="39" spans="2:9">
      <c r="B39" s="189" t="s">
        <v>56</v>
      </c>
      <c r="C39" s="189" t="s">
        <v>28</v>
      </c>
      <c r="D39" s="198">
        <v>35889</v>
      </c>
      <c r="E39" s="206" t="s">
        <v>90</v>
      </c>
      <c r="F39" s="189" t="s">
        <v>0</v>
      </c>
      <c r="G39" s="189">
        <v>52090</v>
      </c>
      <c r="H39" s="246">
        <v>-2571</v>
      </c>
      <c r="I39" s="190">
        <f t="shared" si="1"/>
        <v>54661</v>
      </c>
    </row>
    <row r="40" spans="2:9">
      <c r="B40" s="189" t="s">
        <v>56</v>
      </c>
      <c r="C40" s="189" t="s">
        <v>57</v>
      </c>
      <c r="D40" s="198">
        <v>60536</v>
      </c>
      <c r="E40" s="206" t="s">
        <v>105</v>
      </c>
      <c r="F40" s="189" t="s">
        <v>0</v>
      </c>
      <c r="G40" s="190">
        <v>14625</v>
      </c>
      <c r="H40" s="246">
        <v>0</v>
      </c>
      <c r="I40" s="190">
        <f t="shared" si="1"/>
        <v>14625</v>
      </c>
    </row>
    <row r="41" spans="2:9">
      <c r="B41" s="189" t="s">
        <v>56</v>
      </c>
      <c r="C41" s="189" t="s">
        <v>57</v>
      </c>
      <c r="D41" s="198">
        <v>38088</v>
      </c>
      <c r="E41" s="206" t="s">
        <v>90</v>
      </c>
      <c r="F41" s="189" t="s">
        <v>0</v>
      </c>
      <c r="G41" s="190">
        <v>50270</v>
      </c>
      <c r="H41" s="246">
        <v>-9168</v>
      </c>
      <c r="I41" s="190">
        <f t="shared" si="1"/>
        <v>59438</v>
      </c>
    </row>
    <row r="42" spans="2:9">
      <c r="B42" s="184" t="s">
        <v>56</v>
      </c>
      <c r="C42" s="184" t="s">
        <v>58</v>
      </c>
      <c r="D42" s="202">
        <v>38115</v>
      </c>
      <c r="E42" s="207" t="s">
        <v>98</v>
      </c>
      <c r="F42" s="184" t="s">
        <v>0</v>
      </c>
      <c r="G42" s="185">
        <v>5000</v>
      </c>
      <c r="H42" s="247">
        <v>0</v>
      </c>
      <c r="I42" s="185">
        <f t="shared" si="1"/>
        <v>5000</v>
      </c>
    </row>
    <row r="43" spans="2:9">
      <c r="B43" s="184" t="s">
        <v>56</v>
      </c>
      <c r="C43" s="184" t="s">
        <v>58</v>
      </c>
      <c r="D43" s="202">
        <v>38115</v>
      </c>
      <c r="E43" s="207" t="s">
        <v>99</v>
      </c>
      <c r="F43" s="184" t="s">
        <v>0</v>
      </c>
      <c r="G43" s="185">
        <v>2631</v>
      </c>
      <c r="H43" s="247">
        <v>0</v>
      </c>
      <c r="I43" s="185">
        <f t="shared" si="1"/>
        <v>2631</v>
      </c>
    </row>
    <row r="44" spans="2:9">
      <c r="B44" s="184" t="s">
        <v>56</v>
      </c>
      <c r="C44" s="184" t="s">
        <v>58</v>
      </c>
      <c r="D44" s="202">
        <v>38115</v>
      </c>
      <c r="E44" s="207" t="s">
        <v>127</v>
      </c>
      <c r="F44" s="184" t="s">
        <v>0</v>
      </c>
      <c r="G44" s="185">
        <v>50270</v>
      </c>
      <c r="H44" s="247">
        <v>0</v>
      </c>
      <c r="I44" s="185">
        <f t="shared" si="1"/>
        <v>50270</v>
      </c>
    </row>
    <row r="45" spans="2:9">
      <c r="B45" s="184" t="s">
        <v>56</v>
      </c>
      <c r="C45" s="184" t="s">
        <v>58</v>
      </c>
      <c r="D45" s="202">
        <v>65066</v>
      </c>
      <c r="E45" s="207" t="s">
        <v>105</v>
      </c>
      <c r="F45" s="184" t="s">
        <v>0</v>
      </c>
      <c r="G45" s="185">
        <v>38000</v>
      </c>
      <c r="H45" s="247">
        <v>35515</v>
      </c>
      <c r="I45" s="185">
        <f t="shared" si="1"/>
        <v>2485</v>
      </c>
    </row>
    <row r="46" spans="2:9">
      <c r="G46" s="188"/>
      <c r="H46" s="188"/>
      <c r="I46" s="188"/>
    </row>
    <row r="47" spans="2:9" s="223" customFormat="1" ht="16.5" thickBot="1">
      <c r="B47" s="194"/>
      <c r="C47" s="27"/>
      <c r="D47" s="68"/>
      <c r="E47" s="68"/>
      <c r="F47" s="68"/>
      <c r="G47"/>
      <c r="H47"/>
      <c r="I47"/>
    </row>
    <row r="48" spans="2:9">
      <c r="B48" s="222"/>
      <c r="C48" s="223"/>
      <c r="D48" s="224"/>
      <c r="E48" s="225" t="s">
        <v>112</v>
      </c>
      <c r="F48" s="226" t="s">
        <v>113</v>
      </c>
      <c r="G48" s="227" t="s">
        <v>77</v>
      </c>
      <c r="H48" s="223"/>
      <c r="I48" s="223"/>
    </row>
    <row r="49" spans="2:9" ht="15" customHeight="1">
      <c r="B49" s="194"/>
      <c r="C49" s="68"/>
      <c r="D49" s="220" t="s">
        <v>109</v>
      </c>
      <c r="E49" s="228">
        <f>SUM(G13,G14,G15,G16,G39,G40,G41)</f>
        <v>197848</v>
      </c>
      <c r="F49" s="229">
        <f>SUM(H13,H14,H15,H16,H39,H40,H41)</f>
        <v>-23124</v>
      </c>
      <c r="G49" s="230">
        <f>E49-F49</f>
        <v>220972</v>
      </c>
    </row>
    <row r="50" spans="2:9" ht="8.25" customHeight="1">
      <c r="B50" s="28"/>
      <c r="C50" s="68"/>
      <c r="D50" s="65"/>
      <c r="E50" s="231"/>
      <c r="F50" s="232"/>
      <c r="G50" s="233"/>
    </row>
    <row r="51" spans="2:9" ht="18.75" customHeight="1">
      <c r="B51" s="28"/>
      <c r="C51" s="68"/>
      <c r="D51" s="221" t="s">
        <v>110</v>
      </c>
      <c r="E51" s="234">
        <f>SUM(G17,G18,G19,G20,G21,G22,G23,G42,G43,G44,G45)</f>
        <v>140580</v>
      </c>
      <c r="F51" s="235">
        <f>SUM(H17,H18,H19,H20,H21,H22,H23,H42,H43,H44,H45)</f>
        <v>46900</v>
      </c>
      <c r="G51" s="236">
        <f>E51-F51</f>
        <v>93680</v>
      </c>
    </row>
    <row r="52" spans="2:9" ht="10.5" customHeight="1">
      <c r="E52" s="231"/>
      <c r="F52" s="232"/>
      <c r="G52" s="233"/>
    </row>
    <row r="53" spans="2:9" ht="16.5" thickBot="1">
      <c r="D53" s="28" t="s">
        <v>111</v>
      </c>
      <c r="E53" s="237">
        <f>SUM(E49+E51)</f>
        <v>338428</v>
      </c>
      <c r="F53" s="238">
        <f>F49+F51</f>
        <v>23776</v>
      </c>
      <c r="G53" s="239">
        <f>G49+G51</f>
        <v>314652</v>
      </c>
    </row>
    <row r="54" spans="2:9" ht="16.5" thickBot="1"/>
    <row r="55" spans="2:9" ht="16.5" thickTop="1">
      <c r="B55" s="270"/>
      <c r="C55" s="181"/>
      <c r="D55" s="278"/>
      <c r="E55" s="278" t="s">
        <v>135</v>
      </c>
      <c r="F55" s="277">
        <f ca="1">F2</f>
        <v>41887</v>
      </c>
      <c r="G55" s="277"/>
      <c r="H55" s="181"/>
      <c r="I55" s="271"/>
    </row>
    <row r="56" spans="2:9" s="294" customFormat="1" ht="12">
      <c r="B56" s="291"/>
      <c r="C56" s="292" t="s">
        <v>152</v>
      </c>
      <c r="D56" s="292" t="s">
        <v>153</v>
      </c>
      <c r="E56" s="292" t="s">
        <v>154</v>
      </c>
      <c r="F56" s="292"/>
      <c r="G56" s="292"/>
      <c r="H56" s="292"/>
      <c r="I56" s="293"/>
    </row>
    <row r="57" spans="2:9">
      <c r="B57" s="272"/>
      <c r="C57" s="68" t="s">
        <v>151</v>
      </c>
      <c r="D57" s="68" t="s">
        <v>136</v>
      </c>
      <c r="E57" s="68">
        <v>0</v>
      </c>
      <c r="F57" s="68"/>
      <c r="G57" s="68"/>
      <c r="H57" s="68"/>
      <c r="I57" s="273"/>
    </row>
    <row r="58" spans="2:9">
      <c r="B58" s="272"/>
      <c r="C58" s="280" t="s">
        <v>137</v>
      </c>
      <c r="D58" s="280" t="s">
        <v>138</v>
      </c>
      <c r="E58" s="280">
        <v>0</v>
      </c>
      <c r="F58" s="68"/>
      <c r="G58" s="68"/>
      <c r="H58" s="68"/>
      <c r="I58" s="273"/>
    </row>
    <row r="59" spans="2:9">
      <c r="B59" s="272"/>
      <c r="C59" s="280" t="s">
        <v>118</v>
      </c>
      <c r="D59" s="280" t="s">
        <v>139</v>
      </c>
      <c r="E59" s="280">
        <v>0</v>
      </c>
      <c r="F59" s="68"/>
      <c r="G59" s="68"/>
      <c r="H59" s="68"/>
      <c r="I59" s="273"/>
    </row>
    <row r="60" spans="2:9">
      <c r="B60" s="272"/>
      <c r="C60" s="68" t="s">
        <v>140</v>
      </c>
      <c r="D60" s="68" t="s">
        <v>141</v>
      </c>
      <c r="E60" s="68">
        <v>0</v>
      </c>
      <c r="F60" s="68"/>
      <c r="G60" s="68"/>
      <c r="H60" s="68"/>
      <c r="I60" s="273"/>
    </row>
    <row r="61" spans="2:9">
      <c r="B61" s="272"/>
      <c r="C61" s="68" t="s">
        <v>140</v>
      </c>
      <c r="D61" s="68" t="s">
        <v>142</v>
      </c>
      <c r="E61" s="68">
        <v>0</v>
      </c>
      <c r="F61" s="68"/>
      <c r="G61" s="68"/>
      <c r="H61" s="68"/>
      <c r="I61" s="273"/>
    </row>
    <row r="62" spans="2:9">
      <c r="B62" s="272"/>
      <c r="C62" s="281" t="s">
        <v>140</v>
      </c>
      <c r="D62" s="281" t="s">
        <v>143</v>
      </c>
      <c r="E62" s="281">
        <v>0</v>
      </c>
      <c r="F62" s="68"/>
      <c r="G62" s="68"/>
      <c r="H62" s="68"/>
      <c r="I62" s="273"/>
    </row>
    <row r="63" spans="2:9">
      <c r="B63" s="272"/>
      <c r="C63" s="68" t="s">
        <v>144</v>
      </c>
      <c r="D63" s="68" t="s">
        <v>145</v>
      </c>
      <c r="E63" s="68">
        <v>0</v>
      </c>
      <c r="F63" s="68"/>
      <c r="G63" s="68"/>
      <c r="H63" s="68"/>
      <c r="I63" s="273"/>
    </row>
    <row r="64" spans="2:9">
      <c r="B64" s="272"/>
      <c r="C64" s="68" t="s">
        <v>144</v>
      </c>
      <c r="D64" s="68" t="s">
        <v>146</v>
      </c>
      <c r="E64" s="68">
        <v>0</v>
      </c>
      <c r="F64" s="68"/>
      <c r="G64" s="68"/>
      <c r="H64" s="68"/>
      <c r="I64" s="273"/>
    </row>
    <row r="65" spans="2:9">
      <c r="B65" s="272"/>
      <c r="C65" s="68" t="s">
        <v>144</v>
      </c>
      <c r="D65" s="68" t="s">
        <v>147</v>
      </c>
      <c r="E65" s="68">
        <v>0</v>
      </c>
      <c r="F65" s="68"/>
      <c r="G65" s="68"/>
      <c r="H65" s="68"/>
      <c r="I65" s="273"/>
    </row>
    <row r="66" spans="2:9" ht="16.5" thickBot="1">
      <c r="B66" s="272"/>
      <c r="C66" s="68" t="s">
        <v>144</v>
      </c>
      <c r="D66" s="68" t="s">
        <v>148</v>
      </c>
      <c r="E66" s="68">
        <v>0</v>
      </c>
      <c r="F66" s="68"/>
      <c r="G66" s="68"/>
      <c r="H66" s="68"/>
      <c r="I66" s="273"/>
    </row>
    <row r="67" spans="2:9" ht="18.75" thickBot="1">
      <c r="B67" s="272"/>
      <c r="C67" s="68"/>
      <c r="D67" s="68"/>
      <c r="E67" s="279">
        <f>SUM(E57:E66)</f>
        <v>0</v>
      </c>
      <c r="F67" s="68"/>
      <c r="G67" s="68"/>
      <c r="H67" s="68"/>
      <c r="I67" s="273"/>
    </row>
    <row r="68" spans="2:9" ht="16.5" thickBot="1">
      <c r="B68" s="274"/>
      <c r="C68" s="275"/>
      <c r="D68" s="275"/>
      <c r="E68" s="275"/>
      <c r="F68" s="275"/>
      <c r="G68" s="275"/>
      <c r="H68" s="275"/>
      <c r="I68" s="276"/>
    </row>
    <row r="69" spans="2:9" ht="16.5" thickTop="1"/>
  </sheetData>
  <phoneticPr fontId="18" type="noConversion"/>
  <pageMargins left="0.75" right="0.75" top="1" bottom="1" header="0.5" footer="0.5"/>
  <pageSetup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37019</v>
      </c>
      <c r="F4" s="241"/>
      <c r="G4" s="19"/>
      <c r="H4" s="30">
        <v>37020</v>
      </c>
      <c r="I4" s="23"/>
      <c r="J4" s="30">
        <v>37021</v>
      </c>
      <c r="K4" s="23"/>
      <c r="L4" s="30">
        <v>37022</v>
      </c>
      <c r="M4" s="23"/>
      <c r="N4" s="30">
        <v>37023</v>
      </c>
      <c r="O4" s="23"/>
    </row>
    <row r="5" spans="1:15" s="144" customFormat="1" ht="11.25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53</v>
      </c>
      <c r="G8" s="33"/>
      <c r="H8" s="42">
        <v>69</v>
      </c>
      <c r="I8" s="33">
        <v>52</v>
      </c>
      <c r="J8" s="42">
        <v>77</v>
      </c>
      <c r="K8" s="33">
        <v>56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-4.5</v>
      </c>
      <c r="I9" s="43"/>
      <c r="J9" s="45">
        <f>(J8+K8)/2-65</f>
        <v>1.5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49051</v>
      </c>
      <c r="F11" s="283"/>
      <c r="G11" s="19"/>
      <c r="H11" s="9">
        <v>48963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51625.26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-2574.260000000002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37051</v>
      </c>
      <c r="F16" s="284"/>
      <c r="G16" s="19"/>
      <c r="H16" s="263">
        <f>H11-H17</f>
        <v>36963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11055</v>
      </c>
      <c r="F35" s="124"/>
      <c r="G35" s="135"/>
      <c r="H35" s="26">
        <v>26426</v>
      </c>
      <c r="I35" s="469">
        <f>H35+H43</f>
        <v>23855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11055</v>
      </c>
      <c r="F37" s="127" t="s">
        <v>4</v>
      </c>
      <c r="G37" s="253"/>
      <c r="H37" s="49">
        <f>SUM(H34:H36)</f>
        <v>26426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-8766</v>
      </c>
      <c r="F38" s="123"/>
      <c r="G38" s="134"/>
      <c r="H38" s="26">
        <v>-24083</v>
      </c>
      <c r="I38" s="3"/>
      <c r="J38" s="26">
        <v>-10711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9141</v>
      </c>
      <c r="F44" s="129"/>
      <c r="G44" s="136"/>
      <c r="H44" s="149">
        <f>SUM(H37:H43)</f>
        <v>7097</v>
      </c>
      <c r="I44" s="53"/>
      <c r="J44" s="149">
        <f>SUM(J37:J43)</f>
        <v>5832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15574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-13395</v>
      </c>
      <c r="F50" s="123"/>
      <c r="G50" s="134"/>
      <c r="H50" s="16">
        <v>-15574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840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6351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6969</v>
      </c>
      <c r="F56" s="132"/>
      <c r="G56" s="120"/>
      <c r="H56" s="149">
        <f>SUM(H51:H55)</f>
        <v>6351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6951.5775000000003</v>
      </c>
      <c r="F57" s="123"/>
      <c r="G57" s="19"/>
      <c r="H57" s="11">
        <f>H56*0.9975</f>
        <v>6335.1225000000004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0.13465457607380574</v>
      </c>
      <c r="F58" s="123"/>
      <c r="G58" s="19"/>
      <c r="H58" s="148">
        <f>H57/H66</f>
        <v>0.12938522680066647</v>
      </c>
      <c r="I58" s="3"/>
      <c r="J58" s="148">
        <f>J57/J66</f>
        <v>0.13281663733645629</v>
      </c>
      <c r="K58" s="3"/>
      <c r="L58" s="148">
        <f>L57/L66</f>
        <v>0.13223169174393426</v>
      </c>
      <c r="M58" s="3"/>
      <c r="N58" s="148">
        <f>N57/N66</f>
        <v>0.13223169174393426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51625.26</v>
      </c>
      <c r="F66" s="176"/>
      <c r="G66" s="19"/>
      <c r="H66" s="15">
        <f>H29+H44+H56+H61+H62</f>
        <v>48963.26</v>
      </c>
      <c r="I66" s="3"/>
      <c r="J66" s="15">
        <f>J29+J44+J56+J61+J62</f>
        <v>47698.26</v>
      </c>
      <c r="K66" s="3"/>
      <c r="L66" s="15">
        <f>L29+L44+L56+L61+L62</f>
        <v>47909.26</v>
      </c>
      <c r="M66" s="3"/>
      <c r="N66" s="15">
        <f>N29+N44+N56+N61+N62</f>
        <v>47909.26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211.26000000000204</v>
      </c>
      <c r="M68" s="3"/>
      <c r="N68" s="31">
        <f>N66-N11</f>
        <v>211.26000000000204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B1" zoomScale="75" workbookViewId="0">
      <pane xSplit="3" ySplit="9" topLeftCell="E34" activePane="bottomRight" state="frozen"/>
      <selection activeCell="B1" sqref="B1"/>
      <selection pane="topRight" activeCell="E1" sqref="E1"/>
      <selection pane="bottomLeft" activeCell="B10" sqref="B10"/>
      <selection pane="bottomRight" activeCell="B10" sqref="B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37018</v>
      </c>
      <c r="F4" s="241"/>
      <c r="G4" s="19"/>
      <c r="H4" s="30">
        <v>37019</v>
      </c>
      <c r="I4" s="23"/>
      <c r="J4" s="30">
        <v>37020</v>
      </c>
      <c r="K4" s="23"/>
      <c r="L4" s="30">
        <v>37021</v>
      </c>
      <c r="M4" s="23"/>
      <c r="N4" s="30">
        <v>37022</v>
      </c>
      <c r="O4" s="23"/>
    </row>
    <row r="5" spans="1:15" s="144" customFormat="1" ht="11.25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49051</v>
      </c>
      <c r="I11" s="3"/>
      <c r="J11" s="9">
        <v>48963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57591.26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-9893.260000000002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37051</v>
      </c>
      <c r="I16" s="3"/>
      <c r="J16" s="263">
        <f>J11-J17</f>
        <v>36963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8484</v>
      </c>
      <c r="F35" s="124"/>
      <c r="G35" s="135"/>
      <c r="H35" s="26">
        <f>11789-1131</f>
        <v>10658</v>
      </c>
      <c r="I35" s="469">
        <f>H35+H42</f>
        <v>10658</v>
      </c>
      <c r="J35" s="26">
        <v>26426</v>
      </c>
      <c r="K35" s="469">
        <f>J35+J42</f>
        <v>26426</v>
      </c>
      <c r="L35" s="26">
        <f>11789</f>
        <v>11789</v>
      </c>
      <c r="M35" s="469">
        <f>11789-2174</f>
        <v>9615</v>
      </c>
      <c r="N35" s="26">
        <f>11789</f>
        <v>11789</v>
      </c>
      <c r="O35" s="469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v>10658</v>
      </c>
      <c r="F37" s="127" t="s">
        <v>4</v>
      </c>
      <c r="G37" s="253"/>
      <c r="H37" s="49">
        <f>SUM(H34:H36)</f>
        <v>10658</v>
      </c>
      <c r="I37" s="146" t="s">
        <v>4</v>
      </c>
      <c r="J37" s="49">
        <f>SUM(J34:J36)</f>
        <v>26426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-6539</v>
      </c>
      <c r="F38" s="123"/>
      <c r="G38" s="134"/>
      <c r="H38" s="467">
        <v>-10500</v>
      </c>
      <c r="I38" s="3"/>
      <c r="J38" s="26">
        <v>-25703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8548</v>
      </c>
      <c r="K39" s="3"/>
      <c r="L39" s="26">
        <v>8548</v>
      </c>
      <c r="M39" s="3"/>
      <c r="N39" s="26">
        <v>8548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-2174</v>
      </c>
      <c r="F43" s="122" t="s">
        <v>4</v>
      </c>
      <c r="G43" s="133"/>
      <c r="H43" s="49">
        <v>-2174</v>
      </c>
      <c r="I43" s="49" t="s">
        <v>4</v>
      </c>
      <c r="J43" s="49">
        <v>-2174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11368</v>
      </c>
      <c r="F44" s="129"/>
      <c r="G44" s="136"/>
      <c r="H44" s="149">
        <f>SUM(H37:H43)</f>
        <v>7407</v>
      </c>
      <c r="I44" s="53"/>
      <c r="J44" s="149">
        <f>SUM(J37:J43)</f>
        <v>7097</v>
      </c>
      <c r="K44" s="53"/>
      <c r="L44" s="149">
        <f>SUM(L37:L43)</f>
        <v>7266</v>
      </c>
      <c r="M44" s="53"/>
      <c r="N44" s="149">
        <f>SUM(N37:N43)</f>
        <v>7266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14235</v>
      </c>
      <c r="I49" s="48"/>
      <c r="J49" s="47">
        <v>15574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-9656</v>
      </c>
      <c r="F50" s="123"/>
      <c r="G50" s="134"/>
      <c r="H50" s="466">
        <v>-14235</v>
      </c>
      <c r="I50" s="3"/>
      <c r="J50" s="16">
        <v>-15574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4579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10708</v>
      </c>
      <c r="F56" s="132"/>
      <c r="G56" s="120"/>
      <c r="H56" s="149">
        <f>SUM(H51:H55)</f>
        <v>6129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10681.230000000001</v>
      </c>
      <c r="F57" s="123"/>
      <c r="G57" s="19"/>
      <c r="H57" s="11">
        <f>H56*0.9975</f>
        <v>6113.6775000000007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0.18546616274761138</v>
      </c>
      <c r="F58" s="123"/>
      <c r="G58" s="19"/>
      <c r="H58" s="148">
        <f>H57/H66</f>
        <v>0.12463854139526692</v>
      </c>
      <c r="I58" s="3"/>
      <c r="J58" s="148">
        <f>J57/J66</f>
        <v>0.12938522680066647</v>
      </c>
      <c r="K58" s="3"/>
      <c r="L58" s="148">
        <f>L57/L66</f>
        <v>0.12894018105415872</v>
      </c>
      <c r="M58" s="3"/>
      <c r="N58" s="148">
        <f>N57/N66</f>
        <v>0.12894018105415872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57591.26</v>
      </c>
      <c r="F66" s="176"/>
      <c r="G66" s="19"/>
      <c r="H66" s="15">
        <f>H29+H44+H56+H61+H62</f>
        <v>49051.26</v>
      </c>
      <c r="I66" s="3"/>
      <c r="J66" s="15">
        <f>J29+J44+J56+J61+J62</f>
        <v>48963.26</v>
      </c>
      <c r="K66" s="3"/>
      <c r="L66" s="15">
        <f>L29+L44+L56+L61+L62</f>
        <v>49132.26</v>
      </c>
      <c r="M66" s="3"/>
      <c r="N66" s="15">
        <f>N29+N44+N56+N61+N62</f>
        <v>49132.26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1434.260000000002</v>
      </c>
      <c r="M68" s="3"/>
      <c r="N68" s="31">
        <f>N66-N11</f>
        <v>1434.260000000002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37017</v>
      </c>
      <c r="F4" s="241"/>
      <c r="G4" s="19"/>
      <c r="H4" s="30">
        <v>37018</v>
      </c>
      <c r="I4" s="23"/>
      <c r="J4" s="30">
        <v>37019</v>
      </c>
      <c r="K4" s="23"/>
      <c r="L4" s="30">
        <v>37020</v>
      </c>
      <c r="M4" s="23"/>
      <c r="N4" s="30">
        <v>37021</v>
      </c>
      <c r="O4" s="23"/>
    </row>
    <row r="5" spans="1:15" s="144" customFormat="1" ht="11.25">
      <c r="B5" s="141"/>
      <c r="C5" s="141"/>
      <c r="D5" s="141"/>
      <c r="E5" s="462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5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50007</v>
      </c>
      <c r="F11" s="283"/>
      <c r="G11" s="19"/>
      <c r="H11" s="9">
        <v>50482</v>
      </c>
      <c r="I11" s="3"/>
      <c r="J11" s="9">
        <v>49051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51791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-1784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38007</v>
      </c>
      <c r="F16" s="284"/>
      <c r="G16" s="19"/>
      <c r="H16" s="263">
        <f>H11-H17</f>
        <v>38482</v>
      </c>
      <c r="I16" s="3"/>
      <c r="J16" s="263">
        <f>J11-J17</f>
        <v>37051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v>35515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9440+2174</f>
        <v>11614</v>
      </c>
      <c r="F35" s="124"/>
      <c r="G35" s="135"/>
      <c r="H35" s="26">
        <f>9305+2302+7</f>
        <v>11614</v>
      </c>
      <c r="I35" s="10">
        <v>9440</v>
      </c>
      <c r="J35" s="26">
        <f>11789-1131</f>
        <v>10658</v>
      </c>
      <c r="K35" s="11">
        <f>J35+J42</f>
        <v>8484</v>
      </c>
      <c r="L35" s="26">
        <f>11789</f>
        <v>11789</v>
      </c>
      <c r="M35" s="10">
        <f>11789-2174</f>
        <v>9615</v>
      </c>
      <c r="N35" s="26">
        <f>11789</f>
        <v>11789</v>
      </c>
      <c r="O35" s="10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11614</v>
      </c>
      <c r="F37" s="127" t="s">
        <v>4</v>
      </c>
      <c r="G37" s="253"/>
      <c r="H37" s="49">
        <f>SUM(H34:H36)</f>
        <v>11614</v>
      </c>
      <c r="I37" s="146" t="s">
        <v>4</v>
      </c>
      <c r="J37" s="49">
        <f>SUM(J34:J36)</f>
        <v>10658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-8895</v>
      </c>
      <c r="F38" s="123"/>
      <c r="G38" s="134"/>
      <c r="H38" s="26">
        <f>-10500+475</f>
        <v>-10025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9968</v>
      </c>
      <c r="F44" s="129"/>
      <c r="G44" s="136"/>
      <c r="H44" s="149">
        <f>SUM(H37:H43)</f>
        <v>8838</v>
      </c>
      <c r="I44" s="53"/>
      <c r="J44" s="149">
        <f>SUM(J37:J43)</f>
        <v>7407</v>
      </c>
      <c r="K44" s="53"/>
      <c r="L44" s="149">
        <f>SUM(L37:L43)</f>
        <v>8538</v>
      </c>
      <c r="M44" s="53"/>
      <c r="N44" s="149">
        <f>SUM(N37:N43)</f>
        <v>8538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15935</v>
      </c>
      <c r="F49" s="124"/>
      <c r="G49" s="135"/>
      <c r="H49" s="117">
        <v>15935</v>
      </c>
      <c r="I49" s="48"/>
      <c r="J49" s="47">
        <f>15935-1700</f>
        <v>14235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-15756</v>
      </c>
      <c r="F50" s="123"/>
      <c r="G50" s="134"/>
      <c r="H50" s="16">
        <v>-15935</v>
      </c>
      <c r="I50" s="3"/>
      <c r="J50" s="16">
        <v>-14235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179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6308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6292.2300000000005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0.12149273039717326</v>
      </c>
      <c r="F58" s="123"/>
      <c r="G58" s="19"/>
      <c r="H58" s="148">
        <f>H57/H66</f>
        <v>0.1211054635826526</v>
      </c>
      <c r="I58" s="3"/>
      <c r="J58" s="148">
        <f>J57/J66</f>
        <v>0.12463854139526692</v>
      </c>
      <c r="K58" s="3"/>
      <c r="L58" s="148">
        <f>L57/L66</f>
        <v>0.12182945726238716</v>
      </c>
      <c r="M58" s="3"/>
      <c r="N58" s="148">
        <f>N57/N66</f>
        <v>0.12182945726238716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51791</v>
      </c>
      <c r="F66" s="176"/>
      <c r="G66" s="19"/>
      <c r="H66" s="15">
        <f>H29+H44+H56+H61+H62</f>
        <v>50482.26</v>
      </c>
      <c r="I66" s="3"/>
      <c r="J66" s="15">
        <f>J29+J44+J56+J61+J62</f>
        <v>49051.26</v>
      </c>
      <c r="K66" s="3"/>
      <c r="L66" s="15">
        <f>L29+L44+L56+L61+L62</f>
        <v>50182.26</v>
      </c>
      <c r="M66" s="3"/>
      <c r="N66" s="15">
        <f>N29+N44+N56+N61+N62</f>
        <v>50182.26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2484.260000000002</v>
      </c>
      <c r="M68" s="3"/>
      <c r="N68" s="31">
        <f>N66-N11</f>
        <v>2484.260000000002</v>
      </c>
      <c r="O68" s="3"/>
    </row>
    <row r="69" spans="2:15">
      <c r="B69" s="6"/>
      <c r="C69" s="4"/>
      <c r="D69" s="3"/>
      <c r="E69" s="3"/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30">
        <v>37014</v>
      </c>
      <c r="F4" s="241"/>
      <c r="G4" s="19"/>
      <c r="H4" s="30">
        <v>37015</v>
      </c>
      <c r="I4" s="23"/>
      <c r="J4" s="30">
        <v>37016</v>
      </c>
      <c r="K4" s="23"/>
      <c r="L4" s="30">
        <v>37017</v>
      </c>
      <c r="M4" s="23"/>
      <c r="N4" s="30">
        <v>37018</v>
      </c>
      <c r="O4" s="23"/>
    </row>
    <row r="5" spans="1:15" s="144" customFormat="1" ht="11.25">
      <c r="B5" s="141"/>
      <c r="C5" s="141"/>
      <c r="D5" s="141"/>
      <c r="E5" s="46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84</v>
      </c>
      <c r="F8" s="106">
        <v>59</v>
      </c>
      <c r="G8" s="33"/>
      <c r="H8" s="42">
        <v>87</v>
      </c>
      <c r="I8" s="33">
        <v>61</v>
      </c>
      <c r="J8" s="42">
        <v>79</v>
      </c>
      <c r="K8" s="33">
        <v>62</v>
      </c>
      <c r="L8" s="42">
        <v>63</v>
      </c>
      <c r="M8" s="33">
        <v>56</v>
      </c>
      <c r="N8" s="42">
        <v>67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6.5</v>
      </c>
      <c r="F9" s="108"/>
      <c r="G9" s="121"/>
      <c r="H9" s="45">
        <f>(H8+I8)/2-65</f>
        <v>9</v>
      </c>
      <c r="I9" s="43"/>
      <c r="J9" s="45">
        <f>(J8+K8)/2-65</f>
        <v>5.5</v>
      </c>
      <c r="K9" s="43"/>
      <c r="L9" s="45">
        <f>(L8+M8)/2-65</f>
        <v>-5.5</v>
      </c>
      <c r="M9" s="43"/>
      <c r="N9" s="45">
        <f>(N8+O8)/2-65</f>
        <v>-6.5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50007</v>
      </c>
      <c r="M11" s="3"/>
      <c r="N11" s="9">
        <v>50007</v>
      </c>
      <c r="O11" s="3"/>
    </row>
    <row r="12" spans="1:15">
      <c r="B12" s="3" t="s">
        <v>63</v>
      </c>
      <c r="C12" s="3"/>
      <c r="D12" s="3"/>
      <c r="E12" s="290">
        <f>E66</f>
        <v>48913.35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-1215.3499999999985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38007</v>
      </c>
      <c r="M16" s="3"/>
      <c r="N16" s="263">
        <f>N11-N17</f>
        <v>38007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17093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31165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30853.35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16451</v>
      </c>
      <c r="F35" s="124"/>
      <c r="G35" s="135"/>
      <c r="H35" s="26">
        <f>11789-2484</f>
        <v>9305</v>
      </c>
      <c r="I35" s="10"/>
      <c r="J35" s="26">
        <f>11789-2484</f>
        <v>9305</v>
      </c>
      <c r="K35" s="10">
        <v>7131</v>
      </c>
      <c r="L35" s="26">
        <f>9305+2302+7</f>
        <v>11614</v>
      </c>
      <c r="M35" s="10">
        <f>11614-2174</f>
        <v>9440</v>
      </c>
      <c r="N35" s="26">
        <f>9305+2302+7</f>
        <v>11614</v>
      </c>
      <c r="O35" s="10">
        <v>9440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16451</v>
      </c>
      <c r="F37" s="127" t="s">
        <v>4</v>
      </c>
      <c r="G37" s="253"/>
      <c r="H37" s="49">
        <f>SUM(H34:H36)</f>
        <v>9305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11614</v>
      </c>
      <c r="M37" s="146" t="s">
        <v>4</v>
      </c>
      <c r="N37" s="49">
        <f>SUM(N34:N36)</f>
        <v>11614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-13184</v>
      </c>
      <c r="F38" s="123"/>
      <c r="G38" s="134"/>
      <c r="H38" s="26">
        <v>-10500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10516</v>
      </c>
      <c r="F44" s="129"/>
      <c r="G44" s="136"/>
      <c r="H44" s="149">
        <f>SUM(H37:H43)</f>
        <v>6054</v>
      </c>
      <c r="I44" s="53"/>
      <c r="J44" s="149">
        <f>SUM(J37:J43)</f>
        <v>6054</v>
      </c>
      <c r="K44" s="53"/>
      <c r="L44" s="149">
        <f>SUM(L37:L43)</f>
        <v>8363</v>
      </c>
      <c r="M44" s="53"/>
      <c r="N44" s="149">
        <f>SUM(N37:N43)</f>
        <v>8363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15935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-9720</v>
      </c>
      <c r="F50" s="123"/>
      <c r="G50" s="134"/>
      <c r="H50" s="16">
        <f>-10935-5000</f>
        <v>-15935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1415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7544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7525.14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0.15384634256291996</v>
      </c>
      <c r="F58" s="123"/>
      <c r="G58" s="19"/>
      <c r="H58" s="148">
        <f>H57/H66</f>
        <v>0.12817401515275401</v>
      </c>
      <c r="I58" s="3"/>
      <c r="J58" s="148">
        <f>J57/J66</f>
        <v>0.12817401515275401</v>
      </c>
      <c r="K58" s="3"/>
      <c r="L58" s="148">
        <f>L57/L66</f>
        <v>0.12225579845806389</v>
      </c>
      <c r="M58" s="3"/>
      <c r="N58" s="148">
        <f>N57/N66</f>
        <v>0.12225579845806389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48913.35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50007.26</v>
      </c>
      <c r="M66" s="3"/>
      <c r="N66" s="15">
        <f>N29+N44+N56+N61+N62</f>
        <v>50007.26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>
        <f>E66-E11</f>
        <v>1215.3499999999985</v>
      </c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1">
        <f>E67-E12</f>
        <v>-48913.35</v>
      </c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B38" sqref="B38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37013</v>
      </c>
      <c r="F4" s="241"/>
      <c r="G4" s="19"/>
      <c r="H4" s="30">
        <v>37014</v>
      </c>
      <c r="I4" s="23"/>
      <c r="J4" s="30">
        <v>37015</v>
      </c>
      <c r="K4" s="23"/>
      <c r="L4" s="30">
        <v>37016</v>
      </c>
      <c r="M4" s="23"/>
      <c r="N4" s="30">
        <v>37017</v>
      </c>
      <c r="O4" s="23"/>
    </row>
    <row r="5" spans="1:15" s="144" customFormat="1" ht="11.25">
      <c r="B5" s="141"/>
      <c r="C5" s="141"/>
      <c r="D5" s="141"/>
      <c r="E5" s="462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81</v>
      </c>
      <c r="F8" s="106">
        <v>58</v>
      </c>
      <c r="G8" s="33"/>
      <c r="H8" s="42">
        <v>85</v>
      </c>
      <c r="I8" s="33">
        <v>59</v>
      </c>
      <c r="J8" s="42">
        <v>87</v>
      </c>
      <c r="K8" s="33">
        <v>59</v>
      </c>
      <c r="L8" s="42">
        <v>75</v>
      </c>
      <c r="M8" s="33">
        <v>62</v>
      </c>
      <c r="N8" s="42">
        <v>67</v>
      </c>
      <c r="O8" s="33">
        <v>52</v>
      </c>
    </row>
    <row r="9" spans="1:15" s="36" customFormat="1" ht="16.5" thickBot="1">
      <c r="B9" s="43" t="s">
        <v>47</v>
      </c>
      <c r="C9" s="44"/>
      <c r="D9" s="43"/>
      <c r="E9" s="107">
        <f>(E8+F8)/2-65</f>
        <v>4.5</v>
      </c>
      <c r="F9" s="108"/>
      <c r="G9" s="121"/>
      <c r="H9" s="45">
        <f>(H8+I8)/2-65</f>
        <v>7</v>
      </c>
      <c r="I9" s="43"/>
      <c r="J9" s="45">
        <f>(J8+K8)/2-65</f>
        <v>8</v>
      </c>
      <c r="K9" s="43"/>
      <c r="L9" s="45">
        <f>(L8+M8)/2-65</f>
        <v>3.5</v>
      </c>
      <c r="M9" s="43"/>
      <c r="N9" s="45">
        <f>(N8+O8)/2-65</f>
        <v>-5.5</v>
      </c>
      <c r="O9" s="43"/>
    </row>
    <row r="10" spans="1:15" ht="16.5" thickTop="1">
      <c r="A10" s="181"/>
      <c r="B10" s="3"/>
      <c r="D10" s="3"/>
      <c r="E10" s="109"/>
      <c r="F10" s="101"/>
      <c r="G10" s="19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50850.26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-3152.260000000002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9">
        <v>21802</v>
      </c>
      <c r="F22" s="113"/>
      <c r="G22" s="119"/>
      <c r="H22" s="9">
        <v>17093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31165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30853.35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4134</v>
      </c>
      <c r="F35" s="124"/>
      <c r="G35" s="135"/>
      <c r="H35" s="26">
        <v>16451</v>
      </c>
      <c r="I35" s="10"/>
      <c r="J35" s="26">
        <f>11789-2484</f>
        <v>9305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4134</v>
      </c>
      <c r="F37" s="127" t="s">
        <v>4</v>
      </c>
      <c r="G37" s="253"/>
      <c r="H37" s="49">
        <f>SUM(H34:H36)</f>
        <v>16451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192</v>
      </c>
      <c r="C38" s="9">
        <f>49030</f>
        <v>49030</v>
      </c>
      <c r="D38" s="3"/>
      <c r="E38" s="117">
        <v>-5348</v>
      </c>
      <c r="F38" s="123"/>
      <c r="G38" s="134"/>
      <c r="H38" s="26">
        <v>-13184</v>
      </c>
      <c r="I38" s="3"/>
      <c r="J38" s="26">
        <v>-10500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8209</v>
      </c>
      <c r="F44" s="129"/>
      <c r="G44" s="136"/>
      <c r="H44" s="149">
        <f>SUM(H37:H43)</f>
        <v>10516</v>
      </c>
      <c r="I44" s="53"/>
      <c r="J44" s="149">
        <f>SUM(J37:J43)</f>
        <v>6054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11135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-9938</v>
      </c>
      <c r="F50" s="123"/>
      <c r="G50" s="134"/>
      <c r="H50" s="16">
        <v>-10935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997</v>
      </c>
      <c r="F51" s="131"/>
      <c r="G51" s="137"/>
      <c r="H51" s="9">
        <f>SUM(H49:H50)</f>
        <v>200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7126</v>
      </c>
      <c r="F56" s="132"/>
      <c r="G56" s="120"/>
      <c r="H56" s="149">
        <f>SUM(H51:H55)</f>
        <v>6329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7108.1850000000004</v>
      </c>
      <c r="F57" s="123"/>
      <c r="G57" s="19"/>
      <c r="H57" s="11">
        <f>H56*0.9975</f>
        <v>6313.1775000000007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0.13978660089446937</v>
      </c>
      <c r="F58" s="123"/>
      <c r="G58" s="19"/>
      <c r="H58" s="148">
        <f>H57/H66</f>
        <v>0.13235630792260111</v>
      </c>
      <c r="I58" s="3"/>
      <c r="J58" s="148">
        <f>J57/J66</f>
        <v>0.12817401515275401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50850.26</v>
      </c>
      <c r="F66" s="176"/>
      <c r="G66" s="19"/>
      <c r="H66" s="15">
        <f>H29+H44+H56+H61+H62</f>
        <v>47698.35</v>
      </c>
      <c r="I66" s="3"/>
      <c r="J66" s="15">
        <f>J29+J44+J56+J61+J62</f>
        <v>47698.26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31"/>
      <c r="F68" s="178"/>
      <c r="G68" s="19"/>
      <c r="H68" s="31">
        <f>H66-H11</f>
        <v>0.34999999999854481</v>
      </c>
      <c r="I68" s="3"/>
      <c r="J68" s="31">
        <f>J66-J11</f>
        <v>0.26000000000203727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1"/>
      <c r="F69" s="3"/>
      <c r="G69" s="3"/>
      <c r="H69" s="31">
        <f>H67-H12</f>
        <v>0</v>
      </c>
      <c r="I69" s="3"/>
      <c r="J69" s="31">
        <f>J67-J12</f>
        <v>0</v>
      </c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23" sqref="A23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37012</v>
      </c>
      <c r="F4" s="241"/>
      <c r="G4" s="19"/>
      <c r="H4" s="30">
        <v>37013</v>
      </c>
      <c r="I4" s="23"/>
      <c r="J4" s="30">
        <v>37014</v>
      </c>
      <c r="K4" s="23"/>
      <c r="L4" s="30">
        <v>37015</v>
      </c>
      <c r="M4" s="23"/>
      <c r="N4" s="30">
        <v>37016</v>
      </c>
      <c r="O4" s="23"/>
    </row>
    <row r="5" spans="1:15" s="144" customFormat="1" ht="11.25">
      <c r="B5" s="141"/>
      <c r="C5" s="141"/>
      <c r="D5" s="141"/>
      <c r="E5" s="142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46</v>
      </c>
      <c r="G8" s="33"/>
      <c r="H8" s="42">
        <v>84</v>
      </c>
      <c r="I8" s="33">
        <v>57</v>
      </c>
      <c r="J8" s="42">
        <v>84</v>
      </c>
      <c r="K8" s="33">
        <v>58</v>
      </c>
      <c r="L8" s="42">
        <v>83</v>
      </c>
      <c r="M8" s="33">
        <v>62</v>
      </c>
      <c r="N8" s="42">
        <v>72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5.5</v>
      </c>
      <c r="I9" s="43"/>
      <c r="J9" s="45">
        <f>(J8+K8)/2-65</f>
        <v>6</v>
      </c>
      <c r="K9" s="43"/>
      <c r="L9" s="45">
        <f>(L8+M8)/2-65</f>
        <v>7.5</v>
      </c>
      <c r="M9" s="43"/>
      <c r="N9" s="45">
        <f>(N8+O8)/2-65</f>
        <v>0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45000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46633.26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1064.739999999998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33000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17093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31165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30853.35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11789</v>
      </c>
      <c r="F35" s="124"/>
      <c r="G35" s="135"/>
      <c r="H35" s="26">
        <v>4134</v>
      </c>
      <c r="I35" s="10"/>
      <c r="J35" s="26">
        <v>16451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4134</v>
      </c>
      <c r="I37" s="146" t="s">
        <v>4</v>
      </c>
      <c r="J37" s="49">
        <f>SUM(J34:J36)</f>
        <v>16451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-11505</v>
      </c>
      <c r="F38" s="123"/>
      <c r="G38" s="134"/>
      <c r="H38" s="467">
        <v>-8027</v>
      </c>
      <c r="I38" s="3"/>
      <c r="J38" s="26">
        <v>-13184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6024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6308</v>
      </c>
      <c r="F44" s="129"/>
      <c r="G44" s="136"/>
      <c r="H44" s="149">
        <f>SUM(H37:H43)</f>
        <v>3356</v>
      </c>
      <c r="I44" s="53"/>
      <c r="J44" s="149">
        <f>SUM(J37:J43)</f>
        <v>10516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10935</v>
      </c>
      <c r="I49" s="48"/>
      <c r="J49" s="47">
        <v>11135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-11254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-319</v>
      </c>
      <c r="F51" s="131"/>
      <c r="G51" s="137"/>
      <c r="H51" s="9">
        <f>SUM(H49:H50)</f>
        <v>0</v>
      </c>
      <c r="I51" s="4"/>
      <c r="J51" s="9">
        <f>SUM(J49:J50)</f>
        <v>200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5129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4810</v>
      </c>
      <c r="F56" s="132"/>
      <c r="G56" s="120"/>
      <c r="H56" s="149">
        <f>SUM(H51:H55)</f>
        <v>6129</v>
      </c>
      <c r="I56" s="54"/>
      <c r="J56" s="149">
        <f>SUM(J51:J55)</f>
        <v>6329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4797.9750000000004</v>
      </c>
      <c r="F57" s="123"/>
      <c r="G57" s="19"/>
      <c r="H57" s="11">
        <f>H56*0.9975</f>
        <v>6113.6775000000007</v>
      </c>
      <c r="I57" s="3"/>
      <c r="J57" s="11">
        <f>J56*0.9975</f>
        <v>6313.1775000000007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0.10288740268212002</v>
      </c>
      <c r="F58" s="123"/>
      <c r="G58" s="19"/>
      <c r="H58" s="148">
        <f>H57/H66</f>
        <v>0.13585871503853533</v>
      </c>
      <c r="I58" s="3"/>
      <c r="J58" s="148">
        <f>J57/J66</f>
        <v>0.13235630792260111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46633.26</v>
      </c>
      <c r="F66" s="176"/>
      <c r="G66" s="19"/>
      <c r="H66" s="15">
        <f>H29+H44+H56+H61+H62</f>
        <v>45000.26</v>
      </c>
      <c r="I66" s="3"/>
      <c r="J66" s="15">
        <f>J29+J44+J56+J61+J62</f>
        <v>47698.35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0.34999999999854481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37011</v>
      </c>
      <c r="F4" s="241"/>
      <c r="G4" s="19"/>
      <c r="H4" s="30">
        <v>37012</v>
      </c>
      <c r="I4" s="23"/>
      <c r="J4" s="30">
        <v>37013</v>
      </c>
      <c r="K4" s="23"/>
      <c r="L4" s="30">
        <v>37014</v>
      </c>
      <c r="M4" s="23"/>
      <c r="N4" s="30">
        <v>37015</v>
      </c>
      <c r="O4" s="23"/>
    </row>
    <row r="5" spans="1:15" s="144" customFormat="1" ht="11.25">
      <c r="B5" s="141"/>
      <c r="C5" s="141"/>
      <c r="D5" s="141"/>
      <c r="E5" s="142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41</v>
      </c>
      <c r="G8" s="33"/>
      <c r="H8" s="42">
        <v>80</v>
      </c>
      <c r="I8" s="33">
        <v>49</v>
      </c>
      <c r="J8" s="42">
        <v>81</v>
      </c>
      <c r="K8" s="33">
        <v>57</v>
      </c>
      <c r="L8" s="42">
        <v>80</v>
      </c>
      <c r="M8" s="33">
        <v>61</v>
      </c>
      <c r="N8" s="42">
        <v>79</v>
      </c>
      <c r="O8" s="33">
        <v>62</v>
      </c>
    </row>
    <row r="9" spans="1:15" s="36" customFormat="1" ht="16.5" thickBot="1">
      <c r="B9" s="43" t="s">
        <v>47</v>
      </c>
      <c r="C9" s="44"/>
      <c r="D9" s="43"/>
      <c r="E9" s="107">
        <f>(E8+F8)/2-65</f>
        <v>-9</v>
      </c>
      <c r="F9" s="108"/>
      <c r="G9" s="121"/>
      <c r="H9" s="45">
        <f>(H8+I8)/2-65</f>
        <v>-0.5</v>
      </c>
      <c r="I9" s="43"/>
      <c r="J9" s="45">
        <f>(J8+K8)/2-65</f>
        <v>4</v>
      </c>
      <c r="K9" s="43"/>
      <c r="L9" s="45">
        <f>(L8+M8)/2-65</f>
        <v>5.5</v>
      </c>
      <c r="M9" s="43"/>
      <c r="N9" s="45">
        <f>(N8+O8)/2-65</f>
        <v>5.5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65296</v>
      </c>
      <c r="F11" s="283"/>
      <c r="G11" s="19"/>
      <c r="H11" s="17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55826.32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9469.68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53296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12325</v>
      </c>
      <c r="F22" s="113"/>
      <c r="G22" s="119"/>
      <c r="H22" s="9">
        <v>21802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24268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24025.32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13677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44770</v>
      </c>
      <c r="F35" s="124"/>
      <c r="G35" s="135"/>
      <c r="H35" s="26">
        <v>11789</v>
      </c>
      <c r="I35" s="10"/>
      <c r="J35" s="26">
        <v>4134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58447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4134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-48296</v>
      </c>
      <c r="F38" s="123"/>
      <c r="G38" s="134"/>
      <c r="H38" s="467">
        <v>-13853</v>
      </c>
      <c r="I38" s="3"/>
      <c r="J38" s="26">
        <v>-3648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10374</v>
      </c>
      <c r="F39" s="123"/>
      <c r="G39" s="134"/>
      <c r="H39" s="26">
        <v>10374</v>
      </c>
      <c r="I39" s="3"/>
      <c r="J39" s="26">
        <v>7824</v>
      </c>
      <c r="K39" s="3"/>
      <c r="L39" s="26">
        <v>7824</v>
      </c>
      <c r="M39" s="3"/>
      <c r="N39" s="26">
        <v>7824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20525</v>
      </c>
      <c r="F44" s="129"/>
      <c r="G44" s="136"/>
      <c r="H44" s="149">
        <f>SUM(H37:H43)</f>
        <v>6136</v>
      </c>
      <c r="I44" s="53"/>
      <c r="J44" s="149">
        <f>SUM(J37:J43)</f>
        <v>6136</v>
      </c>
      <c r="K44" s="53"/>
      <c r="L44" s="149">
        <f>SUM(L37:L43)</f>
        <v>3076</v>
      </c>
      <c r="M44" s="53"/>
      <c r="N44" s="149">
        <f>SUM(N37:N43)</f>
        <v>3076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14966</v>
      </c>
      <c r="F49" s="124"/>
      <c r="G49" s="135"/>
      <c r="H49" s="47">
        <v>10935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-9737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5229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6047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11276</v>
      </c>
      <c r="F56" s="132"/>
      <c r="G56" s="120"/>
      <c r="H56" s="149">
        <f>SUM(H51:H55)</f>
        <v>6047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11247.810000000001</v>
      </c>
      <c r="F57" s="123"/>
      <c r="G57" s="19"/>
      <c r="H57" s="11">
        <f>H56*0.9975</f>
        <v>6031.8825000000006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>
        <f>E57/E66</f>
        <v>0.20147862155341784</v>
      </c>
      <c r="F58" s="123"/>
      <c r="G58" s="19"/>
      <c r="H58" s="148">
        <f>H57/H66</f>
        <v>0.12645917272453963</v>
      </c>
      <c r="I58" s="3"/>
      <c r="J58" s="148">
        <f>J57/J66</f>
        <v>0.12645917272453963</v>
      </c>
      <c r="K58" s="3"/>
      <c r="L58" s="148">
        <f>L57/L66</f>
        <v>0.18193386008313869</v>
      </c>
      <c r="M58" s="3"/>
      <c r="N58" s="148">
        <f>N57/N66</f>
        <v>0.18193386008313869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55826.32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33154.259999999995</v>
      </c>
      <c r="M66" s="3"/>
      <c r="N66" s="15">
        <f>N29+N44+N56+N61+N62</f>
        <v>33154.259999999995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-14543.740000000005</v>
      </c>
      <c r="M68" s="3"/>
      <c r="N68" s="31">
        <f>N66-N11</f>
        <v>-14543.740000000005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A17" sqref="A17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37010</v>
      </c>
      <c r="F4" s="241"/>
      <c r="G4" s="19"/>
      <c r="H4" s="30">
        <v>37011</v>
      </c>
      <c r="I4" s="23"/>
      <c r="J4" s="30">
        <v>37012</v>
      </c>
      <c r="K4" s="23"/>
      <c r="L4" s="30">
        <v>37013</v>
      </c>
      <c r="M4" s="23"/>
      <c r="N4" s="30">
        <v>37014</v>
      </c>
      <c r="O4" s="23"/>
    </row>
    <row r="5" spans="1:15" s="144" customFormat="1" ht="11.25">
      <c r="B5" s="141"/>
      <c r="C5" s="141"/>
      <c r="D5" s="141"/>
      <c r="E5" s="142" t="s">
        <v>173</v>
      </c>
      <c r="F5" s="463"/>
      <c r="G5" s="143"/>
      <c r="H5" s="462" t="s">
        <v>190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60</v>
      </c>
      <c r="F8" s="106">
        <v>42</v>
      </c>
      <c r="G8" s="33"/>
      <c r="H8" s="42">
        <v>71</v>
      </c>
      <c r="I8" s="33">
        <v>42</v>
      </c>
      <c r="J8" s="42">
        <v>79</v>
      </c>
      <c r="K8" s="33">
        <v>54</v>
      </c>
      <c r="L8" s="42">
        <v>79</v>
      </c>
      <c r="M8" s="33">
        <v>59</v>
      </c>
      <c r="N8" s="42">
        <v>83</v>
      </c>
      <c r="O8" s="33">
        <v>60</v>
      </c>
    </row>
    <row r="9" spans="1:15" s="36" customFormat="1" ht="16.5" thickBot="1">
      <c r="B9" s="43" t="s">
        <v>47</v>
      </c>
      <c r="C9" s="44"/>
      <c r="D9" s="43"/>
      <c r="E9" s="107">
        <f>(E8+F8)/2-65</f>
        <v>-14</v>
      </c>
      <c r="F9" s="108"/>
      <c r="G9" s="121"/>
      <c r="H9" s="45">
        <f>(H8+I8)/2-65</f>
        <v>-8.5</v>
      </c>
      <c r="I9" s="43"/>
      <c r="J9" s="45">
        <f>(J8+K8)/2-65</f>
        <v>1.5</v>
      </c>
      <c r="K9" s="43"/>
      <c r="L9" s="45">
        <f>(L8+M8)/2-65</f>
        <v>4</v>
      </c>
      <c r="M9" s="43"/>
      <c r="N9" s="45">
        <f>(N8+O8)/2-65</f>
        <v>6.5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52200</v>
      </c>
      <c r="F11" s="283"/>
      <c r="G11" s="19"/>
      <c r="H11" s="179">
        <v>65296</v>
      </c>
      <c r="I11" s="3"/>
      <c r="J11" s="9">
        <v>52698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52200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40200</v>
      </c>
      <c r="F16" s="284"/>
      <c r="G16" s="19"/>
      <c r="H16" s="263">
        <f>H11-H17</f>
        <v>53296</v>
      </c>
      <c r="I16" s="3"/>
      <c r="J16" s="263">
        <f>J11-J17</f>
        <v>40698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12325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-3925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-62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24268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24025.32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13677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44770</v>
      </c>
      <c r="I35" s="10"/>
      <c r="J35" s="26">
        <v>11789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58447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0</v>
      </c>
      <c r="F38" s="123"/>
      <c r="G38" s="134"/>
      <c r="H38" s="467">
        <v>-38563</v>
      </c>
      <c r="I38" s="3"/>
      <c r="J38" s="26">
        <f>-14337+5484</f>
        <v>-8853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10374</v>
      </c>
      <c r="I39" s="3"/>
      <c r="J39" s="26">
        <v>10374</v>
      </c>
      <c r="K39" s="3"/>
      <c r="L39" s="26">
        <v>10374</v>
      </c>
      <c r="M39" s="3"/>
      <c r="N39" s="26">
        <v>10374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-2174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30258</v>
      </c>
      <c r="I44" s="53"/>
      <c r="J44" s="149">
        <f>SUM(J37:J43)</f>
        <v>11136</v>
      </c>
      <c r="K44" s="53"/>
      <c r="L44" s="149">
        <f>SUM(L37:L43)</f>
        <v>12326</v>
      </c>
      <c r="M44" s="53"/>
      <c r="N44" s="149">
        <f>SUM(N37:N43)</f>
        <v>7800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14966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466">
        <v>-10000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4966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11013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10985.467500000001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0.16824022395136512</v>
      </c>
      <c r="I58" s="3"/>
      <c r="J58" s="148">
        <f>J57/J66</f>
        <v>0.11446075259410843</v>
      </c>
      <c r="K58" s="3"/>
      <c r="L58" s="148">
        <f>L57/L66</f>
        <v>0.11193314647754447</v>
      </c>
      <c r="M58" s="3"/>
      <c r="N58" s="148">
        <f>N57/N66</f>
        <v>0.12219623858388981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65296.32</v>
      </c>
      <c r="I66" s="3"/>
      <c r="J66" s="15">
        <f>J29+J44+J56+J61+J62</f>
        <v>52698.26</v>
      </c>
      <c r="K66" s="3"/>
      <c r="L66" s="15">
        <f>L29+L44+L56+L61+L62</f>
        <v>53888.26</v>
      </c>
      <c r="M66" s="3"/>
      <c r="N66" s="15">
        <f>N29+N44+N56+N61+N62</f>
        <v>49362.26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0.26000000000203727</v>
      </c>
      <c r="K68" s="3"/>
      <c r="L68" s="31">
        <f>L66-L11</f>
        <v>6190.260000000002</v>
      </c>
      <c r="M68" s="3"/>
      <c r="N68" s="31">
        <f>N66-N11</f>
        <v>1664.260000000002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37007</v>
      </c>
      <c r="F4" s="241"/>
      <c r="G4" s="19"/>
      <c r="H4" s="30">
        <v>37008</v>
      </c>
      <c r="I4" s="23"/>
      <c r="J4" s="30">
        <v>37009</v>
      </c>
      <c r="K4" s="23"/>
      <c r="L4" s="30">
        <v>37010</v>
      </c>
      <c r="M4" s="23"/>
      <c r="N4" s="30">
        <v>37011</v>
      </c>
      <c r="O4" s="23"/>
    </row>
    <row r="5" spans="1:15" s="144" customFormat="1" ht="11.25">
      <c r="B5" s="141"/>
      <c r="C5" s="141"/>
      <c r="D5" s="141"/>
      <c r="E5" s="14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190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59</v>
      </c>
      <c r="F8" s="106">
        <v>48</v>
      </c>
      <c r="G8" s="33"/>
      <c r="H8" s="42">
        <v>75</v>
      </c>
      <c r="I8" s="33">
        <v>44</v>
      </c>
      <c r="J8" s="42">
        <v>65</v>
      </c>
      <c r="K8" s="33">
        <v>54</v>
      </c>
      <c r="L8" s="42">
        <v>66</v>
      </c>
      <c r="M8" s="33">
        <v>48</v>
      </c>
      <c r="N8" s="42">
        <v>78</v>
      </c>
      <c r="O8" s="33">
        <v>50</v>
      </c>
    </row>
    <row r="9" spans="1:15" s="36" customFormat="1" ht="16.5" thickBot="1">
      <c r="B9" s="43" t="s">
        <v>47</v>
      </c>
      <c r="C9" s="44"/>
      <c r="D9" s="43"/>
      <c r="E9" s="107">
        <f>(E8+F8)/2-65</f>
        <v>-11.5</v>
      </c>
      <c r="F9" s="108"/>
      <c r="G9" s="121"/>
      <c r="H9" s="45">
        <f>(H8+I8)/2-65</f>
        <v>-5.5</v>
      </c>
      <c r="I9" s="43"/>
      <c r="J9" s="45">
        <f>(J8+K8)/2-65</f>
        <v>-5.5</v>
      </c>
      <c r="K9" s="43"/>
      <c r="L9" s="45">
        <f>(L8+M8)/2-65</f>
        <v>-8</v>
      </c>
      <c r="M9" s="43"/>
      <c r="N9" s="45">
        <f>(N8+O8)/2-65</f>
        <v>-1</v>
      </c>
      <c r="O9" s="43"/>
    </row>
    <row r="10" spans="1:15" ht="16.5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79000</v>
      </c>
      <c r="F11" s="283"/>
      <c r="G11" s="19"/>
      <c r="H11" s="179">
        <v>62200</v>
      </c>
      <c r="I11" s="3"/>
      <c r="J11" s="9">
        <v>65915</v>
      </c>
      <c r="K11" s="3"/>
      <c r="L11" s="9">
        <v>52200</v>
      </c>
      <c r="M11" s="3"/>
      <c r="N11" s="9">
        <v>47700</v>
      </c>
      <c r="O11" s="3"/>
    </row>
    <row r="12" spans="1:15">
      <c r="B12" s="3" t="s">
        <v>63</v>
      </c>
      <c r="C12" s="3"/>
      <c r="D12" s="3"/>
      <c r="E12" s="290">
        <f>E66</f>
        <v>93019.32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-14019.320000000007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67000</v>
      </c>
      <c r="F16" s="284"/>
      <c r="G16" s="19"/>
      <c r="H16" s="263">
        <f>H11-H17</f>
        <v>50200</v>
      </c>
      <c r="I16" s="3"/>
      <c r="J16" s="263">
        <f>J11-J17</f>
        <v>53915</v>
      </c>
      <c r="K16" s="3"/>
      <c r="L16" s="263">
        <f>L11-L17</f>
        <v>40200</v>
      </c>
      <c r="M16" s="3"/>
      <c r="N16" s="263">
        <f>N11-N17</f>
        <v>35700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23925</v>
      </c>
      <c r="F22" s="113"/>
      <c r="G22" s="119"/>
      <c r="H22" s="9">
        <v>23925</v>
      </c>
      <c r="I22" s="10"/>
      <c r="J22" s="9">
        <v>12325</v>
      </c>
      <c r="K22" s="10"/>
      <c r="L22" s="9">
        <v>12325</v>
      </c>
      <c r="M22" s="10"/>
      <c r="N22" s="9">
        <v>12325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-3925</v>
      </c>
      <c r="I24" s="3"/>
      <c r="J24" s="9">
        <v>-3925</v>
      </c>
      <c r="K24" s="3"/>
      <c r="L24" s="9">
        <v>-3925</v>
      </c>
      <c r="M24" s="3"/>
      <c r="N24" s="9">
        <v>-3925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-62</v>
      </c>
      <c r="I26" s="9"/>
      <c r="J26" s="9">
        <v>-62</v>
      </c>
      <c r="K26" s="9"/>
      <c r="L26" s="9">
        <v>-62</v>
      </c>
      <c r="M26" s="9"/>
      <c r="N26" s="9">
        <v>-62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35868</v>
      </c>
      <c r="F28" s="115"/>
      <c r="G28" s="19"/>
      <c r="H28" s="149">
        <f>SUM(H21:H27)</f>
        <v>35868</v>
      </c>
      <c r="I28" s="51"/>
      <c r="J28" s="149">
        <f>SUM(J21:J27)</f>
        <v>24268</v>
      </c>
      <c r="K28" s="51"/>
      <c r="L28" s="149">
        <f>SUM(L21:L27)</f>
        <v>24268</v>
      </c>
      <c r="M28" s="51"/>
      <c r="N28" s="149">
        <f>SUM(N21:N27)</f>
        <v>24268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35509.32</v>
      </c>
      <c r="F29" s="122"/>
      <c r="G29" s="133"/>
      <c r="H29" s="46">
        <f>H28*0.99</f>
        <v>35509.32</v>
      </c>
      <c r="I29" s="52"/>
      <c r="J29" s="46">
        <f>J28*0.99</f>
        <v>24025.32</v>
      </c>
      <c r="K29" s="52"/>
      <c r="L29" s="46">
        <f>L28*0.99</f>
        <v>24025.32</v>
      </c>
      <c r="M29" s="52"/>
      <c r="N29" s="46">
        <f>N28*0.99</f>
        <v>24025.32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40000</v>
      </c>
      <c r="F35" s="124"/>
      <c r="G35" s="135"/>
      <c r="H35" s="26">
        <f>25867-14000+723</f>
        <v>12590</v>
      </c>
      <c r="I35" s="10"/>
      <c r="J35" s="26">
        <v>17613</v>
      </c>
      <c r="K35" s="10"/>
      <c r="L35" s="26">
        <v>17613</v>
      </c>
      <c r="M35" s="10"/>
      <c r="N35" s="26">
        <v>17613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40000</v>
      </c>
      <c r="F37" s="127" t="s">
        <v>4</v>
      </c>
      <c r="G37" s="253"/>
      <c r="H37" s="49">
        <f>SUM(H34:H36)</f>
        <v>12590</v>
      </c>
      <c r="I37" s="146" t="s">
        <v>4</v>
      </c>
      <c r="J37" s="49">
        <f>SUM(J34:J36)</f>
        <v>17613</v>
      </c>
      <c r="K37" s="146" t="s">
        <v>4</v>
      </c>
      <c r="L37" s="49">
        <f>SUM(L34:L36)</f>
        <v>17613</v>
      </c>
      <c r="M37" s="146" t="s">
        <v>4</v>
      </c>
      <c r="N37" s="49">
        <f>SUM(N34:N36)</f>
        <v>17613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-4873</v>
      </c>
      <c r="F38" s="123"/>
      <c r="G38" s="134"/>
      <c r="H38" s="26">
        <v>-10458</v>
      </c>
      <c r="I38" s="3"/>
      <c r="J38" s="26">
        <v>0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7959</v>
      </c>
      <c r="F39" s="123"/>
      <c r="G39" s="134"/>
      <c r="H39" s="26">
        <v>8580</v>
      </c>
      <c r="I39" s="3"/>
      <c r="J39" s="26">
        <v>8580</v>
      </c>
      <c r="K39" s="3"/>
      <c r="L39" s="26">
        <v>8580</v>
      </c>
      <c r="M39" s="3"/>
      <c r="N39" s="26">
        <v>8580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43086</v>
      </c>
      <c r="F44" s="129"/>
      <c r="G44" s="136"/>
      <c r="H44" s="149">
        <f>SUM(H37:H43)</f>
        <v>10712</v>
      </c>
      <c r="I44" s="53"/>
      <c r="J44" s="149">
        <f>SUM(J37:J43)</f>
        <v>26193</v>
      </c>
      <c r="K44" s="53"/>
      <c r="L44" s="149">
        <f>SUM(L37:L43)</f>
        <v>16356</v>
      </c>
      <c r="M44" s="53"/>
      <c r="N44" s="149">
        <f>SUM(N37:N43)</f>
        <v>11830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12557</v>
      </c>
      <c r="F49" s="124"/>
      <c r="G49" s="135"/>
      <c r="H49" s="47">
        <v>16356</v>
      </c>
      <c r="I49" s="48"/>
      <c r="J49" s="47">
        <v>14860</v>
      </c>
      <c r="K49" s="48"/>
      <c r="L49" s="47">
        <v>14940</v>
      </c>
      <c r="M49" s="48"/>
      <c r="N49" s="47">
        <v>14966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-11110</v>
      </c>
      <c r="F50" s="123"/>
      <c r="G50" s="134"/>
      <c r="H50" s="16">
        <v>-13354</v>
      </c>
      <c r="I50" s="3"/>
      <c r="J50" s="16">
        <v>-12140</v>
      </c>
      <c r="K50" s="3"/>
      <c r="L50" s="16">
        <v>-16098</v>
      </c>
      <c r="M50" s="3"/>
      <c r="N50" s="16">
        <v>-16098</v>
      </c>
      <c r="O50" s="3"/>
    </row>
    <row r="51" spans="2:15">
      <c r="B51" s="3" t="s">
        <v>19</v>
      </c>
      <c r="C51" s="3"/>
      <c r="D51" s="101"/>
      <c r="E51" s="9">
        <f>SUM(E49:E50)</f>
        <v>1447</v>
      </c>
      <c r="F51" s="131"/>
      <c r="G51" s="137"/>
      <c r="H51" s="9">
        <f>SUM(H49:H50)</f>
        <v>3002</v>
      </c>
      <c r="I51" s="4"/>
      <c r="J51" s="9">
        <f>SUM(J49:J50)</f>
        <v>2720</v>
      </c>
      <c r="K51" s="4"/>
      <c r="L51" s="9">
        <f>SUM(L49:L50)</f>
        <v>-1158</v>
      </c>
      <c r="M51" s="4"/>
      <c r="N51" s="9">
        <f>SUM(N49:N50)</f>
        <v>-1132</v>
      </c>
      <c r="O51" s="4"/>
    </row>
    <row r="52" spans="2:15">
      <c r="B52" s="3" t="s">
        <v>117</v>
      </c>
      <c r="C52" s="9"/>
      <c r="D52" s="3"/>
      <c r="E52" s="117">
        <v>12977</v>
      </c>
      <c r="F52" s="123"/>
      <c r="G52" s="134"/>
      <c r="H52" s="26">
        <v>12977</v>
      </c>
      <c r="I52" s="3"/>
      <c r="J52" s="26">
        <v>12977</v>
      </c>
      <c r="K52" s="3"/>
      <c r="L52" s="26">
        <v>12977</v>
      </c>
      <c r="M52" s="3"/>
      <c r="N52" s="26">
        <v>12977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14424</v>
      </c>
      <c r="F56" s="132"/>
      <c r="G56" s="120"/>
      <c r="H56" s="149">
        <f>SUM(H51:H55)</f>
        <v>15979</v>
      </c>
      <c r="I56" s="54"/>
      <c r="J56" s="149">
        <f>SUM(J51:J55)</f>
        <v>15697</v>
      </c>
      <c r="K56" s="54"/>
      <c r="L56" s="149">
        <f>SUM(L51:L55)</f>
        <v>11819</v>
      </c>
      <c r="M56" s="54"/>
      <c r="N56" s="149">
        <f>SUM(N51:N55)</f>
        <v>11845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14387.94</v>
      </c>
      <c r="F57" s="123"/>
      <c r="G57" s="19"/>
      <c r="H57" s="11">
        <f>H56*0.9975</f>
        <v>15939.052500000002</v>
      </c>
      <c r="I57" s="3"/>
      <c r="J57" s="11">
        <f>J56*0.9975</f>
        <v>15657.757500000002</v>
      </c>
      <c r="K57" s="3"/>
      <c r="L57" s="11">
        <f>L56*0.9975</f>
        <v>11789.452500000001</v>
      </c>
      <c r="M57" s="3"/>
      <c r="N57" s="11">
        <f>N56*0.9975</f>
        <v>11815.387500000001</v>
      </c>
      <c r="O57" s="3"/>
    </row>
    <row r="58" spans="2:15">
      <c r="B58" s="145" t="s">
        <v>0</v>
      </c>
      <c r="C58" s="9"/>
      <c r="D58" s="3"/>
      <c r="E58" s="147">
        <f>E57/E66</f>
        <v>0.15467689937961274</v>
      </c>
      <c r="F58" s="123"/>
      <c r="G58" s="19"/>
      <c r="H58" s="148">
        <f>H57/H66</f>
        <v>0.25625354499783926</v>
      </c>
      <c r="I58" s="3"/>
      <c r="J58" s="148">
        <f>J57/J66</f>
        <v>0.23754352554155847</v>
      </c>
      <c r="K58" s="3"/>
      <c r="L58" s="148">
        <f>L57/L66</f>
        <v>0.2258501959374962</v>
      </c>
      <c r="M58" s="3"/>
      <c r="N58" s="148">
        <f>N57/N66</f>
        <v>0.24770038230351496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93019.32</v>
      </c>
      <c r="F66" s="176"/>
      <c r="G66" s="19"/>
      <c r="H66" s="15">
        <f>H29+H44+H56+H61+H62</f>
        <v>62200.32</v>
      </c>
      <c r="I66" s="3"/>
      <c r="J66" s="15">
        <f>J29+J44+J56+J61+J62</f>
        <v>65915.320000000007</v>
      </c>
      <c r="K66" s="3"/>
      <c r="L66" s="15">
        <f>L29+L44+L56+L61+L62</f>
        <v>52200.32</v>
      </c>
      <c r="M66" s="3"/>
      <c r="N66" s="15">
        <f>N29+N44+N56+N61+N62</f>
        <v>47700.32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0.32000000000698492</v>
      </c>
      <c r="K68" s="3"/>
      <c r="L68" s="31">
        <f>L66-L11</f>
        <v>0.31999999999970896</v>
      </c>
      <c r="M68" s="3"/>
      <c r="N68" s="31">
        <f>N66-N11</f>
        <v>0.31999999999970896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41887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92" workbookViewId="0">
      <selection activeCell="G6" sqref="G6"/>
    </sheetView>
  </sheetViews>
  <sheetFormatPr defaultRowHeight="15.75"/>
  <cols>
    <col min="1" max="1" width="3" customWidth="1"/>
    <col min="2" max="2" width="9.88671875" customWidth="1"/>
    <col min="3" max="3" width="10.33203125" customWidth="1"/>
    <col min="5" max="5" width="9.44140625" customWidth="1"/>
    <col min="7" max="7" width="10.88671875" customWidth="1"/>
    <col min="9" max="9" width="17.21875" customWidth="1"/>
    <col min="12" max="12" width="2.33203125" customWidth="1"/>
    <col min="13" max="13" width="3.44140625" customWidth="1"/>
    <col min="15" max="15" width="10.109375" customWidth="1"/>
  </cols>
  <sheetData>
    <row r="1" spans="1:13" ht="8.25" customHeight="1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>
      <c r="A2" s="87"/>
      <c r="B2" s="475" t="s">
        <v>65</v>
      </c>
      <c r="C2" s="476"/>
      <c r="D2" s="476"/>
      <c r="E2" s="476"/>
      <c r="F2" s="476"/>
      <c r="G2" s="476"/>
      <c r="H2" s="476"/>
      <c r="I2" s="476"/>
      <c r="J2" s="476"/>
      <c r="K2" s="477"/>
      <c r="L2" s="87"/>
      <c r="M2">
        <v>1</v>
      </c>
    </row>
    <row r="3" spans="1:13">
      <c r="A3" s="87"/>
      <c r="B3" s="71"/>
      <c r="C3" s="68"/>
      <c r="D3" s="68"/>
      <c r="E3" s="68"/>
      <c r="F3" s="68"/>
      <c r="G3" s="139">
        <f ca="1">TODAY()</f>
        <v>41886</v>
      </c>
      <c r="H3" s="68"/>
      <c r="I3" s="68"/>
      <c r="J3" s="68"/>
      <c r="K3" s="72"/>
      <c r="L3" s="87"/>
      <c r="M3">
        <v>1</v>
      </c>
    </row>
    <row r="4" spans="1:13">
      <c r="A4" s="87"/>
      <c r="B4" s="71"/>
      <c r="C4" s="68"/>
      <c r="D4" s="68"/>
      <c r="E4" s="68"/>
      <c r="F4" s="68"/>
      <c r="G4" s="68"/>
      <c r="H4" s="68"/>
      <c r="I4" s="68"/>
      <c r="J4" s="68"/>
      <c r="K4" s="72"/>
      <c r="L4" s="87"/>
      <c r="M4">
        <v>1</v>
      </c>
    </row>
    <row r="5" spans="1:13" ht="15" customHeight="1" thickBot="1">
      <c r="A5" s="87"/>
      <c r="B5" s="478" t="s">
        <v>40</v>
      </c>
      <c r="C5" s="479"/>
      <c r="D5" s="479"/>
      <c r="E5" s="479"/>
      <c r="F5" s="479"/>
      <c r="G5" s="479"/>
      <c r="H5" s="479"/>
      <c r="I5" s="479"/>
      <c r="J5" s="479"/>
      <c r="K5" s="480"/>
      <c r="L5" s="87"/>
      <c r="M5">
        <v>1</v>
      </c>
    </row>
    <row r="6" spans="1:13" ht="15" customHeight="1">
      <c r="A6" s="87"/>
      <c r="B6" s="73"/>
      <c r="C6" s="74"/>
      <c r="D6" s="74"/>
      <c r="E6" s="74"/>
      <c r="F6" s="56" t="s">
        <v>52</v>
      </c>
      <c r="G6" s="140">
        <v>37012</v>
      </c>
      <c r="H6" s="56" t="s">
        <v>53</v>
      </c>
      <c r="I6" s="69">
        <f>G6+1</f>
        <v>37013</v>
      </c>
      <c r="J6" s="74"/>
      <c r="K6" s="75"/>
      <c r="L6" s="87"/>
      <c r="M6">
        <v>1</v>
      </c>
    </row>
    <row r="7" spans="1:13">
      <c r="A7" s="87"/>
      <c r="B7" s="71" t="s">
        <v>41</v>
      </c>
      <c r="C7" s="68"/>
      <c r="D7" s="68"/>
      <c r="E7" s="68"/>
      <c r="F7" s="57" t="s">
        <v>37</v>
      </c>
      <c r="G7" s="58"/>
      <c r="H7" s="83"/>
      <c r="I7" s="58"/>
      <c r="J7" s="68" t="s">
        <v>38</v>
      </c>
      <c r="K7" s="72"/>
      <c r="L7" s="87"/>
      <c r="M7">
        <v>1</v>
      </c>
    </row>
    <row r="8" spans="1:13">
      <c r="A8" s="87"/>
      <c r="B8" s="76" t="s">
        <v>42</v>
      </c>
      <c r="C8" s="77"/>
      <c r="D8" s="77" t="s">
        <v>34</v>
      </c>
      <c r="E8" s="68"/>
      <c r="F8" s="59" t="s">
        <v>35</v>
      </c>
      <c r="G8" s="58"/>
      <c r="H8" s="83"/>
      <c r="I8" s="58"/>
      <c r="J8" s="68" t="s">
        <v>36</v>
      </c>
      <c r="K8" s="72"/>
      <c r="L8" s="87"/>
      <c r="M8">
        <v>1</v>
      </c>
    </row>
    <row r="9" spans="1:13">
      <c r="A9" s="87"/>
      <c r="B9" s="78" t="s">
        <v>43</v>
      </c>
      <c r="C9" s="79"/>
      <c r="D9" s="79">
        <v>65066</v>
      </c>
      <c r="E9" s="79"/>
      <c r="F9" s="60">
        <v>0</v>
      </c>
      <c r="G9" s="58"/>
      <c r="H9" s="62">
        <v>0</v>
      </c>
      <c r="I9" s="58"/>
      <c r="J9" s="68"/>
      <c r="K9" s="72"/>
      <c r="L9" s="87"/>
      <c r="M9">
        <v>1</v>
      </c>
    </row>
    <row r="10" spans="1:13">
      <c r="A10" s="87"/>
      <c r="B10" s="78" t="s">
        <v>43</v>
      </c>
      <c r="C10" s="79"/>
      <c r="D10" s="79">
        <v>60536</v>
      </c>
      <c r="E10" s="79"/>
      <c r="F10" s="60">
        <v>0</v>
      </c>
      <c r="G10" s="58"/>
      <c r="H10" s="62">
        <v>0</v>
      </c>
      <c r="I10" s="58"/>
      <c r="J10" s="68"/>
      <c r="K10" s="72"/>
      <c r="L10" s="87"/>
      <c r="M10">
        <v>1</v>
      </c>
    </row>
    <row r="11" spans="1:13">
      <c r="A11" s="87"/>
      <c r="B11" s="78" t="s">
        <v>43</v>
      </c>
      <c r="C11" s="79"/>
      <c r="D11" s="79">
        <v>38115</v>
      </c>
      <c r="E11" s="79" t="s">
        <v>58</v>
      </c>
      <c r="F11" s="85">
        <v>0</v>
      </c>
      <c r="G11" s="58"/>
      <c r="H11" s="62">
        <v>0</v>
      </c>
      <c r="I11" s="58"/>
      <c r="J11" s="68"/>
      <c r="K11" s="72"/>
      <c r="L11" s="87"/>
      <c r="M11">
        <v>1</v>
      </c>
    </row>
    <row r="12" spans="1:13">
      <c r="A12" s="87"/>
      <c r="B12" s="78" t="s">
        <v>43</v>
      </c>
      <c r="C12" s="79"/>
      <c r="D12" s="79">
        <f>38023-38023+62077</f>
        <v>62077</v>
      </c>
      <c r="E12" s="79" t="s">
        <v>174</v>
      </c>
      <c r="F12" s="85">
        <v>0</v>
      </c>
      <c r="G12" s="58"/>
      <c r="H12" s="62">
        <v>0</v>
      </c>
      <c r="I12" s="58"/>
      <c r="J12" s="68"/>
      <c r="K12" s="72"/>
      <c r="L12" s="87"/>
      <c r="M12">
        <v>1</v>
      </c>
    </row>
    <row r="13" spans="1:13">
      <c r="A13" s="87"/>
      <c r="B13" s="78" t="s">
        <v>43</v>
      </c>
      <c r="C13" s="79"/>
      <c r="D13" s="259">
        <f>38088</f>
        <v>38088</v>
      </c>
      <c r="E13" s="79" t="s">
        <v>57</v>
      </c>
      <c r="F13" s="61">
        <v>0</v>
      </c>
      <c r="G13" s="58"/>
      <c r="H13" s="62">
        <v>0</v>
      </c>
      <c r="I13" s="429"/>
      <c r="J13" s="68"/>
      <c r="K13" s="72"/>
      <c r="L13" s="87"/>
      <c r="M13">
        <v>1</v>
      </c>
    </row>
    <row r="14" spans="1:13">
      <c r="A14" s="87"/>
      <c r="B14" s="78"/>
      <c r="C14" s="79"/>
      <c r="D14" s="79"/>
      <c r="E14" s="79"/>
      <c r="F14" s="62">
        <f>SUM(F9:F13)</f>
        <v>0</v>
      </c>
      <c r="G14" s="58" t="s">
        <v>39</v>
      </c>
      <c r="H14" s="84">
        <f>SUM(H9:H13)</f>
        <v>0</v>
      </c>
      <c r="I14" s="58"/>
      <c r="J14" s="68">
        <f>SUM(J9:J13)</f>
        <v>0</v>
      </c>
      <c r="K14" s="72"/>
      <c r="L14" s="87"/>
      <c r="M14">
        <v>1</v>
      </c>
    </row>
    <row r="15" spans="1:13">
      <c r="A15" s="87"/>
      <c r="B15" s="71"/>
      <c r="C15" s="68"/>
      <c r="D15" s="68"/>
      <c r="E15" s="68"/>
      <c r="F15" s="62"/>
      <c r="G15" s="58"/>
      <c r="H15" s="83"/>
      <c r="I15" s="58"/>
      <c r="J15" s="68"/>
      <c r="K15" s="72"/>
      <c r="L15" s="87"/>
      <c r="M15">
        <v>1</v>
      </c>
    </row>
    <row r="16" spans="1:13" ht="16.5" thickBot="1">
      <c r="A16" s="87"/>
      <c r="B16" s="71"/>
      <c r="C16" s="68"/>
      <c r="D16" s="68"/>
      <c r="E16" s="68"/>
      <c r="F16" s="63"/>
      <c r="G16" s="64"/>
      <c r="H16" s="63"/>
      <c r="I16" s="64"/>
      <c r="J16" s="68"/>
      <c r="K16" s="72"/>
      <c r="L16" s="87"/>
      <c r="M16">
        <v>1</v>
      </c>
    </row>
    <row r="17" spans="1:13">
      <c r="A17" s="87"/>
      <c r="B17" s="71"/>
      <c r="C17" s="68"/>
      <c r="D17" s="68"/>
      <c r="E17" s="68"/>
      <c r="F17" s="68"/>
      <c r="G17" s="68"/>
      <c r="H17" s="68"/>
      <c r="I17" s="68"/>
      <c r="J17" s="68"/>
      <c r="K17" s="72"/>
      <c r="L17" s="87"/>
      <c r="M17">
        <v>1</v>
      </c>
    </row>
    <row r="18" spans="1:13" ht="16.5" thickBot="1">
      <c r="A18" s="87"/>
      <c r="B18" s="478" t="s">
        <v>20</v>
      </c>
      <c r="C18" s="479"/>
      <c r="D18" s="479"/>
      <c r="E18" s="479"/>
      <c r="F18" s="479"/>
      <c r="G18" s="479"/>
      <c r="H18" s="479"/>
      <c r="I18" s="479"/>
      <c r="J18" s="479"/>
      <c r="K18" s="480"/>
      <c r="L18" s="87"/>
      <c r="M18">
        <v>1</v>
      </c>
    </row>
    <row r="19" spans="1:13">
      <c r="A19" s="87"/>
      <c r="B19" s="73"/>
      <c r="C19" s="74"/>
      <c r="D19" s="74"/>
      <c r="E19" s="74"/>
      <c r="F19" s="56" t="s">
        <v>52</v>
      </c>
      <c r="G19" s="69">
        <f>G6</f>
        <v>37012</v>
      </c>
      <c r="H19" s="56" t="s">
        <v>53</v>
      </c>
      <c r="I19" s="69">
        <f>I6</f>
        <v>37013</v>
      </c>
      <c r="J19" s="74"/>
      <c r="K19" s="75"/>
      <c r="L19" s="87"/>
      <c r="M19">
        <v>1</v>
      </c>
    </row>
    <row r="20" spans="1:13">
      <c r="A20" s="87"/>
      <c r="B20" s="71" t="s">
        <v>41</v>
      </c>
      <c r="C20" s="68"/>
      <c r="D20" s="68"/>
      <c r="E20" s="68"/>
      <c r="F20" s="57" t="s">
        <v>37</v>
      </c>
      <c r="G20" s="58"/>
      <c r="H20" s="83"/>
      <c r="I20" s="58"/>
      <c r="J20" s="68" t="s">
        <v>38</v>
      </c>
      <c r="K20" s="72"/>
      <c r="L20" s="87"/>
      <c r="M20">
        <v>1</v>
      </c>
    </row>
    <row r="21" spans="1:13">
      <c r="A21" s="87"/>
      <c r="B21" s="76" t="s">
        <v>42</v>
      </c>
      <c r="C21" s="77"/>
      <c r="D21" s="77" t="s">
        <v>34</v>
      </c>
      <c r="E21" s="68"/>
      <c r="F21" s="59" t="s">
        <v>35</v>
      </c>
      <c r="G21" s="58"/>
      <c r="H21" s="83"/>
      <c r="I21" s="58"/>
      <c r="J21" s="68" t="s">
        <v>36</v>
      </c>
      <c r="K21" s="72"/>
      <c r="L21" s="87"/>
      <c r="M21">
        <v>1</v>
      </c>
    </row>
    <row r="22" spans="1:13">
      <c r="A22" s="87"/>
      <c r="B22" s="78" t="s">
        <v>44</v>
      </c>
      <c r="C22" s="79"/>
      <c r="D22" s="79">
        <v>523666</v>
      </c>
      <c r="E22" s="79"/>
      <c r="F22" s="250">
        <v>0</v>
      </c>
      <c r="G22" s="58"/>
      <c r="H22" s="62">
        <v>0</v>
      </c>
      <c r="I22" s="58"/>
      <c r="J22" s="68"/>
      <c r="K22" s="72"/>
      <c r="L22" s="87"/>
      <c r="M22">
        <v>1</v>
      </c>
    </row>
    <row r="23" spans="1:13">
      <c r="A23" s="87"/>
      <c r="B23" s="78" t="s">
        <v>44</v>
      </c>
      <c r="C23" s="79"/>
      <c r="D23" s="79">
        <v>100007</v>
      </c>
      <c r="E23" s="79"/>
      <c r="F23" s="250">
        <v>0</v>
      </c>
      <c r="G23" s="58"/>
      <c r="H23" s="62">
        <v>0</v>
      </c>
      <c r="I23" s="58"/>
      <c r="J23" s="68">
        <f>SUM(J22)</f>
        <v>0</v>
      </c>
      <c r="K23" s="72"/>
      <c r="L23" s="87"/>
      <c r="M23">
        <v>1</v>
      </c>
    </row>
    <row r="24" spans="1:13">
      <c r="A24" s="87"/>
      <c r="B24" s="78" t="s">
        <v>44</v>
      </c>
      <c r="C24" s="79"/>
      <c r="D24" s="79">
        <v>100104</v>
      </c>
      <c r="E24" s="79"/>
      <c r="F24" s="66">
        <v>0</v>
      </c>
      <c r="G24" s="58"/>
      <c r="H24" s="251">
        <f>5796-5796</f>
        <v>0</v>
      </c>
      <c r="I24" s="58"/>
      <c r="J24" s="68"/>
      <c r="K24" s="72"/>
      <c r="L24" s="87"/>
      <c r="M24">
        <v>1</v>
      </c>
    </row>
    <row r="25" spans="1:13">
      <c r="A25" s="87"/>
      <c r="B25" s="78"/>
      <c r="C25" s="79"/>
      <c r="D25" s="79"/>
      <c r="E25" s="79"/>
      <c r="F25" s="62">
        <f>SUM(F22:F24)</f>
        <v>0</v>
      </c>
      <c r="G25" s="58" t="s">
        <v>39</v>
      </c>
      <c r="H25" s="62">
        <f>SUM(H22:H24)</f>
        <v>0</v>
      </c>
      <c r="I25" s="58"/>
      <c r="J25" s="68"/>
      <c r="K25" s="72"/>
      <c r="L25" s="87"/>
      <c r="M25">
        <v>1</v>
      </c>
    </row>
    <row r="26" spans="1:13" ht="16.5" thickBot="1">
      <c r="A26" s="87"/>
      <c r="B26" s="78"/>
      <c r="C26" s="79"/>
      <c r="D26" s="79"/>
      <c r="E26" s="79"/>
      <c r="F26" s="67"/>
      <c r="G26" s="64"/>
      <c r="H26" s="63"/>
      <c r="I26" s="64"/>
      <c r="J26" s="68"/>
      <c r="K26" s="72"/>
      <c r="L26" s="87"/>
      <c r="M26">
        <v>1</v>
      </c>
    </row>
    <row r="27" spans="1:13">
      <c r="A27" s="87"/>
      <c r="B27" s="78"/>
      <c r="C27" s="79"/>
      <c r="D27" s="79"/>
      <c r="E27" s="79"/>
      <c r="F27" s="65"/>
      <c r="G27" s="68"/>
      <c r="H27" s="68"/>
      <c r="I27" s="68"/>
      <c r="J27" s="68"/>
      <c r="K27" s="72"/>
      <c r="L27" s="87"/>
      <c r="M27">
        <v>1</v>
      </c>
    </row>
    <row r="28" spans="1:13">
      <c r="A28" s="87"/>
      <c r="B28" s="71" t="s">
        <v>45</v>
      </c>
      <c r="C28" s="68"/>
      <c r="D28" s="68"/>
      <c r="E28" s="68"/>
      <c r="F28" s="65">
        <f>F14+F25</f>
        <v>0</v>
      </c>
      <c r="G28" s="68"/>
      <c r="H28" s="65">
        <f>H14+H25</f>
        <v>0</v>
      </c>
      <c r="I28" s="68"/>
      <c r="J28" s="68"/>
      <c r="K28" s="72"/>
      <c r="L28" s="87"/>
      <c r="M28">
        <v>1</v>
      </c>
    </row>
    <row r="29" spans="1:13" ht="16.5" thickBot="1">
      <c r="A29" s="87"/>
      <c r="B29" s="80"/>
      <c r="C29" s="81"/>
      <c r="D29" s="81"/>
      <c r="E29" s="81"/>
      <c r="F29" s="81"/>
      <c r="G29" s="81"/>
      <c r="H29" s="81"/>
      <c r="I29" s="81"/>
      <c r="J29" s="81"/>
      <c r="K29" s="82"/>
      <c r="L29" s="87"/>
      <c r="M29">
        <v>1</v>
      </c>
    </row>
    <row r="30" spans="1:13">
      <c r="A30" s="87"/>
      <c r="B30" s="88"/>
      <c r="C30" s="89"/>
      <c r="D30" s="89"/>
      <c r="E30" s="89"/>
      <c r="F30" s="89"/>
      <c r="G30" s="89"/>
      <c r="H30" s="89"/>
      <c r="I30" s="89"/>
      <c r="J30" s="89"/>
      <c r="K30" s="90"/>
      <c r="L30" s="87"/>
    </row>
    <row r="31" spans="1:13" ht="16.5" thickBot="1">
      <c r="A31" s="91"/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91"/>
    </row>
    <row r="32" spans="1:13">
      <c r="A32" s="91"/>
      <c r="B32" s="475" t="s">
        <v>65</v>
      </c>
      <c r="C32" s="476"/>
      <c r="D32" s="476"/>
      <c r="E32" s="476"/>
      <c r="F32" s="476"/>
      <c r="G32" s="476"/>
      <c r="H32" s="476"/>
      <c r="I32" s="476"/>
      <c r="J32" s="476"/>
      <c r="K32" s="477"/>
      <c r="L32" s="91"/>
      <c r="M32">
        <v>2</v>
      </c>
    </row>
    <row r="33" spans="1:13">
      <c r="A33" s="91"/>
      <c r="B33" s="71"/>
      <c r="C33" s="68"/>
      <c r="D33" s="68"/>
      <c r="E33" s="68"/>
      <c r="F33" s="68"/>
      <c r="G33" s="139">
        <f ca="1">TODAY()+1</f>
        <v>41887</v>
      </c>
      <c r="H33" s="68"/>
      <c r="I33" s="68"/>
      <c r="J33" s="68"/>
      <c r="K33" s="72"/>
      <c r="L33" s="91"/>
      <c r="M33">
        <v>2</v>
      </c>
    </row>
    <row r="34" spans="1:13">
      <c r="A34" s="91"/>
      <c r="B34" s="71"/>
      <c r="C34" s="68"/>
      <c r="D34" s="68"/>
      <c r="E34" s="68"/>
      <c r="F34" s="68"/>
      <c r="G34" s="68"/>
      <c r="H34" s="68"/>
      <c r="I34" s="68"/>
      <c r="J34" s="68"/>
      <c r="K34" s="72"/>
      <c r="L34" s="91"/>
      <c r="M34">
        <v>2</v>
      </c>
    </row>
    <row r="35" spans="1:13" ht="16.5" thickBot="1">
      <c r="A35" s="91"/>
      <c r="B35" s="478" t="s">
        <v>40</v>
      </c>
      <c r="C35" s="479"/>
      <c r="D35" s="479"/>
      <c r="E35" s="479"/>
      <c r="F35" s="479"/>
      <c r="G35" s="479"/>
      <c r="H35" s="479"/>
      <c r="I35" s="479"/>
      <c r="J35" s="479"/>
      <c r="K35" s="480"/>
      <c r="L35" s="91"/>
      <c r="M35">
        <v>2</v>
      </c>
    </row>
    <row r="36" spans="1:13">
      <c r="A36" s="91"/>
      <c r="B36" s="73"/>
      <c r="C36" s="74"/>
      <c r="D36" s="74"/>
      <c r="E36" s="74"/>
      <c r="F36" s="56" t="s">
        <v>52</v>
      </c>
      <c r="G36" s="69">
        <f>I6</f>
        <v>37013</v>
      </c>
      <c r="H36" s="56" t="s">
        <v>53</v>
      </c>
      <c r="I36" s="69">
        <f>G36+1</f>
        <v>37014</v>
      </c>
      <c r="J36" s="74"/>
      <c r="K36" s="75"/>
      <c r="L36" s="91"/>
      <c r="M36">
        <v>2</v>
      </c>
    </row>
    <row r="37" spans="1:13">
      <c r="A37" s="91"/>
      <c r="B37" s="71" t="s">
        <v>41</v>
      </c>
      <c r="C37" s="68"/>
      <c r="D37" s="68"/>
      <c r="E37" s="68"/>
      <c r="F37" s="57" t="s">
        <v>37</v>
      </c>
      <c r="G37" s="58"/>
      <c r="H37" s="83"/>
      <c r="I37" s="58"/>
      <c r="J37" s="68" t="s">
        <v>38</v>
      </c>
      <c r="K37" s="72"/>
      <c r="L37" s="91"/>
      <c r="M37">
        <v>2</v>
      </c>
    </row>
    <row r="38" spans="1:13">
      <c r="A38" s="91"/>
      <c r="B38" s="76" t="s">
        <v>42</v>
      </c>
      <c r="C38" s="77"/>
      <c r="D38" s="77" t="s">
        <v>34</v>
      </c>
      <c r="E38" s="68"/>
      <c r="F38" s="59" t="s">
        <v>35</v>
      </c>
      <c r="G38" s="58"/>
      <c r="H38" s="83"/>
      <c r="I38" s="58"/>
      <c r="J38" s="68" t="s">
        <v>36</v>
      </c>
      <c r="K38" s="72"/>
      <c r="L38" s="91"/>
      <c r="M38">
        <v>2</v>
      </c>
    </row>
    <row r="39" spans="1:13">
      <c r="A39" s="91"/>
      <c r="B39" s="78" t="s">
        <v>43</v>
      </c>
      <c r="C39" s="79"/>
      <c r="D39" s="79">
        <f>D9</f>
        <v>65066</v>
      </c>
      <c r="E39" s="79"/>
      <c r="F39" s="60">
        <f>H9</f>
        <v>0</v>
      </c>
      <c r="G39" s="58"/>
      <c r="H39" s="62">
        <v>0</v>
      </c>
      <c r="I39" s="58"/>
      <c r="J39" s="68"/>
      <c r="K39" s="72"/>
      <c r="L39" s="91"/>
      <c r="M39">
        <v>2</v>
      </c>
    </row>
    <row r="40" spans="1:13">
      <c r="A40" s="91"/>
      <c r="B40" s="78" t="s">
        <v>43</v>
      </c>
      <c r="C40" s="79"/>
      <c r="D40" s="79">
        <f>D10</f>
        <v>60536</v>
      </c>
      <c r="E40" s="79"/>
      <c r="F40" s="60">
        <f>H10</f>
        <v>0</v>
      </c>
      <c r="G40" s="58"/>
      <c r="H40" s="62">
        <v>0</v>
      </c>
      <c r="I40" s="58"/>
      <c r="J40" s="68"/>
      <c r="K40" s="72"/>
      <c r="L40" s="91"/>
      <c r="M40">
        <v>2</v>
      </c>
    </row>
    <row r="41" spans="1:13">
      <c r="A41" s="91"/>
      <c r="B41" s="78" t="s">
        <v>43</v>
      </c>
      <c r="C41" s="79"/>
      <c r="D41" s="79">
        <f>D11</f>
        <v>38115</v>
      </c>
      <c r="E41" s="79" t="str">
        <f>E11</f>
        <v>FTS</v>
      </c>
      <c r="F41" s="85">
        <f>H11</f>
        <v>0</v>
      </c>
      <c r="G41" s="58"/>
      <c r="H41" s="62">
        <v>0</v>
      </c>
      <c r="I41" s="58"/>
      <c r="J41" s="68"/>
      <c r="K41" s="72"/>
      <c r="L41" s="91"/>
      <c r="M41">
        <v>2</v>
      </c>
    </row>
    <row r="42" spans="1:13">
      <c r="A42" s="91"/>
      <c r="B42" s="78" t="s">
        <v>43</v>
      </c>
      <c r="C42" s="79"/>
      <c r="D42" s="79">
        <f>D12</f>
        <v>62077</v>
      </c>
      <c r="E42" s="79" t="str">
        <f>E12</f>
        <v>Alliance</v>
      </c>
      <c r="F42" s="85">
        <f>H12</f>
        <v>0</v>
      </c>
      <c r="G42" s="58"/>
      <c r="H42" s="62">
        <v>0</v>
      </c>
      <c r="I42" s="58"/>
      <c r="J42" s="68"/>
      <c r="K42" s="72"/>
      <c r="L42" s="91"/>
      <c r="M42">
        <v>2</v>
      </c>
    </row>
    <row r="43" spans="1:13">
      <c r="A43" s="91"/>
      <c r="B43" s="78" t="s">
        <v>43</v>
      </c>
      <c r="C43" s="79"/>
      <c r="D43" s="79">
        <f>D13</f>
        <v>38088</v>
      </c>
      <c r="E43" s="79" t="str">
        <f>E13</f>
        <v>SST</v>
      </c>
      <c r="F43" s="61">
        <f>H13</f>
        <v>0</v>
      </c>
      <c r="G43" s="58"/>
      <c r="H43" s="62">
        <v>0</v>
      </c>
      <c r="I43" s="58"/>
      <c r="J43" s="68"/>
      <c r="K43" s="72"/>
      <c r="L43" s="91"/>
      <c r="M43">
        <v>2</v>
      </c>
    </row>
    <row r="44" spans="1:13">
      <c r="A44" s="91"/>
      <c r="B44" s="78"/>
      <c r="C44" s="79"/>
      <c r="D44" s="79"/>
      <c r="E44" s="79"/>
      <c r="F44" s="62">
        <f>SUM(F39:F43)</f>
        <v>0</v>
      </c>
      <c r="G44" s="58" t="s">
        <v>39</v>
      </c>
      <c r="H44" s="84">
        <f>SUM(H39:H43)</f>
        <v>0</v>
      </c>
      <c r="I44" s="58"/>
      <c r="J44" s="68">
        <f>SUM(J39:J43)</f>
        <v>0</v>
      </c>
      <c r="K44" s="72"/>
      <c r="L44" s="91"/>
      <c r="M44">
        <v>2</v>
      </c>
    </row>
    <row r="45" spans="1:13">
      <c r="A45" s="91"/>
      <c r="B45" s="71"/>
      <c r="C45" s="68"/>
      <c r="D45" s="68"/>
      <c r="E45" s="68"/>
      <c r="F45" s="62"/>
      <c r="G45" s="58"/>
      <c r="H45" s="83"/>
      <c r="I45" s="58"/>
      <c r="J45" s="68"/>
      <c r="K45" s="72"/>
      <c r="L45" s="91"/>
      <c r="M45">
        <v>2</v>
      </c>
    </row>
    <row r="46" spans="1:13" ht="16.5" thickBot="1">
      <c r="A46" s="91"/>
      <c r="B46" s="71"/>
      <c r="C46" s="68"/>
      <c r="D46" s="68"/>
      <c r="E46" s="68"/>
      <c r="F46" s="63"/>
      <c r="G46" s="64"/>
      <c r="H46" s="63"/>
      <c r="I46" s="64"/>
      <c r="J46" s="68"/>
      <c r="K46" s="72"/>
      <c r="L46" s="91"/>
      <c r="M46">
        <v>2</v>
      </c>
    </row>
    <row r="47" spans="1:13">
      <c r="A47" s="91"/>
      <c r="B47" s="71"/>
      <c r="C47" s="68"/>
      <c r="D47" s="68"/>
      <c r="E47" s="68"/>
      <c r="F47" s="68"/>
      <c r="G47" s="68"/>
      <c r="H47" s="68"/>
      <c r="I47" s="68"/>
      <c r="J47" s="68"/>
      <c r="K47" s="72"/>
      <c r="L47" s="91"/>
      <c r="M47">
        <v>2</v>
      </c>
    </row>
    <row r="48" spans="1:13" ht="16.5" thickBot="1">
      <c r="A48" s="91"/>
      <c r="B48" s="478" t="s">
        <v>20</v>
      </c>
      <c r="C48" s="479"/>
      <c r="D48" s="479"/>
      <c r="E48" s="479"/>
      <c r="F48" s="479"/>
      <c r="G48" s="479"/>
      <c r="H48" s="479"/>
      <c r="I48" s="479"/>
      <c r="J48" s="479"/>
      <c r="K48" s="480"/>
      <c r="L48" s="91"/>
      <c r="M48">
        <v>2</v>
      </c>
    </row>
    <row r="49" spans="1:13">
      <c r="A49" s="91"/>
      <c r="B49" s="73"/>
      <c r="C49" s="74"/>
      <c r="D49" s="74"/>
      <c r="E49" s="74"/>
      <c r="F49" s="56" t="s">
        <v>52</v>
      </c>
      <c r="G49" s="69">
        <f>G36</f>
        <v>37013</v>
      </c>
      <c r="H49" s="56" t="s">
        <v>53</v>
      </c>
      <c r="I49" s="69">
        <f>G49+1</f>
        <v>37014</v>
      </c>
      <c r="J49" s="74"/>
      <c r="K49" s="75"/>
      <c r="L49" s="91"/>
      <c r="M49">
        <v>2</v>
      </c>
    </row>
    <row r="50" spans="1:13">
      <c r="A50" s="91"/>
      <c r="B50" s="71" t="s">
        <v>41</v>
      </c>
      <c r="C50" s="68"/>
      <c r="D50" s="68"/>
      <c r="E50" s="68"/>
      <c r="F50" s="57" t="s">
        <v>37</v>
      </c>
      <c r="G50" s="58"/>
      <c r="H50" s="83"/>
      <c r="I50" s="58"/>
      <c r="J50" s="68" t="s">
        <v>38</v>
      </c>
      <c r="K50" s="72"/>
      <c r="L50" s="91"/>
      <c r="M50">
        <v>2</v>
      </c>
    </row>
    <row r="51" spans="1:13">
      <c r="A51" s="91"/>
      <c r="B51" s="76" t="s">
        <v>42</v>
      </c>
      <c r="C51" s="77"/>
      <c r="D51" s="77" t="s">
        <v>34</v>
      </c>
      <c r="E51" s="68"/>
      <c r="F51" s="59" t="s">
        <v>35</v>
      </c>
      <c r="G51" s="58"/>
      <c r="H51" s="83"/>
      <c r="I51" s="58"/>
      <c r="J51" s="68" t="s">
        <v>36</v>
      </c>
      <c r="K51" s="72"/>
      <c r="L51" s="91"/>
      <c r="M51">
        <v>2</v>
      </c>
    </row>
    <row r="52" spans="1:13">
      <c r="A52" s="91"/>
      <c r="B52" s="78" t="s">
        <v>44</v>
      </c>
      <c r="C52" s="79"/>
      <c r="D52" s="79">
        <f>D22</f>
        <v>523666</v>
      </c>
      <c r="E52" s="79"/>
      <c r="F52" s="250">
        <f>H22</f>
        <v>0</v>
      </c>
      <c r="G52" s="58"/>
      <c r="H52" s="62">
        <v>0</v>
      </c>
      <c r="I52" s="58"/>
      <c r="J52" s="68"/>
      <c r="K52" s="72"/>
      <c r="L52" s="91"/>
      <c r="M52">
        <v>2</v>
      </c>
    </row>
    <row r="53" spans="1:13">
      <c r="A53" s="91"/>
      <c r="B53" s="78" t="s">
        <v>44</v>
      </c>
      <c r="C53" s="79"/>
      <c r="D53" s="79">
        <f>D23</f>
        <v>100007</v>
      </c>
      <c r="E53" s="79"/>
      <c r="F53" s="250">
        <f>H23</f>
        <v>0</v>
      </c>
      <c r="G53" s="58"/>
      <c r="H53" s="262">
        <v>0</v>
      </c>
      <c r="I53" s="58"/>
      <c r="J53" s="68">
        <f>SUM(J52)</f>
        <v>0</v>
      </c>
      <c r="K53" s="72"/>
      <c r="L53" s="91"/>
      <c r="M53">
        <v>2</v>
      </c>
    </row>
    <row r="54" spans="1:13">
      <c r="A54" s="91"/>
      <c r="B54" s="78" t="s">
        <v>44</v>
      </c>
      <c r="C54" s="79"/>
      <c r="D54" s="79">
        <f>D24</f>
        <v>100104</v>
      </c>
      <c r="E54" s="79"/>
      <c r="F54" s="66">
        <f>H24</f>
        <v>0</v>
      </c>
      <c r="G54" s="58"/>
      <c r="H54" s="251">
        <v>0</v>
      </c>
      <c r="I54" s="58"/>
      <c r="J54" s="68"/>
      <c r="K54" s="72"/>
      <c r="L54" s="91"/>
      <c r="M54">
        <v>2</v>
      </c>
    </row>
    <row r="55" spans="1:13">
      <c r="A55" s="91"/>
      <c r="B55" s="78"/>
      <c r="C55" s="79"/>
      <c r="D55" s="79"/>
      <c r="E55" s="79"/>
      <c r="F55" s="62">
        <f>SUM(F52:F54)</f>
        <v>0</v>
      </c>
      <c r="G55" s="58" t="s">
        <v>39</v>
      </c>
      <c r="H55" s="62">
        <f>SUM(H52:H54)</f>
        <v>0</v>
      </c>
      <c r="I55" s="58"/>
      <c r="J55" s="68"/>
      <c r="K55" s="72"/>
      <c r="L55" s="91"/>
      <c r="M55">
        <v>2</v>
      </c>
    </row>
    <row r="56" spans="1:13" ht="16.5" thickBot="1">
      <c r="A56" s="91"/>
      <c r="B56" s="78"/>
      <c r="C56" s="79"/>
      <c r="D56" s="79"/>
      <c r="E56" s="79"/>
      <c r="F56" s="67"/>
      <c r="G56" s="64"/>
      <c r="H56" s="63"/>
      <c r="I56" s="64"/>
      <c r="J56" s="68"/>
      <c r="K56" s="72"/>
      <c r="L56" s="91"/>
      <c r="M56">
        <v>2</v>
      </c>
    </row>
    <row r="57" spans="1:13">
      <c r="A57" s="91"/>
      <c r="B57" s="78"/>
      <c r="C57" s="79"/>
      <c r="D57" s="79"/>
      <c r="E57" s="79"/>
      <c r="F57" s="65"/>
      <c r="G57" s="68"/>
      <c r="H57" s="68"/>
      <c r="I57" s="68"/>
      <c r="J57" s="68"/>
      <c r="K57" s="72"/>
      <c r="L57" s="91"/>
      <c r="M57">
        <v>2</v>
      </c>
    </row>
    <row r="58" spans="1:13">
      <c r="A58" s="91"/>
      <c r="B58" s="71" t="s">
        <v>45</v>
      </c>
      <c r="C58" s="68"/>
      <c r="D58" s="68"/>
      <c r="E58" s="68"/>
      <c r="F58" s="65">
        <f>F44+F55</f>
        <v>0</v>
      </c>
      <c r="G58" s="68"/>
      <c r="H58" s="65">
        <f>H44+H55</f>
        <v>0</v>
      </c>
      <c r="I58" s="68"/>
      <c r="J58" s="68"/>
      <c r="K58" s="72"/>
      <c r="L58" s="91"/>
      <c r="M58">
        <v>2</v>
      </c>
    </row>
    <row r="59" spans="1:13" ht="16.5" thickBot="1">
      <c r="A59" s="91"/>
      <c r="B59" s="80"/>
      <c r="C59" s="81"/>
      <c r="D59" s="81"/>
      <c r="E59" s="81"/>
      <c r="F59" s="81"/>
      <c r="G59" s="81"/>
      <c r="H59" s="81"/>
      <c r="I59" s="81"/>
      <c r="J59" s="81"/>
      <c r="K59" s="82"/>
      <c r="L59" s="91"/>
      <c r="M59">
        <v>2</v>
      </c>
    </row>
    <row r="60" spans="1:13">
      <c r="A60" s="91"/>
      <c r="B60" s="92"/>
      <c r="C60" s="93"/>
      <c r="D60" s="93"/>
      <c r="E60" s="93"/>
      <c r="F60" s="93"/>
      <c r="G60" s="93"/>
      <c r="H60" s="93"/>
      <c r="I60" s="93"/>
      <c r="J60" s="93"/>
      <c r="K60" s="94"/>
      <c r="L60" s="91"/>
    </row>
    <row r="61" spans="1:13" ht="16.5" thickBo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5"/>
    </row>
    <row r="62" spans="1:13">
      <c r="A62" s="95"/>
      <c r="B62" s="475" t="s">
        <v>66</v>
      </c>
      <c r="C62" s="476"/>
      <c r="D62" s="476"/>
      <c r="E62" s="476"/>
      <c r="F62" s="476"/>
      <c r="G62" s="476"/>
      <c r="H62" s="476"/>
      <c r="I62" s="476"/>
      <c r="J62" s="476"/>
      <c r="K62" s="477"/>
      <c r="L62" s="95"/>
      <c r="M62">
        <v>3</v>
      </c>
    </row>
    <row r="63" spans="1:13">
      <c r="A63" s="95"/>
      <c r="B63" s="71"/>
      <c r="C63" s="68"/>
      <c r="D63" s="68"/>
      <c r="E63" s="68"/>
      <c r="F63" s="68"/>
      <c r="G63" s="139">
        <f ca="1">TODAY()+2</f>
        <v>41888</v>
      </c>
      <c r="H63" s="68"/>
      <c r="I63" s="68"/>
      <c r="J63" s="68"/>
      <c r="K63" s="72"/>
      <c r="L63" s="95"/>
      <c r="M63">
        <v>3</v>
      </c>
    </row>
    <row r="64" spans="1:13">
      <c r="A64" s="95"/>
      <c r="B64" s="71"/>
      <c r="C64" s="68"/>
      <c r="D64" s="68"/>
      <c r="E64" s="68"/>
      <c r="F64" s="68"/>
      <c r="G64" s="68"/>
      <c r="H64" s="68"/>
      <c r="I64" s="68"/>
      <c r="J64" s="68"/>
      <c r="K64" s="72"/>
      <c r="L64" s="95"/>
      <c r="M64">
        <v>3</v>
      </c>
    </row>
    <row r="65" spans="1:13" ht="16.5" thickBot="1">
      <c r="A65" s="95"/>
      <c r="B65" s="478" t="s">
        <v>40</v>
      </c>
      <c r="C65" s="479"/>
      <c r="D65" s="479"/>
      <c r="E65" s="479"/>
      <c r="F65" s="479"/>
      <c r="G65" s="479"/>
      <c r="H65" s="479"/>
      <c r="I65" s="479"/>
      <c r="J65" s="479"/>
      <c r="K65" s="480"/>
      <c r="L65" s="95"/>
      <c r="M65">
        <v>3</v>
      </c>
    </row>
    <row r="66" spans="1:13">
      <c r="A66" s="95"/>
      <c r="B66" s="73"/>
      <c r="C66" s="74"/>
      <c r="D66" s="74"/>
      <c r="E66" s="74"/>
      <c r="F66" s="56" t="s">
        <v>52</v>
      </c>
      <c r="G66" s="69">
        <f>I36</f>
        <v>37014</v>
      </c>
      <c r="H66" s="56" t="s">
        <v>53</v>
      </c>
      <c r="I66" s="69">
        <f>G66+1</f>
        <v>37015</v>
      </c>
      <c r="J66" s="74"/>
      <c r="K66" s="75"/>
      <c r="L66" s="95"/>
      <c r="M66">
        <v>3</v>
      </c>
    </row>
    <row r="67" spans="1:13">
      <c r="A67" s="95"/>
      <c r="B67" s="71" t="s">
        <v>41</v>
      </c>
      <c r="C67" s="68"/>
      <c r="D67" s="68"/>
      <c r="E67" s="68"/>
      <c r="F67" s="57" t="s">
        <v>37</v>
      </c>
      <c r="G67" s="58"/>
      <c r="H67" s="83"/>
      <c r="I67" s="58"/>
      <c r="J67" s="68" t="s">
        <v>38</v>
      </c>
      <c r="K67" s="72"/>
      <c r="L67" s="95"/>
      <c r="M67">
        <v>3</v>
      </c>
    </row>
    <row r="68" spans="1:13">
      <c r="A68" s="95"/>
      <c r="B68" s="76" t="s">
        <v>42</v>
      </c>
      <c r="C68" s="77"/>
      <c r="D68" s="77" t="s">
        <v>34</v>
      </c>
      <c r="E68" s="68"/>
      <c r="F68" s="59" t="s">
        <v>35</v>
      </c>
      <c r="G68" s="58"/>
      <c r="H68" s="83"/>
      <c r="I68" s="58"/>
      <c r="J68" s="68" t="s">
        <v>36</v>
      </c>
      <c r="K68" s="72"/>
      <c r="L68" s="95"/>
      <c r="M68">
        <v>3</v>
      </c>
    </row>
    <row r="69" spans="1:13">
      <c r="A69" s="95"/>
      <c r="B69" s="78" t="s">
        <v>43</v>
      </c>
      <c r="C69" s="79"/>
      <c r="D69" s="79">
        <f>D9</f>
        <v>65066</v>
      </c>
      <c r="E69" s="79"/>
      <c r="F69" s="60">
        <f>H39</f>
        <v>0</v>
      </c>
      <c r="G69" s="58"/>
      <c r="H69" s="62">
        <v>0</v>
      </c>
      <c r="I69" s="58"/>
      <c r="J69" s="68"/>
      <c r="K69" s="72"/>
      <c r="L69" s="95"/>
      <c r="M69">
        <v>3</v>
      </c>
    </row>
    <row r="70" spans="1:13">
      <c r="A70" s="95"/>
      <c r="B70" s="78" t="s">
        <v>43</v>
      </c>
      <c r="C70" s="79"/>
      <c r="D70" s="79">
        <f>D10</f>
        <v>60536</v>
      </c>
      <c r="E70" s="79"/>
      <c r="F70" s="60">
        <f>H40</f>
        <v>0</v>
      </c>
      <c r="G70" s="58"/>
      <c r="H70" s="62">
        <v>0</v>
      </c>
      <c r="I70" s="58"/>
      <c r="J70" s="68"/>
      <c r="K70" s="72"/>
      <c r="L70" s="95"/>
      <c r="M70">
        <v>3</v>
      </c>
    </row>
    <row r="71" spans="1:13">
      <c r="A71" s="95"/>
      <c r="B71" s="78" t="s">
        <v>43</v>
      </c>
      <c r="C71" s="79"/>
      <c r="D71" s="79">
        <f>D11</f>
        <v>38115</v>
      </c>
      <c r="E71" s="79" t="str">
        <f>E11</f>
        <v>FTS</v>
      </c>
      <c r="F71" s="85">
        <f>H41</f>
        <v>0</v>
      </c>
      <c r="G71" s="58"/>
      <c r="H71" s="62">
        <v>0</v>
      </c>
      <c r="I71" s="58"/>
      <c r="J71" s="68"/>
      <c r="K71" s="72"/>
      <c r="L71" s="95"/>
      <c r="M71">
        <v>3</v>
      </c>
    </row>
    <row r="72" spans="1:13">
      <c r="A72" s="95"/>
      <c r="B72" s="78" t="s">
        <v>43</v>
      </c>
      <c r="C72" s="79"/>
      <c r="D72" s="79">
        <f>D12</f>
        <v>62077</v>
      </c>
      <c r="E72" s="79" t="str">
        <f>E12</f>
        <v>Alliance</v>
      </c>
      <c r="F72" s="85">
        <f>H42</f>
        <v>0</v>
      </c>
      <c r="G72" s="58"/>
      <c r="H72" s="62">
        <v>0</v>
      </c>
      <c r="I72" s="58"/>
      <c r="J72" s="68"/>
      <c r="K72" s="72"/>
      <c r="L72" s="95"/>
      <c r="M72">
        <v>3</v>
      </c>
    </row>
    <row r="73" spans="1:13">
      <c r="A73" s="95"/>
      <c r="B73" s="78" t="s">
        <v>43</v>
      </c>
      <c r="C73" s="79"/>
      <c r="D73" s="79">
        <f>D13</f>
        <v>38088</v>
      </c>
      <c r="E73" s="79" t="str">
        <f>E13</f>
        <v>SST</v>
      </c>
      <c r="F73" s="61">
        <f>H43</f>
        <v>0</v>
      </c>
      <c r="G73" s="58"/>
      <c r="H73" s="62">
        <v>0</v>
      </c>
      <c r="I73" s="58"/>
      <c r="J73" s="68"/>
      <c r="K73" s="72"/>
      <c r="L73" s="95"/>
      <c r="M73">
        <v>3</v>
      </c>
    </row>
    <row r="74" spans="1:13">
      <c r="A74" s="95"/>
      <c r="B74" s="78"/>
      <c r="C74" s="79"/>
      <c r="D74" s="79"/>
      <c r="E74" s="79"/>
      <c r="F74" s="62">
        <f>SUM(F69:F73)</f>
        <v>0</v>
      </c>
      <c r="G74" s="58" t="s">
        <v>39</v>
      </c>
      <c r="H74" s="84">
        <f>SUM(H69:H73)</f>
        <v>0</v>
      </c>
      <c r="I74" s="58"/>
      <c r="J74" s="68">
        <f>SUM(J69:J73)</f>
        <v>0</v>
      </c>
      <c r="K74" s="72"/>
      <c r="L74" s="95"/>
      <c r="M74">
        <v>3</v>
      </c>
    </row>
    <row r="75" spans="1:13">
      <c r="A75" s="95"/>
      <c r="B75" s="71"/>
      <c r="C75" s="68"/>
      <c r="D75" s="68"/>
      <c r="E75" s="68"/>
      <c r="F75" s="62"/>
      <c r="G75" s="58"/>
      <c r="H75" s="83"/>
      <c r="I75" s="58"/>
      <c r="J75" s="68"/>
      <c r="K75" s="72"/>
      <c r="L75" s="95"/>
      <c r="M75">
        <v>3</v>
      </c>
    </row>
    <row r="76" spans="1:13" ht="16.5" thickBot="1">
      <c r="A76" s="95"/>
      <c r="B76" s="71"/>
      <c r="C76" s="68"/>
      <c r="D76" s="68"/>
      <c r="E76" s="68"/>
      <c r="F76" s="63"/>
      <c r="G76" s="64"/>
      <c r="H76" s="63"/>
      <c r="I76" s="64"/>
      <c r="J76" s="68"/>
      <c r="K76" s="72"/>
      <c r="L76" s="95"/>
      <c r="M76">
        <v>3</v>
      </c>
    </row>
    <row r="77" spans="1:13">
      <c r="A77" s="95"/>
      <c r="B77" s="71"/>
      <c r="C77" s="68"/>
      <c r="D77" s="68"/>
      <c r="E77" s="68"/>
      <c r="F77" s="68"/>
      <c r="G77" s="68"/>
      <c r="H77" s="68"/>
      <c r="I77" s="68"/>
      <c r="J77" s="68"/>
      <c r="K77" s="72"/>
      <c r="L77" s="95"/>
      <c r="M77">
        <v>3</v>
      </c>
    </row>
    <row r="78" spans="1:13" ht="16.5" thickBot="1">
      <c r="A78" s="95"/>
      <c r="B78" s="478" t="s">
        <v>20</v>
      </c>
      <c r="C78" s="479"/>
      <c r="D78" s="479"/>
      <c r="E78" s="479"/>
      <c r="F78" s="479"/>
      <c r="G78" s="479"/>
      <c r="H78" s="479"/>
      <c r="I78" s="479"/>
      <c r="J78" s="479"/>
      <c r="K78" s="480"/>
      <c r="L78" s="95"/>
      <c r="M78">
        <v>3</v>
      </c>
    </row>
    <row r="79" spans="1:13">
      <c r="A79" s="95"/>
      <c r="B79" s="73"/>
      <c r="C79" s="74"/>
      <c r="D79" s="74"/>
      <c r="E79" s="74"/>
      <c r="F79" s="56" t="s">
        <v>52</v>
      </c>
      <c r="G79" s="69">
        <f>G66</f>
        <v>37014</v>
      </c>
      <c r="H79" s="56" t="s">
        <v>53</v>
      </c>
      <c r="I79" s="69">
        <f>G79+1</f>
        <v>37015</v>
      </c>
      <c r="J79" s="74"/>
      <c r="K79" s="75"/>
      <c r="L79" s="95"/>
      <c r="M79">
        <v>3</v>
      </c>
    </row>
    <row r="80" spans="1:13">
      <c r="A80" s="95"/>
      <c r="B80" s="71" t="s">
        <v>41</v>
      </c>
      <c r="C80" s="68"/>
      <c r="D80" s="68"/>
      <c r="E80" s="68"/>
      <c r="F80" s="57" t="s">
        <v>37</v>
      </c>
      <c r="G80" s="58"/>
      <c r="H80" s="83"/>
      <c r="I80" s="58"/>
      <c r="J80" s="68" t="s">
        <v>38</v>
      </c>
      <c r="K80" s="72"/>
      <c r="L80" s="95"/>
      <c r="M80">
        <v>3</v>
      </c>
    </row>
    <row r="81" spans="1:13">
      <c r="A81" s="95"/>
      <c r="B81" s="76" t="s">
        <v>42</v>
      </c>
      <c r="C81" s="77"/>
      <c r="D81" s="77" t="s">
        <v>34</v>
      </c>
      <c r="E81" s="68"/>
      <c r="F81" s="59" t="s">
        <v>35</v>
      </c>
      <c r="G81" s="58"/>
      <c r="H81" s="83"/>
      <c r="I81" s="58"/>
      <c r="J81" s="68" t="s">
        <v>36</v>
      </c>
      <c r="K81" s="72"/>
      <c r="L81" s="95"/>
      <c r="M81">
        <v>3</v>
      </c>
    </row>
    <row r="82" spans="1:13">
      <c r="A82" s="95"/>
      <c r="B82" s="78" t="s">
        <v>44</v>
      </c>
      <c r="C82" s="79"/>
      <c r="D82" s="79">
        <f>D22</f>
        <v>523666</v>
      </c>
      <c r="E82" s="79"/>
      <c r="F82" s="250">
        <f>H52</f>
        <v>0</v>
      </c>
      <c r="G82" s="58"/>
      <c r="H82" s="62">
        <v>0</v>
      </c>
      <c r="I82" s="58"/>
      <c r="J82" s="68"/>
      <c r="K82" s="72"/>
      <c r="L82" s="95"/>
      <c r="M82">
        <v>3</v>
      </c>
    </row>
    <row r="83" spans="1:13">
      <c r="A83" s="95"/>
      <c r="B83" s="78" t="s">
        <v>44</v>
      </c>
      <c r="C83" s="79"/>
      <c r="D83" s="79">
        <f>D23</f>
        <v>100007</v>
      </c>
      <c r="E83" s="79"/>
      <c r="F83" s="261">
        <f>H53</f>
        <v>0</v>
      </c>
      <c r="G83" s="58"/>
      <c r="H83" s="62">
        <v>0</v>
      </c>
      <c r="I83" s="58"/>
      <c r="J83" s="68">
        <f>SUM(J82)</f>
        <v>0</v>
      </c>
      <c r="K83" s="72"/>
      <c r="L83" s="95"/>
      <c r="M83">
        <v>3</v>
      </c>
    </row>
    <row r="84" spans="1:13">
      <c r="A84" s="95"/>
      <c r="B84" s="78" t="s">
        <v>44</v>
      </c>
      <c r="C84" s="79"/>
      <c r="D84" s="79">
        <f>D24</f>
        <v>100104</v>
      </c>
      <c r="E84" s="79"/>
      <c r="F84" s="66">
        <f>H54</f>
        <v>0</v>
      </c>
      <c r="G84" s="58"/>
      <c r="H84" s="251">
        <v>0</v>
      </c>
      <c r="I84" s="58"/>
      <c r="J84" s="68"/>
      <c r="K84" s="72"/>
      <c r="L84" s="95"/>
      <c r="M84">
        <v>3</v>
      </c>
    </row>
    <row r="85" spans="1:13">
      <c r="A85" s="95"/>
      <c r="B85" s="78"/>
      <c r="C85" s="79"/>
      <c r="D85" s="79"/>
      <c r="E85" s="79"/>
      <c r="F85" s="62">
        <f>SUM(F82:F84)</f>
        <v>0</v>
      </c>
      <c r="G85" s="58" t="s">
        <v>39</v>
      </c>
      <c r="H85" s="62">
        <f>SUM(H82:H84)</f>
        <v>0</v>
      </c>
      <c r="I85" s="58"/>
      <c r="J85" s="68"/>
      <c r="K85" s="72"/>
      <c r="L85" s="95"/>
      <c r="M85">
        <v>3</v>
      </c>
    </row>
    <row r="86" spans="1:13" ht="16.5" thickBot="1">
      <c r="A86" s="95"/>
      <c r="B86" s="78"/>
      <c r="C86" s="79"/>
      <c r="D86" s="79"/>
      <c r="E86" s="79"/>
      <c r="F86" s="67"/>
      <c r="G86" s="64"/>
      <c r="H86" s="63"/>
      <c r="I86" s="64"/>
      <c r="J86" s="68"/>
      <c r="K86" s="72"/>
      <c r="L86" s="95"/>
      <c r="M86">
        <v>3</v>
      </c>
    </row>
    <row r="87" spans="1:13">
      <c r="A87" s="95"/>
      <c r="B87" s="78"/>
      <c r="C87" s="79"/>
      <c r="D87" s="79"/>
      <c r="E87" s="79"/>
      <c r="F87" s="65"/>
      <c r="G87" s="68"/>
      <c r="H87" s="68"/>
      <c r="I87" s="68"/>
      <c r="J87" s="68"/>
      <c r="K87" s="72"/>
      <c r="L87" s="95"/>
      <c r="M87">
        <v>3</v>
      </c>
    </row>
    <row r="88" spans="1:13">
      <c r="A88" s="95"/>
      <c r="B88" s="71" t="s">
        <v>45</v>
      </c>
      <c r="C88" s="68"/>
      <c r="D88" s="68"/>
      <c r="E88" s="68"/>
      <c r="F88" s="65">
        <f>F74+F85</f>
        <v>0</v>
      </c>
      <c r="G88" s="68"/>
      <c r="H88" s="65">
        <f>H74+H85</f>
        <v>0</v>
      </c>
      <c r="I88" s="68"/>
      <c r="J88" s="68"/>
      <c r="K88" s="72"/>
      <c r="L88" s="95"/>
      <c r="M88">
        <v>3</v>
      </c>
    </row>
    <row r="89" spans="1:13" ht="16.5" thickBot="1">
      <c r="A89" s="95"/>
      <c r="B89" s="80"/>
      <c r="C89" s="81"/>
      <c r="D89" s="81"/>
      <c r="E89" s="81"/>
      <c r="F89" s="81"/>
      <c r="G89" s="81"/>
      <c r="H89" s="81"/>
      <c r="I89" s="81"/>
      <c r="J89" s="81"/>
      <c r="K89" s="82"/>
      <c r="L89" s="95"/>
      <c r="M89">
        <v>3</v>
      </c>
    </row>
    <row r="90" spans="1:1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6" spans="1:13" s="68" customFormat="1"/>
    <row r="97" spans="1:18" s="68" customFormat="1"/>
    <row r="98" spans="1:18" s="68" customFormat="1"/>
    <row r="99" spans="1:18" s="68" customFormat="1">
      <c r="E99" s="209"/>
      <c r="F99" s="209"/>
      <c r="N99" s="209"/>
      <c r="O99" s="209"/>
    </row>
    <row r="100" spans="1:18" s="209" customFormat="1" ht="11.25"/>
    <row r="101" spans="1:18" s="68" customFormat="1">
      <c r="A101" s="79"/>
      <c r="B101" s="210"/>
      <c r="C101" s="210"/>
      <c r="D101" s="210"/>
      <c r="E101" s="210"/>
      <c r="F101" s="210"/>
      <c r="G101" s="211"/>
      <c r="H101" s="211"/>
      <c r="I101" s="211"/>
      <c r="J101" s="79"/>
      <c r="K101" s="210"/>
      <c r="L101" s="210"/>
      <c r="M101" s="212"/>
      <c r="N101" s="213"/>
      <c r="O101" s="210"/>
      <c r="P101" s="211"/>
      <c r="Q101" s="211"/>
      <c r="R101" s="211"/>
    </row>
    <row r="102" spans="1:18" s="79" customFormat="1" ht="15">
      <c r="B102" s="210"/>
      <c r="C102" s="210"/>
      <c r="D102" s="210"/>
      <c r="E102" s="210"/>
      <c r="F102" s="210"/>
      <c r="G102" s="211"/>
      <c r="H102" s="211"/>
      <c r="I102" s="211"/>
      <c r="K102" s="210"/>
      <c r="L102" s="210"/>
      <c r="M102" s="212"/>
      <c r="N102" s="213"/>
      <c r="O102" s="210"/>
      <c r="P102" s="211"/>
      <c r="Q102" s="211"/>
      <c r="R102" s="211"/>
    </row>
    <row r="103" spans="1:18" s="79" customFormat="1" ht="15">
      <c r="B103" s="210"/>
      <c r="C103" s="210"/>
      <c r="D103" s="210"/>
      <c r="E103" s="210"/>
      <c r="F103" s="210"/>
      <c r="G103" s="211"/>
      <c r="H103" s="211"/>
      <c r="I103" s="211"/>
      <c r="K103" s="210"/>
      <c r="L103" s="210"/>
      <c r="M103" s="212"/>
      <c r="N103" s="213"/>
      <c r="O103" s="210"/>
      <c r="P103" s="211"/>
      <c r="Q103" s="211"/>
      <c r="R103" s="211"/>
    </row>
    <row r="104" spans="1:18" s="79" customFormat="1" ht="15">
      <c r="B104" s="214"/>
      <c r="C104" s="214"/>
      <c r="D104" s="214"/>
      <c r="E104" s="214"/>
      <c r="F104" s="214"/>
      <c r="G104" s="215"/>
      <c r="H104" s="215"/>
      <c r="I104" s="215"/>
      <c r="K104" s="210"/>
      <c r="L104" s="210"/>
      <c r="M104" s="212"/>
      <c r="N104" s="213"/>
      <c r="O104" s="210"/>
      <c r="P104" s="211"/>
      <c r="Q104" s="211"/>
      <c r="R104" s="211"/>
    </row>
    <row r="105" spans="1:18" s="79" customFormat="1" ht="15">
      <c r="B105" s="214"/>
      <c r="C105" s="214"/>
      <c r="D105" s="214"/>
      <c r="E105" s="214"/>
      <c r="F105" s="214"/>
      <c r="G105" s="215"/>
      <c r="H105" s="215"/>
      <c r="I105" s="215"/>
      <c r="K105" s="210"/>
      <c r="L105" s="210"/>
      <c r="M105" s="212"/>
      <c r="N105" s="213"/>
      <c r="O105" s="210"/>
      <c r="P105" s="211"/>
      <c r="Q105" s="211"/>
      <c r="R105" s="211"/>
    </row>
    <row r="106" spans="1:18" s="79" customFormat="1" ht="15">
      <c r="B106" s="214"/>
      <c r="C106" s="214"/>
      <c r="D106" s="214"/>
      <c r="E106" s="214"/>
      <c r="F106" s="214"/>
      <c r="G106" s="215"/>
      <c r="H106" s="215"/>
      <c r="I106" s="215"/>
      <c r="K106" s="210"/>
      <c r="L106" s="210"/>
      <c r="M106" s="212"/>
      <c r="N106" s="213"/>
      <c r="O106" s="210"/>
      <c r="P106" s="211"/>
      <c r="Q106" s="211"/>
      <c r="R106" s="211"/>
    </row>
    <row r="107" spans="1:18" s="79" customFormat="1" ht="15">
      <c r="G107" s="208"/>
      <c r="H107" s="208"/>
      <c r="I107" s="208"/>
      <c r="K107" s="214"/>
      <c r="L107" s="214"/>
      <c r="M107" s="216"/>
      <c r="N107" s="217"/>
      <c r="O107" s="214"/>
      <c r="P107" s="214"/>
      <c r="Q107" s="215"/>
      <c r="R107" s="215"/>
    </row>
    <row r="108" spans="1:18" s="79" customFormat="1" ht="15">
      <c r="G108" s="208"/>
      <c r="H108" s="208"/>
      <c r="I108" s="208"/>
      <c r="K108" s="214"/>
      <c r="L108" s="214"/>
      <c r="M108" s="216"/>
      <c r="N108" s="217"/>
      <c r="O108" s="214"/>
      <c r="P108" s="215"/>
      <c r="Q108" s="215"/>
      <c r="R108" s="215"/>
    </row>
    <row r="109" spans="1:18" s="79" customFormat="1" ht="15">
      <c r="G109" s="208"/>
      <c r="H109" s="208"/>
      <c r="I109" s="208"/>
      <c r="K109" s="214"/>
      <c r="L109" s="214"/>
      <c r="M109" s="216"/>
      <c r="N109" s="217"/>
      <c r="O109" s="214"/>
      <c r="P109" s="215"/>
      <c r="Q109" s="215"/>
      <c r="R109" s="215"/>
    </row>
    <row r="110" spans="1:18" s="79" customFormat="1" ht="15">
      <c r="G110" s="208"/>
      <c r="H110" s="208"/>
      <c r="I110" s="208"/>
      <c r="K110" s="214"/>
      <c r="L110" s="214"/>
      <c r="M110" s="216"/>
      <c r="N110" s="217"/>
      <c r="O110" s="214"/>
      <c r="P110" s="215"/>
      <c r="Q110" s="215"/>
      <c r="R110" s="215"/>
    </row>
    <row r="111" spans="1:18" s="79" customFormat="1" ht="15">
      <c r="G111" s="208"/>
      <c r="H111" s="208"/>
      <c r="I111" s="208"/>
      <c r="K111" s="214"/>
      <c r="L111" s="214"/>
      <c r="M111" s="216"/>
      <c r="N111" s="217"/>
      <c r="O111" s="214"/>
      <c r="P111" s="215"/>
      <c r="Q111" s="215"/>
      <c r="R111" s="215"/>
    </row>
    <row r="112" spans="1:18" s="79" customFormat="1" ht="15">
      <c r="G112" s="208"/>
      <c r="H112" s="208"/>
      <c r="I112" s="208"/>
      <c r="K112" s="214"/>
      <c r="L112" s="214"/>
      <c r="M112" s="216"/>
      <c r="N112" s="217"/>
      <c r="O112" s="214"/>
      <c r="P112" s="215"/>
      <c r="Q112" s="215"/>
      <c r="R112" s="215"/>
    </row>
    <row r="113" spans="2:20" s="79" customFormat="1" ht="15">
      <c r="G113" s="208"/>
      <c r="H113" s="208"/>
      <c r="I113" s="208"/>
      <c r="M113" s="218"/>
      <c r="N113" s="219"/>
      <c r="P113" s="208"/>
      <c r="Q113" s="208"/>
      <c r="R113" s="208"/>
    </row>
    <row r="114" spans="2:20" s="79" customFormat="1">
      <c r="G114" s="65"/>
      <c r="H114" s="65"/>
      <c r="I114" s="65"/>
      <c r="M114" s="218"/>
      <c r="N114" s="219"/>
      <c r="P114" s="208"/>
      <c r="Q114" s="208"/>
      <c r="R114" s="208"/>
    </row>
    <row r="115" spans="2:20" s="79" customFormat="1" ht="15">
      <c r="M115" s="218"/>
      <c r="N115" s="219"/>
      <c r="P115" s="208"/>
      <c r="Q115" s="208"/>
      <c r="R115" s="208"/>
      <c r="S115" s="208"/>
      <c r="T115" s="208"/>
    </row>
    <row r="116" spans="2:20" s="79" customFormat="1">
      <c r="B116" s="68"/>
      <c r="C116" s="68"/>
      <c r="D116" s="68"/>
      <c r="E116" s="68"/>
      <c r="F116" s="68"/>
      <c r="G116" s="68"/>
      <c r="H116" s="68"/>
      <c r="I116" s="68"/>
      <c r="J116" s="68"/>
      <c r="M116" s="218"/>
      <c r="N116" s="219"/>
      <c r="P116" s="208"/>
      <c r="Q116" s="208"/>
      <c r="R116" s="208"/>
      <c r="S116" s="208"/>
      <c r="T116" s="208"/>
    </row>
    <row r="117" spans="2:20" s="68" customFormat="1">
      <c r="P117" s="65"/>
      <c r="Q117" s="65"/>
      <c r="R117" s="65"/>
      <c r="S117" s="65"/>
      <c r="T117" s="65"/>
    </row>
    <row r="118" spans="2:20" s="68" customFormat="1">
      <c r="K118" s="194"/>
      <c r="L118" s="79"/>
    </row>
    <row r="119" spans="2:20" s="68" customFormat="1">
      <c r="K119" s="195"/>
      <c r="M119" s="65"/>
    </row>
    <row r="120" spans="2:20" s="68" customFormat="1">
      <c r="K120" s="194"/>
      <c r="M120" s="65"/>
    </row>
    <row r="121" spans="2:20" s="68" customFormat="1">
      <c r="K121" s="194"/>
      <c r="M121" s="65"/>
    </row>
    <row r="122" spans="2:20" s="68" customFormat="1">
      <c r="K122" s="194"/>
      <c r="M122" s="65"/>
    </row>
    <row r="123" spans="2:20" s="68" customFormat="1"/>
    <row r="124" spans="2:20" s="68" customFormat="1"/>
    <row r="125" spans="2:20" s="68" customFormat="1"/>
    <row r="126" spans="2:20" s="68" customFormat="1"/>
  </sheetData>
  <mergeCells count="9">
    <mergeCell ref="B62:K62"/>
    <mergeCell ref="B65:K65"/>
    <mergeCell ref="B78:K78"/>
    <mergeCell ref="B35:K35"/>
    <mergeCell ref="B48:K48"/>
    <mergeCell ref="B2:K2"/>
    <mergeCell ref="B5:K5"/>
    <mergeCell ref="B18:K18"/>
    <mergeCell ref="B32:K32"/>
  </mergeCells>
  <phoneticPr fontId="18" type="noConversion"/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1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A1" s="474" t="s">
        <v>198</v>
      </c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37040</v>
      </c>
      <c r="F4" s="241"/>
      <c r="G4" s="19"/>
      <c r="H4" s="30">
        <v>37041</v>
      </c>
      <c r="I4" s="23"/>
      <c r="J4" s="30">
        <v>37042</v>
      </c>
      <c r="K4" s="23"/>
      <c r="L4" s="30">
        <v>37043</v>
      </c>
      <c r="M4" s="23"/>
      <c r="N4" s="30">
        <v>37044</v>
      </c>
      <c r="O4" s="23"/>
    </row>
    <row r="5" spans="1:15" s="144" customFormat="1" ht="11.25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72</v>
      </c>
      <c r="F8" s="106">
        <v>61</v>
      </c>
      <c r="G8" s="33"/>
      <c r="H8" s="42">
        <v>78</v>
      </c>
      <c r="I8" s="33">
        <v>58</v>
      </c>
      <c r="J8" s="42">
        <v>72</v>
      </c>
      <c r="K8" s="33">
        <v>54</v>
      </c>
      <c r="L8" s="42">
        <v>82</v>
      </c>
      <c r="M8" s="33">
        <v>59</v>
      </c>
      <c r="N8" s="42">
        <v>75</v>
      </c>
      <c r="O8" s="33">
        <v>63</v>
      </c>
    </row>
    <row r="9" spans="1:15" s="36" customFormat="1" ht="16.5" thickBot="1">
      <c r="B9" s="43" t="s">
        <v>47</v>
      </c>
      <c r="C9" s="44"/>
      <c r="D9" s="43"/>
      <c r="E9" s="107">
        <f>(E8+F8)/2-65</f>
        <v>1.5</v>
      </c>
      <c r="F9" s="108"/>
      <c r="G9" s="121"/>
      <c r="H9" s="45">
        <f>(H8+I8)/2-65</f>
        <v>3</v>
      </c>
      <c r="I9" s="43"/>
      <c r="J9" s="45">
        <f>(J8+K8)/2-65</f>
        <v>-2</v>
      </c>
      <c r="K9" s="43"/>
      <c r="L9" s="45">
        <f>(L8+M8)/2-65</f>
        <v>5.5</v>
      </c>
      <c r="M9" s="43"/>
      <c r="N9" s="45">
        <f>(N8+O8)/2-65</f>
        <v>4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179">
        <v>42698</v>
      </c>
      <c r="I11" s="3"/>
      <c r="J11" s="9">
        <v>43000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45744.26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-3045.260000000002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30698</v>
      </c>
      <c r="I16" s="3"/>
      <c r="J16" s="263">
        <f>J11-J17</f>
        <v>31000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2571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2571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-7174</v>
      </c>
      <c r="F38" s="123"/>
      <c r="G38" s="134"/>
      <c r="H38" s="467">
        <v>-9470</v>
      </c>
      <c r="I38" s="3"/>
      <c r="J38" s="26">
        <v>-9168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3225</v>
      </c>
      <c r="F44" s="129"/>
      <c r="G44" s="136"/>
      <c r="H44" s="149">
        <f>SUM(H37:H43)</f>
        <v>929</v>
      </c>
      <c r="I44" s="53"/>
      <c r="J44" s="149">
        <f>SUM(J37:J43)</f>
        <v>1231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4163</v>
      </c>
      <c r="F49" s="124"/>
      <c r="G49" s="135"/>
      <c r="H49" s="47">
        <v>11091</v>
      </c>
      <c r="I49" s="48"/>
      <c r="J49" s="47">
        <v>11385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-3413</v>
      </c>
      <c r="F50" s="123"/>
      <c r="G50" s="134"/>
      <c r="H50" s="16">
        <v>-11091</v>
      </c>
      <c r="I50" s="3"/>
      <c r="J50" s="16">
        <v>-11385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750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7004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6986.4900000000007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0.15272932604003214</v>
      </c>
      <c r="F58" s="123"/>
      <c r="G58" s="19"/>
      <c r="H58" s="148">
        <f>H57/H66</f>
        <v>0.14610349461547145</v>
      </c>
      <c r="I58" s="3"/>
      <c r="J58" s="148">
        <f>J57/J66</f>
        <v>0.14507737860189684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45744.26</v>
      </c>
      <c r="F66" s="176"/>
      <c r="G66" s="19"/>
      <c r="H66" s="15">
        <f>H29+H44+H56+H61+H62</f>
        <v>42698.26</v>
      </c>
      <c r="I66" s="3"/>
      <c r="J66" s="15">
        <f>J29+J44+J56+J61+J62</f>
        <v>43000.26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29184.260000000009</v>
      </c>
      <c r="M68" s="3"/>
      <c r="N68" s="31">
        <f>N66-N11</f>
        <v>29184.260000000009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A1" s="474" t="s">
        <v>198</v>
      </c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37039</v>
      </c>
      <c r="F4" s="241"/>
      <c r="G4" s="19"/>
      <c r="H4" s="30">
        <v>37040</v>
      </c>
      <c r="I4" s="23"/>
      <c r="J4" s="30">
        <v>37041</v>
      </c>
      <c r="K4" s="23"/>
      <c r="L4" s="30">
        <v>37042</v>
      </c>
      <c r="M4" s="23"/>
      <c r="N4" s="30">
        <v>37043</v>
      </c>
      <c r="O4" s="23"/>
    </row>
    <row r="5" spans="1:15" s="144" customFormat="1" ht="11.25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63</v>
      </c>
      <c r="G8" s="33"/>
      <c r="H8" s="42">
        <v>83</v>
      </c>
      <c r="I8" s="33">
        <v>58</v>
      </c>
      <c r="J8" s="42">
        <v>76</v>
      </c>
      <c r="K8" s="33">
        <v>58</v>
      </c>
      <c r="L8" s="42">
        <v>72</v>
      </c>
      <c r="M8" s="33">
        <v>50</v>
      </c>
      <c r="N8" s="42">
        <v>76</v>
      </c>
      <c r="O8" s="33">
        <v>58</v>
      </c>
    </row>
    <row r="9" spans="1:15" s="36" customFormat="1" ht="16.5" thickBot="1">
      <c r="B9" s="43" t="s">
        <v>47</v>
      </c>
      <c r="C9" s="44"/>
      <c r="D9" s="43"/>
      <c r="E9" s="107">
        <f>(E8+F8)/2-65</f>
        <v>2</v>
      </c>
      <c r="F9" s="108"/>
      <c r="G9" s="121"/>
      <c r="H9" s="45">
        <f>(H8+I8)/2-65</f>
        <v>5.5</v>
      </c>
      <c r="I9" s="43"/>
      <c r="J9" s="45">
        <f>(J8+K8)/2-65</f>
        <v>2</v>
      </c>
      <c r="K9" s="43"/>
      <c r="L9" s="45">
        <f>(L8+M8)/2-65</f>
        <v>-4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40368.26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2330.739999999998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14781+2571</f>
        <v>17352</v>
      </c>
      <c r="F35" s="124"/>
      <c r="G35" s="135"/>
      <c r="H35" s="26">
        <v>2571</v>
      </c>
      <c r="I35" s="469">
        <f>H35+H43</f>
        <v>0</v>
      </c>
      <c r="J35" s="26">
        <v>2571</v>
      </c>
      <c r="K35" s="469">
        <f>J35+J43</f>
        <v>0</v>
      </c>
      <c r="L35" s="26">
        <v>17352</v>
      </c>
      <c r="M35" s="469">
        <f>L35+L43</f>
        <v>14781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17352</v>
      </c>
      <c r="F37" s="127" t="s">
        <v>4</v>
      </c>
      <c r="G37" s="253"/>
      <c r="H37" s="49">
        <f>SUM(H34:H36)</f>
        <v>2571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17352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-22556</v>
      </c>
      <c r="F38" s="123"/>
      <c r="G38" s="134"/>
      <c r="H38" s="26">
        <v>-9469</v>
      </c>
      <c r="I38" s="3"/>
      <c r="J38" s="26">
        <v>-9469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2624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25180</v>
      </c>
      <c r="M44" s="53"/>
      <c r="N44" s="149">
        <f>SUM(N37:N43)</f>
        <v>25180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4206</v>
      </c>
      <c r="F49" s="124"/>
      <c r="G49" s="135"/>
      <c r="H49" s="47">
        <f>9049-4886</f>
        <v>4163</v>
      </c>
      <c r="I49" s="48"/>
      <c r="J49" s="47">
        <v>11091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-8231</v>
      </c>
      <c r="F50" s="123"/>
      <c r="G50" s="134"/>
      <c r="H50" s="16">
        <v>-4163</v>
      </c>
      <c r="I50" s="3"/>
      <c r="J50" s="16">
        <v>-11091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-4025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6254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2229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16187</v>
      </c>
      <c r="M56" s="54"/>
      <c r="N56" s="149">
        <f>SUM(N51:N55)</f>
        <v>16187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2223.4275000000002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16146.532500000001</v>
      </c>
      <c r="M57" s="3"/>
      <c r="N57" s="11">
        <f>N56*0.9975</f>
        <v>16146.532500000001</v>
      </c>
      <c r="O57" s="3"/>
    </row>
    <row r="58" spans="2:15">
      <c r="B58" s="145" t="s">
        <v>0</v>
      </c>
      <c r="C58" s="9"/>
      <c r="D58" s="3"/>
      <c r="E58" s="147">
        <f>E57/E66</f>
        <v>5.5078606310997799E-2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0.21001636138167634</v>
      </c>
      <c r="M58" s="3"/>
      <c r="N58" s="148">
        <f>N57/N66</f>
        <v>0.21001636138167634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40368.26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76882.260000000009</v>
      </c>
      <c r="M66" s="3"/>
      <c r="N66" s="15">
        <f>N29+N44+N56+N61+N62</f>
        <v>76882.260000000009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34183.260000000009</v>
      </c>
      <c r="M68" s="3"/>
      <c r="N68" s="31">
        <f>N66-N11</f>
        <v>34183.260000000009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23" activePane="bottomRight" state="frozen"/>
      <selection pane="topRight" activeCell="E1" sqref="E1"/>
      <selection pane="bottomLeft" activeCell="A10" sqref="A10"/>
      <selection pane="bottomRight" activeCell="H66" sqref="H66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37038</v>
      </c>
      <c r="F4" s="241"/>
      <c r="G4" s="19"/>
      <c r="H4" s="30">
        <v>37039</v>
      </c>
      <c r="I4" s="23"/>
      <c r="J4" s="30">
        <v>37040</v>
      </c>
      <c r="K4" s="23"/>
      <c r="L4" s="30">
        <v>37041</v>
      </c>
      <c r="M4" s="23"/>
      <c r="N4" s="30">
        <v>37042</v>
      </c>
      <c r="O4" s="23"/>
    </row>
    <row r="5" spans="1:15" s="144" customFormat="1" ht="11.25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78</v>
      </c>
      <c r="I8" s="33">
        <v>61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4.5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39629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42699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27629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17352</v>
      </c>
      <c r="I35" s="469">
        <f>H35+H43</f>
        <v>14781</v>
      </c>
      <c r="J35" s="26">
        <v>2571</v>
      </c>
      <c r="K35" s="469">
        <f>J35+J43</f>
        <v>0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17352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-27320</v>
      </c>
      <c r="I38" s="3"/>
      <c r="J38" s="26">
        <v>-9469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-2140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9092</v>
      </c>
      <c r="I49" s="48"/>
      <c r="J49" s="47">
        <f>9049-4886</f>
        <v>4163</v>
      </c>
      <c r="K49" s="48"/>
      <c r="L49" s="47">
        <v>9082</v>
      </c>
      <c r="M49" s="48"/>
      <c r="N49" s="47">
        <v>9092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-9092</v>
      </c>
      <c r="I50" s="3"/>
      <c r="J50" s="16">
        <v>-4163</v>
      </c>
      <c r="K50" s="3"/>
      <c r="L50" s="16">
        <v>-9082</v>
      </c>
      <c r="M50" s="3"/>
      <c r="N50" s="16">
        <v>-9092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0.1574181551712043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39629.26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25" activePane="bottomRight" state="frozen"/>
      <selection pane="topRight" activeCell="E1" sqref="E1"/>
      <selection pane="bottomLeft" activeCell="A10" sqref="A10"/>
      <selection pane="bottomRight" activeCell="N35" sqref="N35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37035</v>
      </c>
      <c r="F4" s="241"/>
      <c r="G4" s="19"/>
      <c r="H4" s="30">
        <v>37036</v>
      </c>
      <c r="I4" s="23"/>
      <c r="J4" s="30">
        <v>37037</v>
      </c>
      <c r="K4" s="23"/>
      <c r="L4" s="30">
        <v>37038</v>
      </c>
      <c r="M4" s="23"/>
      <c r="N4" s="30">
        <v>37039</v>
      </c>
      <c r="O4" s="23"/>
    </row>
    <row r="5" spans="1:15" s="144" customFormat="1" ht="11.25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86</v>
      </c>
      <c r="I8" s="33">
        <v>57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5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6.5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49007.26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-6308.260000000002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1179+2571</f>
        <v>3750</v>
      </c>
      <c r="F35" s="124"/>
      <c r="G35" s="135"/>
      <c r="H35" s="26">
        <v>4398</v>
      </c>
      <c r="I35" s="469">
        <f>H35+H43</f>
        <v>1827</v>
      </c>
      <c r="J35" s="26">
        <v>18102</v>
      </c>
      <c r="K35" s="469">
        <f>J35+J43</f>
        <v>15531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3750</v>
      </c>
      <c r="F37" s="127" t="s">
        <v>4</v>
      </c>
      <c r="G37" s="253"/>
      <c r="H37" s="49">
        <f>SUM(H34:H36)</f>
        <v>4398</v>
      </c>
      <c r="I37" s="146" t="s">
        <v>4</v>
      </c>
      <c r="J37" s="49">
        <f>SUM(J34:J36)</f>
        <v>18102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-5196</v>
      </c>
      <c r="F38" s="123"/>
      <c r="G38" s="134"/>
      <c r="H38" s="467">
        <v>-11296</v>
      </c>
      <c r="I38" s="3"/>
      <c r="J38" s="26">
        <v>-25000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6382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f>11065+2443</f>
        <v>13508</v>
      </c>
      <c r="I49" s="48"/>
      <c r="J49" s="47">
        <f>9135-4886</f>
        <v>4249</v>
      </c>
      <c r="K49" s="48"/>
      <c r="L49" s="47">
        <f>9082-4886</f>
        <v>4196</v>
      </c>
      <c r="M49" s="48"/>
      <c r="N49" s="47">
        <f>9092-4886</f>
        <v>4206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-10351</v>
      </c>
      <c r="F50" s="123"/>
      <c r="G50" s="134"/>
      <c r="H50" s="16">
        <v>-13508</v>
      </c>
      <c r="I50" s="3"/>
      <c r="J50" s="16">
        <v>-4249</v>
      </c>
      <c r="K50" s="3"/>
      <c r="L50" s="16">
        <v>-4196</v>
      </c>
      <c r="M50" s="3"/>
      <c r="N50" s="16">
        <v>-4206</v>
      </c>
      <c r="O50" s="3"/>
    </row>
    <row r="51" spans="2:15">
      <c r="B51" s="3" t="s">
        <v>19</v>
      </c>
      <c r="C51" s="3"/>
      <c r="D51" s="101"/>
      <c r="E51" s="9">
        <f>SUM(E49:E50)</f>
        <v>784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467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7110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7092.2250000000004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>
        <f>E57/E66</f>
        <v>0.14471784384599343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49007.26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75"/>
  <cols>
    <col min="1" max="1" width="2.6640625" customWidth="1"/>
    <col min="2" max="2" width="23.5546875" customWidth="1"/>
    <col min="3" max="3" width="12.33203125" customWidth="1"/>
    <col min="7" max="7" width="2.33203125" customWidth="1"/>
    <col min="14" max="14" width="10.5546875" customWidth="1"/>
  </cols>
  <sheetData>
    <row r="1" spans="1:15">
      <c r="B1" s="29">
        <f ca="1">TODAY()+1</f>
        <v>41887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41886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1" t="s">
        <v>5</v>
      </c>
      <c r="J2" s="481"/>
      <c r="K2" s="21"/>
      <c r="L2" s="19"/>
      <c r="M2" s="8">
        <f ca="1">NOW()</f>
        <v>41886.904541435186</v>
      </c>
      <c r="N2" s="3"/>
      <c r="O2" s="3"/>
    </row>
    <row r="3" spans="1:15" ht="16.5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5" thickTop="1">
      <c r="B4" s="86"/>
      <c r="C4" s="3"/>
      <c r="D4" s="3"/>
      <c r="E4" s="99">
        <v>37034</v>
      </c>
      <c r="F4" s="241"/>
      <c r="G4" s="19"/>
      <c r="H4" s="30">
        <v>37035</v>
      </c>
      <c r="I4" s="23"/>
      <c r="J4" s="30">
        <v>37036</v>
      </c>
      <c r="K4" s="23"/>
      <c r="L4" s="30">
        <v>37037</v>
      </c>
      <c r="M4" s="23"/>
      <c r="N4" s="30">
        <v>37038</v>
      </c>
      <c r="O4" s="23"/>
    </row>
    <row r="5" spans="1:15" s="144" customFormat="1" ht="11.25">
      <c r="B5" s="141"/>
      <c r="C5" s="141"/>
      <c r="D5" s="141"/>
      <c r="E5" s="470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5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75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74</v>
      </c>
      <c r="F8" s="106">
        <v>63</v>
      </c>
      <c r="G8" s="33"/>
      <c r="H8" s="42">
        <v>77</v>
      </c>
      <c r="I8" s="33">
        <v>57</v>
      </c>
      <c r="J8" s="42">
        <v>78</v>
      </c>
      <c r="K8" s="33">
        <v>61</v>
      </c>
      <c r="L8" s="42">
        <v>77</v>
      </c>
      <c r="M8" s="33">
        <v>59</v>
      </c>
      <c r="N8" s="42">
        <v>75</v>
      </c>
      <c r="O8" s="33">
        <v>59</v>
      </c>
    </row>
    <row r="9" spans="1:15" s="36" customFormat="1" ht="16.5" thickBot="1">
      <c r="B9" s="43" t="s">
        <v>47</v>
      </c>
      <c r="C9" s="44"/>
      <c r="D9" s="43"/>
      <c r="E9" s="107">
        <f>(E8+F8)/2-65</f>
        <v>3.5</v>
      </c>
      <c r="F9" s="108"/>
      <c r="G9" s="121"/>
      <c r="H9" s="45">
        <f>(H8+I8)/2-65</f>
        <v>2</v>
      </c>
      <c r="I9" s="43"/>
      <c r="J9" s="45">
        <f>(J8+K8)/2-65</f>
        <v>4.5</v>
      </c>
      <c r="K9" s="43"/>
      <c r="L9" s="45">
        <f>(L8+M8)/2-65</f>
        <v>3</v>
      </c>
      <c r="M9" s="43"/>
      <c r="N9" s="45">
        <f>(N8+O8)/2-65</f>
        <v>2</v>
      </c>
      <c r="O9" s="43"/>
    </row>
    <row r="10" spans="1:15" ht="16.5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45736.26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-3037.260000000002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3750</v>
      </c>
      <c r="I35" s="469">
        <f>H35+H43</f>
        <v>1179</v>
      </c>
      <c r="J35" s="26">
        <v>4398</v>
      </c>
      <c r="K35" s="469">
        <f>J35+J43</f>
        <v>1827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3750</v>
      </c>
      <c r="I37" s="146" t="s">
        <v>4</v>
      </c>
      <c r="J37" s="49">
        <f>SUM(J34:J36)</f>
        <v>4398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-17441</v>
      </c>
      <c r="F38" s="123"/>
      <c r="G38" s="134"/>
      <c r="H38" s="26">
        <v>-10720</v>
      </c>
      <c r="I38" s="3"/>
      <c r="J38" s="26">
        <v>-11368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2926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10974</v>
      </c>
      <c r="F49" s="124"/>
      <c r="G49" s="135"/>
      <c r="H49" s="47">
        <v>11135</v>
      </c>
      <c r="I49" s="48"/>
      <c r="J49" s="47">
        <f>11065+2443</f>
        <v>13508</v>
      </c>
      <c r="K49" s="48"/>
      <c r="L49" s="47">
        <v>11065</v>
      </c>
      <c r="M49" s="48"/>
      <c r="N49" s="47">
        <v>11065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-10005</v>
      </c>
      <c r="F50" s="123"/>
      <c r="G50" s="134"/>
      <c r="H50" s="16">
        <v>-11135</v>
      </c>
      <c r="I50" s="3"/>
      <c r="J50" s="16">
        <v>-13508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969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11065</v>
      </c>
      <c r="M51" s="4"/>
      <c r="N51" s="9">
        <f>SUM(N49:N50)</f>
        <v>11065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7295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17391</v>
      </c>
      <c r="M56" s="54"/>
      <c r="N56" s="149">
        <f>SUM(N51:N55)</f>
        <v>17391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7276.7625000000007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17347.522499999999</v>
      </c>
      <c r="M57" s="3"/>
      <c r="N57" s="11">
        <f>N56*0.9975</f>
        <v>17347.522499999999</v>
      </c>
      <c r="O57" s="3"/>
    </row>
    <row r="58" spans="2:15">
      <c r="B58" s="145" t="s">
        <v>0</v>
      </c>
      <c r="C58" s="9"/>
      <c r="D58" s="3"/>
      <c r="E58" s="147">
        <f>E57/E66</f>
        <v>0.15910270100790927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0.26901948630565037</v>
      </c>
      <c r="M58" s="3"/>
      <c r="N58" s="148">
        <f>N57/N66</f>
        <v>0.26901948630565037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5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5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45736.26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64484.26</v>
      </c>
      <c r="M66" s="3"/>
      <c r="N66" s="15">
        <f>N29+N44+N56+N61+N62</f>
        <v>64484.26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5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21785.260000000002</v>
      </c>
      <c r="M68" s="3"/>
      <c r="N68" s="31">
        <f>N66-N11</f>
        <v>21785.260000000002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41887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Daily Trading Sheet</vt:lpstr>
      <vt:lpstr>Transport</vt:lpstr>
      <vt:lpstr>Confirmation</vt:lpstr>
      <vt:lpstr>Web Error</vt:lpstr>
      <vt:lpstr>5-31</vt:lpstr>
      <vt:lpstr>5-30</vt:lpstr>
      <vt:lpstr>5-29</vt:lpstr>
      <vt:lpstr>5-26,27,28</vt:lpstr>
      <vt:lpstr>5-25</vt:lpstr>
      <vt:lpstr>5-24</vt:lpstr>
      <vt:lpstr>5-23</vt:lpstr>
      <vt:lpstr>5-22</vt:lpstr>
      <vt:lpstr>5-19-21</vt:lpstr>
      <vt:lpstr>5-18</vt:lpstr>
      <vt:lpstr>5-17</vt:lpstr>
      <vt:lpstr>5-16</vt:lpstr>
      <vt:lpstr>5-15</vt:lpstr>
      <vt:lpstr>5-12,13,14</vt:lpstr>
      <vt:lpstr>5-11</vt:lpstr>
      <vt:lpstr>5-10</vt:lpstr>
      <vt:lpstr>5-9</vt:lpstr>
      <vt:lpstr>5-8</vt:lpstr>
      <vt:lpstr>5-5,6,7</vt:lpstr>
      <vt:lpstr>5-4</vt:lpstr>
      <vt:lpstr>5-3</vt:lpstr>
      <vt:lpstr>5-2</vt:lpstr>
      <vt:lpstr>5-1</vt:lpstr>
      <vt:lpstr>4-28,29,30</vt:lpstr>
    </vt:vector>
  </TitlesOfParts>
  <Company>AGL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Felienne</cp:lastModifiedBy>
  <cp:lastPrinted>2001-05-30T15:37:39Z</cp:lastPrinted>
  <dcterms:created xsi:type="dcterms:W3CDTF">2000-09-28T13:09:50Z</dcterms:created>
  <dcterms:modified xsi:type="dcterms:W3CDTF">2014-09-04T19:42:32Z</dcterms:modified>
</cp:coreProperties>
</file>