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0" calcMode="manual" calcCompleted="0" calcOnSave="0"/>
</workbook>
</file>

<file path=xl/calcChain.xml><?xml version="1.0" encoding="utf-8"?>
<calcChain xmlns="http://schemas.openxmlformats.org/spreadsheetml/2006/main">
  <c r="B7" i="1" l="1"/>
  <c r="C7" i="1"/>
  <c r="I7" i="1"/>
  <c r="K7" i="1"/>
  <c r="M7" i="1"/>
  <c r="N7" i="1"/>
  <c r="P7" i="1"/>
  <c r="Q7" i="1"/>
  <c r="R7" i="1"/>
  <c r="S7" i="1"/>
  <c r="T7" i="1"/>
  <c r="B8" i="1"/>
  <c r="C8" i="1"/>
  <c r="D8" i="1"/>
  <c r="I8" i="1"/>
  <c r="J8" i="1"/>
  <c r="K8" i="1"/>
  <c r="M8" i="1"/>
  <c r="N8" i="1"/>
  <c r="P8" i="1"/>
  <c r="Q8" i="1"/>
  <c r="R8" i="1"/>
  <c r="S8" i="1"/>
  <c r="T8" i="1"/>
  <c r="B9" i="1"/>
  <c r="C9" i="1"/>
  <c r="D9" i="1"/>
  <c r="I9" i="1"/>
  <c r="K9" i="1"/>
  <c r="M9" i="1"/>
  <c r="N9" i="1"/>
  <c r="P9" i="1"/>
  <c r="Q9" i="1"/>
  <c r="R9" i="1"/>
  <c r="S9" i="1"/>
  <c r="T9" i="1"/>
  <c r="B10" i="1"/>
  <c r="C10" i="1"/>
  <c r="D10" i="1"/>
  <c r="I10" i="1"/>
  <c r="J10" i="1"/>
  <c r="K10" i="1"/>
  <c r="M10" i="1"/>
  <c r="N10" i="1"/>
  <c r="P10" i="1"/>
  <c r="Q10" i="1"/>
  <c r="R10" i="1"/>
  <c r="S10" i="1"/>
  <c r="T10" i="1"/>
  <c r="A11" i="1"/>
  <c r="B11" i="1"/>
  <c r="C11" i="1"/>
  <c r="D11" i="1"/>
  <c r="I11" i="1"/>
  <c r="J11" i="1"/>
  <c r="K11" i="1"/>
  <c r="M11" i="1"/>
  <c r="N11" i="1"/>
  <c r="P11" i="1"/>
  <c r="Q11" i="1"/>
  <c r="R11" i="1"/>
  <c r="S11" i="1"/>
  <c r="T11" i="1"/>
  <c r="A12" i="1"/>
  <c r="B12" i="1"/>
  <c r="C12" i="1"/>
  <c r="D12" i="1"/>
  <c r="I12" i="1"/>
  <c r="J12" i="1"/>
  <c r="K12" i="1"/>
  <c r="M12" i="1"/>
  <c r="N12" i="1"/>
  <c r="P12" i="1"/>
  <c r="Q12" i="1"/>
  <c r="R12" i="1"/>
  <c r="S12" i="1"/>
  <c r="T12" i="1"/>
  <c r="A13" i="1"/>
  <c r="B13" i="1"/>
  <c r="C13" i="1"/>
  <c r="D13" i="1"/>
  <c r="I13" i="1"/>
  <c r="J13" i="1"/>
  <c r="K13" i="1"/>
  <c r="M13" i="1"/>
  <c r="N13" i="1"/>
  <c r="P13" i="1"/>
  <c r="Q13" i="1"/>
  <c r="R13" i="1"/>
  <c r="S13" i="1"/>
  <c r="T13" i="1"/>
  <c r="A14" i="1"/>
  <c r="B14" i="1"/>
  <c r="C14" i="1"/>
  <c r="D14" i="1"/>
  <c r="I14" i="1"/>
  <c r="J14" i="1"/>
  <c r="K14" i="1"/>
  <c r="M14" i="1"/>
  <c r="N14" i="1"/>
  <c r="P14" i="1"/>
  <c r="Q14" i="1"/>
  <c r="R14" i="1"/>
  <c r="S14" i="1"/>
  <c r="T14" i="1"/>
  <c r="A15" i="1"/>
  <c r="B15" i="1"/>
  <c r="C15" i="1"/>
  <c r="D15" i="1"/>
  <c r="I15" i="1"/>
  <c r="J15" i="1"/>
  <c r="K15" i="1"/>
  <c r="M15" i="1"/>
  <c r="N15" i="1"/>
  <c r="P15" i="1"/>
  <c r="Q15" i="1"/>
  <c r="R15" i="1"/>
  <c r="S15" i="1"/>
  <c r="T15" i="1"/>
  <c r="A16" i="1"/>
  <c r="B16" i="1"/>
  <c r="C16" i="1"/>
  <c r="D16" i="1"/>
  <c r="I16" i="1"/>
  <c r="J16" i="1"/>
  <c r="K16" i="1"/>
  <c r="M16" i="1"/>
  <c r="N16" i="1"/>
  <c r="P16" i="1"/>
  <c r="Q16" i="1"/>
  <c r="R16" i="1"/>
  <c r="S16" i="1"/>
  <c r="T16" i="1"/>
  <c r="A17" i="1"/>
  <c r="B17" i="1"/>
  <c r="C17" i="1"/>
  <c r="D17" i="1"/>
  <c r="I17" i="1"/>
  <c r="J17" i="1"/>
  <c r="K17" i="1"/>
  <c r="M17" i="1"/>
  <c r="N17" i="1"/>
  <c r="P17" i="1"/>
  <c r="Q17" i="1"/>
  <c r="R17" i="1"/>
  <c r="S17" i="1"/>
  <c r="T17" i="1"/>
  <c r="A18" i="1"/>
  <c r="B18" i="1"/>
  <c r="C18" i="1"/>
  <c r="D18" i="1"/>
  <c r="I18" i="1"/>
  <c r="J18" i="1"/>
  <c r="K18" i="1"/>
  <c r="M18" i="1"/>
  <c r="N18" i="1"/>
  <c r="P18" i="1"/>
  <c r="Q18" i="1"/>
  <c r="R18" i="1"/>
  <c r="S18" i="1"/>
  <c r="T18" i="1"/>
  <c r="A19" i="1"/>
  <c r="B19" i="1"/>
  <c r="C19" i="1"/>
  <c r="D19" i="1"/>
  <c r="I19" i="1"/>
  <c r="J19" i="1"/>
  <c r="K19" i="1"/>
  <c r="M19" i="1"/>
  <c r="N19" i="1"/>
  <c r="Q19" i="1"/>
  <c r="A20" i="1"/>
  <c r="B20" i="1"/>
  <c r="C20" i="1"/>
  <c r="D20" i="1"/>
  <c r="I20" i="1"/>
  <c r="J20" i="1"/>
  <c r="K20" i="1"/>
  <c r="M20" i="1"/>
  <c r="N20" i="1"/>
  <c r="R20" i="1"/>
  <c r="S20" i="1"/>
  <c r="T20" i="1"/>
  <c r="A21" i="1"/>
  <c r="B21" i="1"/>
  <c r="C21" i="1"/>
  <c r="D21" i="1"/>
  <c r="I21" i="1"/>
  <c r="J21" i="1"/>
  <c r="K21" i="1"/>
  <c r="M21" i="1"/>
  <c r="N21" i="1"/>
  <c r="A22" i="1"/>
  <c r="B22" i="1"/>
  <c r="C22" i="1"/>
  <c r="D22" i="1"/>
  <c r="I22" i="1"/>
  <c r="J22" i="1"/>
  <c r="K22" i="1"/>
  <c r="M22" i="1"/>
  <c r="N22" i="1"/>
  <c r="A23" i="1"/>
  <c r="B23" i="1"/>
  <c r="C23" i="1"/>
  <c r="D23" i="1"/>
  <c r="I23" i="1"/>
  <c r="J23" i="1"/>
  <c r="K23" i="1"/>
  <c r="M23" i="1"/>
  <c r="N23" i="1"/>
  <c r="A24" i="1"/>
  <c r="B24" i="1"/>
  <c r="C24" i="1"/>
  <c r="D24" i="1"/>
  <c r="I24" i="1"/>
  <c r="J24" i="1"/>
  <c r="K24" i="1"/>
  <c r="M24" i="1"/>
  <c r="N24" i="1"/>
  <c r="A25" i="1"/>
  <c r="B25" i="1"/>
  <c r="C25" i="1"/>
  <c r="D25" i="1"/>
  <c r="I25" i="1"/>
  <c r="J25" i="1"/>
  <c r="K25" i="1"/>
  <c r="M25" i="1"/>
  <c r="N25" i="1"/>
  <c r="A26" i="1"/>
  <c r="B26" i="1"/>
  <c r="C26" i="1"/>
  <c r="D26" i="1"/>
  <c r="I26" i="1"/>
  <c r="J26" i="1"/>
  <c r="K26" i="1"/>
  <c r="M26" i="1"/>
  <c r="N26" i="1"/>
  <c r="A27" i="1"/>
  <c r="B27" i="1"/>
  <c r="C27" i="1"/>
  <c r="D27" i="1"/>
  <c r="I27" i="1"/>
  <c r="J27" i="1"/>
  <c r="K27" i="1"/>
  <c r="M27" i="1"/>
  <c r="N27" i="1"/>
  <c r="A28" i="1"/>
  <c r="B28" i="1"/>
  <c r="C28" i="1"/>
  <c r="D28" i="1"/>
  <c r="I28" i="1"/>
  <c r="J28" i="1"/>
  <c r="K28" i="1"/>
  <c r="M28" i="1"/>
  <c r="N28" i="1"/>
  <c r="A29" i="1"/>
  <c r="B29" i="1"/>
  <c r="C29" i="1"/>
  <c r="D29" i="1"/>
  <c r="I29" i="1"/>
  <c r="J29" i="1"/>
  <c r="K29" i="1"/>
  <c r="M29" i="1"/>
  <c r="N29" i="1"/>
  <c r="A30" i="1"/>
  <c r="B30" i="1"/>
  <c r="C30" i="1"/>
  <c r="D30" i="1"/>
  <c r="I30" i="1"/>
  <c r="J30" i="1"/>
  <c r="K30" i="1"/>
  <c r="M30" i="1"/>
  <c r="N30" i="1"/>
  <c r="A31" i="1"/>
  <c r="B31" i="1"/>
  <c r="C31" i="1"/>
  <c r="D31" i="1"/>
  <c r="I31" i="1"/>
  <c r="J31" i="1"/>
  <c r="K31" i="1"/>
  <c r="M31" i="1"/>
  <c r="N31" i="1"/>
  <c r="A32" i="1"/>
  <c r="B32" i="1"/>
  <c r="C32" i="1"/>
  <c r="D32" i="1"/>
  <c r="I32" i="1"/>
  <c r="J32" i="1"/>
  <c r="K32" i="1"/>
  <c r="M32" i="1"/>
  <c r="N32" i="1"/>
  <c r="A33" i="1"/>
  <c r="B33" i="1"/>
  <c r="C33" i="1"/>
  <c r="D33" i="1"/>
  <c r="I33" i="1"/>
  <c r="J33" i="1"/>
  <c r="K33" i="1"/>
  <c r="M33" i="1"/>
  <c r="N33" i="1"/>
  <c r="A34" i="1"/>
  <c r="B34" i="1"/>
  <c r="C34" i="1"/>
  <c r="D34" i="1"/>
  <c r="I34" i="1"/>
  <c r="J34" i="1"/>
  <c r="K34" i="1"/>
  <c r="M34" i="1"/>
  <c r="N34" i="1"/>
  <c r="A35" i="1"/>
  <c r="B35" i="1"/>
  <c r="C35" i="1"/>
  <c r="D35" i="1"/>
  <c r="I35" i="1"/>
  <c r="J35" i="1"/>
  <c r="K35" i="1"/>
  <c r="M35" i="1"/>
  <c r="N35" i="1"/>
  <c r="A36" i="1"/>
  <c r="B36" i="1"/>
  <c r="C36" i="1"/>
  <c r="D36" i="1"/>
  <c r="I36" i="1"/>
  <c r="J36" i="1"/>
  <c r="K36" i="1"/>
  <c r="M36" i="1"/>
  <c r="N36" i="1"/>
  <c r="A37" i="1"/>
  <c r="B37" i="1"/>
  <c r="C37" i="1"/>
  <c r="D37" i="1"/>
  <c r="I37" i="1"/>
  <c r="J37" i="1"/>
  <c r="K37" i="1"/>
  <c r="M37" i="1"/>
  <c r="N37" i="1"/>
  <c r="A38" i="1"/>
  <c r="B38" i="1"/>
  <c r="C38" i="1"/>
  <c r="D38" i="1"/>
  <c r="I38" i="1"/>
  <c r="J38" i="1"/>
  <c r="K38" i="1"/>
  <c r="M38" i="1"/>
  <c r="N38" i="1"/>
  <c r="A39" i="1"/>
  <c r="B39" i="1"/>
  <c r="C39" i="1"/>
  <c r="D39" i="1"/>
  <c r="I39" i="1"/>
  <c r="J39" i="1"/>
  <c r="K39" i="1"/>
  <c r="M39" i="1"/>
  <c r="N39" i="1"/>
  <c r="A40" i="1"/>
  <c r="B40" i="1"/>
  <c r="C40" i="1"/>
  <c r="D40" i="1"/>
  <c r="I40" i="1"/>
  <c r="J40" i="1"/>
  <c r="K40" i="1"/>
  <c r="M40" i="1"/>
  <c r="N40" i="1"/>
  <c r="A41" i="1"/>
  <c r="B41" i="1"/>
  <c r="C41" i="1"/>
  <c r="D41" i="1"/>
  <c r="I41" i="1"/>
  <c r="J41" i="1"/>
  <c r="K41" i="1"/>
  <c r="M41" i="1"/>
  <c r="N41" i="1"/>
  <c r="A42" i="1"/>
  <c r="B42" i="1"/>
  <c r="C42" i="1"/>
  <c r="D42" i="1"/>
  <c r="I42" i="1"/>
  <c r="J42" i="1"/>
  <c r="K42" i="1"/>
  <c r="M42" i="1"/>
  <c r="N42" i="1"/>
  <c r="A43" i="1"/>
  <c r="B43" i="1"/>
  <c r="C43" i="1"/>
  <c r="D43" i="1"/>
  <c r="I43" i="1"/>
  <c r="J43" i="1"/>
  <c r="K43" i="1"/>
  <c r="M43" i="1"/>
  <c r="N43" i="1"/>
  <c r="A44" i="1"/>
  <c r="B44" i="1"/>
  <c r="C44" i="1"/>
  <c r="D44" i="1"/>
  <c r="I44" i="1"/>
  <c r="J44" i="1"/>
  <c r="K44" i="1"/>
  <c r="M44" i="1"/>
  <c r="N44" i="1"/>
  <c r="A45" i="1"/>
  <c r="B45" i="1"/>
  <c r="C45" i="1"/>
  <c r="D45" i="1"/>
  <c r="I45" i="1"/>
  <c r="J45" i="1"/>
  <c r="K45" i="1"/>
  <c r="M45" i="1"/>
  <c r="N45" i="1"/>
  <c r="A46" i="1"/>
  <c r="B46" i="1"/>
  <c r="C46" i="1"/>
  <c r="D46" i="1"/>
  <c r="I46" i="1"/>
  <c r="J46" i="1"/>
  <c r="K46" i="1"/>
  <c r="M46" i="1"/>
  <c r="N46" i="1"/>
  <c r="A47" i="1"/>
  <c r="B47" i="1"/>
  <c r="C47" i="1"/>
  <c r="D47" i="1"/>
  <c r="I47" i="1"/>
  <c r="J47" i="1"/>
  <c r="K47" i="1"/>
  <c r="M47" i="1"/>
  <c r="N47" i="1"/>
  <c r="A48" i="1"/>
  <c r="B48" i="1"/>
  <c r="C48" i="1"/>
  <c r="D48" i="1"/>
  <c r="I48" i="1"/>
  <c r="J48" i="1"/>
  <c r="K48" i="1"/>
  <c r="M48" i="1"/>
  <c r="N48" i="1"/>
  <c r="A49" i="1"/>
  <c r="B49" i="1"/>
  <c r="C49" i="1"/>
  <c r="D49" i="1"/>
  <c r="I49" i="1"/>
  <c r="J49" i="1"/>
  <c r="K49" i="1"/>
  <c r="M49" i="1"/>
  <c r="N49" i="1"/>
  <c r="A50" i="1"/>
  <c r="B50" i="1"/>
  <c r="C50" i="1"/>
  <c r="D50" i="1"/>
  <c r="I50" i="1"/>
  <c r="J50" i="1"/>
  <c r="K50" i="1"/>
  <c r="M50" i="1"/>
  <c r="N50" i="1"/>
  <c r="A51" i="1"/>
  <c r="B51" i="1"/>
  <c r="C51" i="1"/>
  <c r="D51" i="1"/>
  <c r="I51" i="1"/>
  <c r="J51" i="1"/>
  <c r="K51" i="1"/>
  <c r="M51" i="1"/>
  <c r="N51" i="1"/>
  <c r="A52" i="1"/>
  <c r="B52" i="1"/>
  <c r="C52" i="1"/>
  <c r="D52" i="1"/>
  <c r="I52" i="1"/>
  <c r="J52" i="1"/>
  <c r="K52" i="1"/>
  <c r="M52" i="1"/>
  <c r="N52" i="1"/>
  <c r="A53" i="1"/>
  <c r="B53" i="1"/>
  <c r="C53" i="1"/>
  <c r="D53" i="1"/>
  <c r="I53" i="1"/>
  <c r="J53" i="1"/>
  <c r="K53" i="1"/>
  <c r="M53" i="1"/>
  <c r="N53" i="1"/>
  <c r="A54" i="1"/>
  <c r="B54" i="1"/>
  <c r="C54" i="1"/>
  <c r="D54" i="1"/>
  <c r="I54" i="1"/>
  <c r="J54" i="1"/>
  <c r="K54" i="1"/>
  <c r="M54" i="1"/>
  <c r="N54" i="1"/>
  <c r="C55" i="1"/>
  <c r="J55" i="1"/>
  <c r="K55" i="1"/>
  <c r="M55" i="1"/>
  <c r="N55" i="1"/>
  <c r="I57" i="1"/>
  <c r="J57" i="1"/>
  <c r="K57" i="1"/>
  <c r="I60" i="1"/>
  <c r="J61" i="1"/>
  <c r="K61" i="1"/>
  <c r="K62" i="1"/>
</calcChain>
</file>

<file path=xl/sharedStrings.xml><?xml version="1.0" encoding="utf-8"?>
<sst xmlns="http://schemas.openxmlformats.org/spreadsheetml/2006/main" count="179" uniqueCount="38">
  <si>
    <t>date</t>
  </si>
  <si>
    <t>df</t>
  </si>
  <si>
    <t>TD's fee</t>
  </si>
  <si>
    <t>per month</t>
  </si>
  <si>
    <t>start</t>
  </si>
  <si>
    <t>spot</t>
  </si>
  <si>
    <t>March Aeco Index</t>
  </si>
  <si>
    <t xml:space="preserve">Interest Calculator: </t>
  </si>
  <si>
    <t>solve rate by setting ending balance to zero</t>
  </si>
  <si>
    <t>calculation period</t>
  </si>
  <si>
    <t>end</t>
  </si>
  <si>
    <t>days</t>
  </si>
  <si>
    <t>pmt date</t>
  </si>
  <si>
    <t>Corp</t>
  </si>
  <si>
    <t>B/S</t>
  </si>
  <si>
    <t>Option</t>
  </si>
  <si>
    <t>strike</t>
  </si>
  <si>
    <t>Enron rec</t>
  </si>
  <si>
    <t>Enron pays</t>
  </si>
  <si>
    <t>TD pays</t>
  </si>
  <si>
    <t>GJ per month</t>
  </si>
  <si>
    <t>GJ per day</t>
  </si>
  <si>
    <t>Notional</t>
  </si>
  <si>
    <t>interest</t>
  </si>
  <si>
    <t>principal</t>
  </si>
  <si>
    <t>pmt</t>
  </si>
  <si>
    <t>TD</t>
  </si>
  <si>
    <t>buys</t>
  </si>
  <si>
    <t>call</t>
  </si>
  <si>
    <t>Enron</t>
  </si>
  <si>
    <t>put</t>
  </si>
  <si>
    <t>end. bal.</t>
  </si>
  <si>
    <t>Total</t>
  </si>
  <si>
    <t>total pmt</t>
  </si>
  <si>
    <t>deal amount</t>
  </si>
  <si>
    <t>Total GJ</t>
  </si>
  <si>
    <t>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</si>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</sst>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14" fontId="3" fillId="0" borderId="0" xfId="0" applyNumberFormat="1" applyFont="1"/>
    <xf numFmtId="164" fontId="0" fillId="0" borderId="0" xfId="3" applyNumberFormat="1" applyFont="1"/>
    <xf numFmtId="0" fontId="2" fillId="0" borderId="0" xfId="0" applyFont="1" applyAlignment="1">
      <alignment horizontal="right"/>
    </xf>
    <xf numFmtId="44" fontId="4" fillId="0" borderId="0" xfId="2" applyFont="1"/>
    <xf numFmtId="0" fontId="2" fillId="0" borderId="0" xfId="0" applyFont="1"/>
    <xf numFmtId="43" fontId="0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3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44" fontId="3" fillId="0" borderId="0" xfId="2" applyFont="1"/>
    <xf numFmtId="43" fontId="3" fillId="0" borderId="0" xfId="1" applyFont="1"/>
    <xf numFmtId="43" fontId="0" fillId="0" borderId="0" xfId="0" applyNumberFormat="1"/>
    <xf numFmtId="14" fontId="0" fillId="2" borderId="0" xfId="0" applyNumberFormat="1" applyFill="1"/>
    <xf numFmtId="43" fontId="0" fillId="2" borderId="0" xfId="1" applyFont="1" applyFill="1"/>
    <xf numFmtId="0" fontId="0" fillId="2" borderId="0" xfId="0" applyFill="1"/>
    <xf numFmtId="0" fontId="0" fillId="2" borderId="0" xfId="0" applyFill="1" applyAlignment="1">
      <alignment horizontal="center"/>
    </xf>
    <xf numFmtId="44" fontId="3" fillId="2" borderId="0" xfId="2" applyFont="1" applyFill="1"/>
    <xf numFmtId="43" fontId="5" fillId="2" borderId="0" xfId="1" applyFont="1" applyFill="1"/>
    <xf numFmtId="14" fontId="0" fillId="0" borderId="0" xfId="0" applyNumberFormat="1" applyFill="1"/>
    <xf numFmtId="43" fontId="0" fillId="0" borderId="0" xfId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44" fontId="3" fillId="0" borderId="0" xfId="2" applyFont="1" applyFill="1"/>
    <xf numFmtId="14" fontId="2" fillId="0" borderId="0" xfId="0" applyNumberFormat="1" applyFont="1"/>
    <xf numFmtId="43" fontId="2" fillId="0" borderId="0" xfId="0" applyNumberFormat="1" applyFont="1"/>
    <xf numFmtId="43" fontId="2" fillId="0" borderId="4" xfId="0" applyNumberFormat="1" applyFont="1" applyBorder="1"/>
    <xf numFmtId="14" fontId="2" fillId="0" borderId="0" xfId="0" applyNumberFormat="1" applyFont="1" applyFill="1"/>
    <xf numFmtId="43" fontId="2" fillId="0" borderId="0" xfId="1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4" fontId="4" fillId="0" borderId="0" xfId="2" applyFont="1" applyFill="1"/>
    <xf numFmtId="0" fontId="2" fillId="0" borderId="3" xfId="0" applyFont="1" applyBorder="1"/>
    <xf numFmtId="43" fontId="2" fillId="0" borderId="3" xfId="0" applyNumberFormat="1" applyFont="1" applyBorder="1"/>
    <xf numFmtId="43" fontId="2" fillId="0" borderId="3" xfId="1" applyFont="1" applyBorder="1"/>
    <xf numFmtId="14" fontId="0" fillId="0" borderId="0" xfId="0" applyNumberFormat="1" applyAlignment="1">
      <alignment horizontal="center"/>
    </xf>
    <xf numFmtId="0" fontId="2" fillId="0" borderId="5" xfId="0" applyFont="1" applyBorder="1"/>
    <xf numFmtId="43" fontId="2" fillId="0" borderId="6" xfId="0" applyNumberFormat="1" applyFont="1" applyBorder="1"/>
    <xf numFmtId="0" fontId="2" fillId="0" borderId="1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6"/>
  <sheetViews>
    <sheetView tabSelected="1" zoomScale="85" workbookViewId="0">
      <selection activeCell="A14" sqref="A14"/>
    </sheetView>
  </sheetViews>
  <sheetFormatPr defaultRowHeight="12.75" x14ac:dyDescent="0.2"/>
  <cols>
    <col min="3" max="3" width="9.5703125" customWidth="1"/>
    <col min="4" max="4" width="10" customWidth="1"/>
    <col min="8" max="8" width="11.85546875" customWidth="1"/>
    <col min="9" max="10" width="16" customWidth="1"/>
    <col min="11" max="11" width="15" customWidth="1"/>
    <col min="13" max="14" width="15" customWidth="1"/>
    <col min="15" max="15" width="9" customWidth="1"/>
    <col min="17" max="17" width="15" customWidth="1"/>
    <col min="18" max="18" width="12.28515625" customWidth="1"/>
    <col min="19" max="20" width="15" customWidth="1"/>
  </cols>
  <sheetData>
    <row r="2" spans="1:20" x14ac:dyDescent="0.2">
      <c r="B2" s="1" t="s">
        <v>0</v>
      </c>
      <c r="C2" s="1" t="s">
        <v>1</v>
      </c>
      <c r="F2" s="2"/>
      <c r="H2" s="3"/>
      <c r="I2" s="4" t="s">
        <v>2</v>
      </c>
      <c r="J2" s="5">
        <v>8500</v>
      </c>
      <c r="K2" s="6" t="s">
        <v>3</v>
      </c>
    </row>
    <row r="3" spans="1:20" x14ac:dyDescent="0.2">
      <c r="A3" t="s">
        <v>4</v>
      </c>
      <c r="B3" s="2">
        <v>36516</v>
      </c>
      <c r="C3">
        <v>0.99934070886276116</v>
      </c>
      <c r="F3" s="7"/>
    </row>
    <row r="4" spans="1:20" x14ac:dyDescent="0.2">
      <c r="H4" s="4" t="s">
        <v>5</v>
      </c>
      <c r="I4" s="5">
        <v>3.1</v>
      </c>
      <c r="J4" s="8" t="s">
        <v>6</v>
      </c>
      <c r="P4" s="9" t="s">
        <v>7</v>
      </c>
      <c r="R4" s="10" t="s">
        <v>8</v>
      </c>
    </row>
    <row r="5" spans="1:20" x14ac:dyDescent="0.2">
      <c r="A5" s="44" t="s">
        <v>9</v>
      </c>
      <c r="B5" s="44"/>
      <c r="C5" s="1"/>
      <c r="R5" s="11">
        <v>5.049561711134961E-2</v>
      </c>
    </row>
    <row r="6" spans="1:20" x14ac:dyDescent="0.2">
      <c r="A6" s="12" t="s">
        <v>4</v>
      </c>
      <c r="B6" s="12" t="s">
        <v>10</v>
      </c>
      <c r="C6" s="13" t="s">
        <v>11</v>
      </c>
      <c r="D6" s="13" t="s">
        <v>12</v>
      </c>
      <c r="E6" s="13" t="s">
        <v>13</v>
      </c>
      <c r="F6" s="13" t="s">
        <v>14</v>
      </c>
      <c r="G6" s="13" t="s">
        <v>15</v>
      </c>
      <c r="H6" s="13" t="s">
        <v>16</v>
      </c>
      <c r="I6" s="13" t="s">
        <v>17</v>
      </c>
      <c r="J6" s="13" t="s">
        <v>18</v>
      </c>
      <c r="K6" s="13" t="s">
        <v>19</v>
      </c>
      <c r="L6" s="13" t="s">
        <v>1</v>
      </c>
      <c r="M6" s="13" t="s">
        <v>20</v>
      </c>
      <c r="N6" s="13" t="s">
        <v>21</v>
      </c>
      <c r="Q6" s="1" t="s">
        <v>22</v>
      </c>
      <c r="R6" s="1" t="s">
        <v>23</v>
      </c>
      <c r="S6" s="1" t="s">
        <v>24</v>
      </c>
      <c r="T6" s="1" t="s">
        <v>25</v>
      </c>
    </row>
    <row r="7" spans="1:20" x14ac:dyDescent="0.2">
      <c r="A7" s="14">
        <v>36526</v>
      </c>
      <c r="B7" s="14">
        <f t="shared" ref="B7:B54" ca="1" si="0">EDATE(A7,1)</f>
        <v>36557</v>
      </c>
      <c r="C7" s="7">
        <f ca="1">B7-A7</f>
        <v>31</v>
      </c>
      <c r="D7" s="14">
        <v>36530</v>
      </c>
      <c r="E7" t="s">
        <v>26</v>
      </c>
      <c r="F7" s="15" t="s">
        <v>27</v>
      </c>
      <c r="G7" s="15" t="s">
        <v>28</v>
      </c>
      <c r="H7" s="16">
        <v>3.2</v>
      </c>
      <c r="I7" s="7">
        <f ca="1">IF($I$4&gt;H7,H7-$I$4,0)</f>
        <v>0</v>
      </c>
      <c r="J7" s="17">
        <v>-50000</v>
      </c>
      <c r="K7" s="7">
        <f ca="1">I7*M7</f>
        <v>0</v>
      </c>
      <c r="L7">
        <v>0.99743389854434727</v>
      </c>
      <c r="M7" s="7">
        <f t="shared" ref="M7:M54" ca="1" si="1">C7/366*$I$59/$I$57</f>
        <v>1303068.5161832697</v>
      </c>
      <c r="N7" s="7">
        <f ca="1">M7/C7</f>
        <v>42034.468263976443</v>
      </c>
      <c r="P7" s="14">
        <f ca="1">D7</f>
        <v>36530</v>
      </c>
      <c r="Q7" s="18">
        <f ca="1">K61/C3</f>
        <v>19463521.363493707</v>
      </c>
      <c r="R7" s="7">
        <f t="shared" ref="R7:R18" ca="1" si="2">Q7*VLOOKUP(P7,$A$7:$N$54,3)/366*$R$5</f>
        <v>83244.530586601366</v>
      </c>
      <c r="S7" s="18">
        <f ca="1">T7-R7</f>
        <v>1610744.5404516498</v>
      </c>
      <c r="T7" s="18">
        <f t="shared" ref="T7:T18" ca="1" si="3">VLOOKUP(P7,$A$7:$N$54,14)*VLOOKUP(P7,$A$7:$N$54,3)*$I$57</f>
        <v>1693989.0710382513</v>
      </c>
    </row>
    <row r="8" spans="1:20" x14ac:dyDescent="0.2">
      <c r="A8" s="14">
        <v>36526</v>
      </c>
      <c r="B8" s="14">
        <f t="shared" ca="1" si="0"/>
        <v>36557</v>
      </c>
      <c r="C8" s="7">
        <f t="shared" ref="C8:C54" ca="1" si="4">B8-A8</f>
        <v>31</v>
      </c>
      <c r="D8" s="14">
        <f ca="1">D7</f>
        <v>36530</v>
      </c>
      <c r="E8" t="s">
        <v>29</v>
      </c>
      <c r="F8" s="15" t="s">
        <v>27</v>
      </c>
      <c r="G8" s="15" t="s">
        <v>30</v>
      </c>
      <c r="H8" s="16">
        <v>3.2</v>
      </c>
      <c r="I8" s="7">
        <f ca="1">IF($I$4&lt;H8,H8-$I$4,0)</f>
        <v>0.10000000000000009</v>
      </c>
      <c r="J8" s="7">
        <f ca="1">(H8-$I$4)*M8-J7</f>
        <v>180306.85161832708</v>
      </c>
      <c r="K8" s="7">
        <f t="shared" ref="K8:K54" ca="1" si="5">I8*M8</f>
        <v>130306.85161832708</v>
      </c>
      <c r="L8">
        <v>0.99743389854434727</v>
      </c>
      <c r="M8" s="7">
        <f t="shared" ca="1" si="1"/>
        <v>1303068.5161832697</v>
      </c>
      <c r="N8" s="7">
        <f t="shared" ref="N8:N54" ca="1" si="6">M8/C8</f>
        <v>42034.468263976443</v>
      </c>
      <c r="P8" s="14">
        <f t="shared" ref="P8:P18" ca="1" si="7">EDATE(P7,1)</f>
        <v>36561</v>
      </c>
      <c r="Q8" s="18">
        <f ca="1">Q7-S7</f>
        <v>17852776.823042057</v>
      </c>
      <c r="R8" s="7">
        <f t="shared" ca="1" si="2"/>
        <v>71429.296453799296</v>
      </c>
      <c r="S8" s="18">
        <f ca="1">T8-R8</f>
        <v>1513270.1570981131</v>
      </c>
      <c r="T8" s="18">
        <f t="shared" ca="1" si="3"/>
        <v>1584699.4535519124</v>
      </c>
    </row>
    <row r="9" spans="1:20" x14ac:dyDescent="0.2">
      <c r="A9" s="14">
        <v>36526</v>
      </c>
      <c r="B9" s="14">
        <f t="shared" ca="1" si="0"/>
        <v>36557</v>
      </c>
      <c r="C9" s="7">
        <f t="shared" ca="1" si="4"/>
        <v>31</v>
      </c>
      <c r="D9" s="14">
        <f ca="1">D8</f>
        <v>36530</v>
      </c>
      <c r="E9" t="s">
        <v>26</v>
      </c>
      <c r="F9" s="15" t="s">
        <v>27</v>
      </c>
      <c r="G9" s="15" t="s">
        <v>30</v>
      </c>
      <c r="H9" s="16">
        <v>1.9</v>
      </c>
      <c r="I9" s="7">
        <f ca="1">IF($I$4&lt;H9,$I$4-H9,0)</f>
        <v>0</v>
      </c>
      <c r="J9" s="17">
        <v>-20000</v>
      </c>
      <c r="K9" s="7">
        <f t="shared" ca="1" si="5"/>
        <v>0</v>
      </c>
      <c r="L9">
        <v>0.99743389854434727</v>
      </c>
      <c r="M9" s="7">
        <f t="shared" ca="1" si="1"/>
        <v>1303068.5161832697</v>
      </c>
      <c r="N9" s="7">
        <f t="shared" ca="1" si="6"/>
        <v>42034.468263976443</v>
      </c>
      <c r="P9" s="14">
        <f t="shared" ca="1" si="7"/>
        <v>36590</v>
      </c>
      <c r="Q9" s="18">
        <f t="shared" ref="Q9:Q19" ca="1" si="8">Q8-S8</f>
        <v>16339506.665943945</v>
      </c>
      <c r="R9" s="7">
        <f t="shared" ca="1" si="2"/>
        <v>69883.272251768736</v>
      </c>
      <c r="S9" s="18">
        <f t="shared" ref="S9:S18" ca="1" si="9">T9-R9</f>
        <v>1624105.7987864825</v>
      </c>
      <c r="T9" s="18">
        <f t="shared" ca="1" si="3"/>
        <v>1693989.0710382513</v>
      </c>
    </row>
    <row r="10" spans="1:20" x14ac:dyDescent="0.2">
      <c r="A10" s="14">
        <v>36526</v>
      </c>
      <c r="B10" s="14">
        <f t="shared" ca="1" si="0"/>
        <v>36557</v>
      </c>
      <c r="C10" s="7">
        <f t="shared" ca="1" si="4"/>
        <v>31</v>
      </c>
      <c r="D10" s="14">
        <f ca="1">D9</f>
        <v>36530</v>
      </c>
      <c r="E10" t="s">
        <v>29</v>
      </c>
      <c r="F10" s="15" t="s">
        <v>27</v>
      </c>
      <c r="G10" s="15" t="s">
        <v>28</v>
      </c>
      <c r="H10" s="16">
        <v>1.9</v>
      </c>
      <c r="I10" s="7">
        <f ca="1">IF($I$4&gt;H10,$I$4-H10,0)</f>
        <v>1.2000000000000002</v>
      </c>
      <c r="J10" s="7">
        <f ca="1">($I$4-H10)*M10-J9-($R$20/12-$J$2)</f>
        <v>1547475.6663745448</v>
      </c>
      <c r="K10" s="7">
        <f t="shared" ca="1" si="5"/>
        <v>1563682.2194199238</v>
      </c>
      <c r="L10">
        <v>0.99743389854434727</v>
      </c>
      <c r="M10" s="7">
        <f t="shared" ca="1" si="1"/>
        <v>1303068.5161832697</v>
      </c>
      <c r="N10" s="7">
        <f t="shared" ca="1" si="6"/>
        <v>42034.468263976443</v>
      </c>
      <c r="P10" s="14">
        <f t="shared" ca="1" si="7"/>
        <v>36621</v>
      </c>
      <c r="Q10" s="18">
        <f t="shared" ca="1" si="8"/>
        <v>14715400.867157463</v>
      </c>
      <c r="R10" s="7">
        <f t="shared" ca="1" si="2"/>
        <v>60906.823592459448</v>
      </c>
      <c r="S10" s="18">
        <f t="shared" ca="1" si="9"/>
        <v>1578437.4387026222</v>
      </c>
      <c r="T10" s="18">
        <f t="shared" ca="1" si="3"/>
        <v>1639344.2622950817</v>
      </c>
    </row>
    <row r="11" spans="1:20" x14ac:dyDescent="0.2">
      <c r="A11" s="19">
        <f ca="1">B7</f>
        <v>36557</v>
      </c>
      <c r="B11" s="19">
        <f t="shared" ca="1" si="0"/>
        <v>36586</v>
      </c>
      <c r="C11" s="20">
        <f t="shared" ca="1" si="4"/>
        <v>29</v>
      </c>
      <c r="D11" s="19">
        <f t="shared" ref="D11:D54" ca="1" si="10">EDATE(D7,1)</f>
        <v>36561</v>
      </c>
      <c r="E11" s="21" t="s">
        <v>26</v>
      </c>
      <c r="F11" s="22" t="s">
        <v>27</v>
      </c>
      <c r="G11" s="22" t="s">
        <v>28</v>
      </c>
      <c r="H11" s="23">
        <v>3.2</v>
      </c>
      <c r="I11" s="20">
        <f ca="1">IF($I$4&gt;H11,H11-$I$4,0)</f>
        <v>0</v>
      </c>
      <c r="J11" s="24">
        <f ca="1">J7</f>
        <v>-50000</v>
      </c>
      <c r="K11" s="20">
        <f t="shared" ca="1" si="5"/>
        <v>0</v>
      </c>
      <c r="L11" s="21">
        <v>0.99307573615113576</v>
      </c>
      <c r="M11" s="20">
        <f t="shared" ca="1" si="1"/>
        <v>1218999.5796553169</v>
      </c>
      <c r="N11" s="20">
        <f t="shared" ca="1" si="6"/>
        <v>42034.468263976443</v>
      </c>
      <c r="P11" s="14">
        <f t="shared" ca="1" si="7"/>
        <v>36651</v>
      </c>
      <c r="Q11" s="18">
        <f t="shared" ca="1" si="8"/>
        <v>13136963.428454841</v>
      </c>
      <c r="R11" s="7">
        <f t="shared" ca="1" si="2"/>
        <v>56186.151185685267</v>
      </c>
      <c r="S11" s="18">
        <f t="shared" ca="1" si="9"/>
        <v>1637802.919852566</v>
      </c>
      <c r="T11" s="18">
        <f t="shared" ca="1" si="3"/>
        <v>1693989.0710382513</v>
      </c>
    </row>
    <row r="12" spans="1:20" x14ac:dyDescent="0.2">
      <c r="A12" s="19">
        <f t="shared" ref="A12:A54" ca="1" si="11">B8</f>
        <v>36557</v>
      </c>
      <c r="B12" s="19">
        <f t="shared" ca="1" si="0"/>
        <v>36586</v>
      </c>
      <c r="C12" s="20">
        <f t="shared" ca="1" si="4"/>
        <v>29</v>
      </c>
      <c r="D12" s="19">
        <f t="shared" ca="1" si="10"/>
        <v>36561</v>
      </c>
      <c r="E12" s="21" t="s">
        <v>29</v>
      </c>
      <c r="F12" s="22" t="s">
        <v>27</v>
      </c>
      <c r="G12" s="22" t="s">
        <v>30</v>
      </c>
      <c r="H12" s="23">
        <v>3.2</v>
      </c>
      <c r="I12" s="20">
        <f ca="1">IF($I$4&lt;H12,H12-$I$4,0)</f>
        <v>0.10000000000000009</v>
      </c>
      <c r="J12" s="20">
        <f ca="1">(H12-$I$4)*M12-J11</f>
        <v>171899.95796553179</v>
      </c>
      <c r="K12" s="20">
        <f t="shared" ca="1" si="5"/>
        <v>121899.95796553179</v>
      </c>
      <c r="L12" s="21">
        <v>0.99307573615113576</v>
      </c>
      <c r="M12" s="20">
        <f t="shared" ca="1" si="1"/>
        <v>1218999.5796553169</v>
      </c>
      <c r="N12" s="20">
        <f t="shared" ca="1" si="6"/>
        <v>42034.468263976443</v>
      </c>
      <c r="P12" s="14">
        <f t="shared" ca="1" si="7"/>
        <v>36682</v>
      </c>
      <c r="Q12" s="18">
        <f t="shared" ca="1" si="8"/>
        <v>11499160.508602275</v>
      </c>
      <c r="R12" s="7">
        <f t="shared" ca="1" si="2"/>
        <v>47594.852962650228</v>
      </c>
      <c r="S12" s="18">
        <f t="shared" ca="1" si="9"/>
        <v>1591749.4093324316</v>
      </c>
      <c r="T12" s="18">
        <f t="shared" ca="1" si="3"/>
        <v>1639344.2622950817</v>
      </c>
    </row>
    <row r="13" spans="1:20" x14ac:dyDescent="0.2">
      <c r="A13" s="19">
        <f t="shared" ca="1" si="11"/>
        <v>36557</v>
      </c>
      <c r="B13" s="19">
        <f t="shared" ca="1" si="0"/>
        <v>36586</v>
      </c>
      <c r="C13" s="20">
        <f t="shared" ca="1" si="4"/>
        <v>29</v>
      </c>
      <c r="D13" s="19">
        <f t="shared" ca="1" si="10"/>
        <v>36561</v>
      </c>
      <c r="E13" s="21" t="s">
        <v>26</v>
      </c>
      <c r="F13" s="22" t="s">
        <v>27</v>
      </c>
      <c r="G13" s="22" t="s">
        <v>30</v>
      </c>
      <c r="H13" s="23">
        <v>1.9</v>
      </c>
      <c r="I13" s="20">
        <f ca="1">IF($I$4&lt;H13,$I$4-H13,0)</f>
        <v>0</v>
      </c>
      <c r="J13" s="24">
        <f ca="1">J9</f>
        <v>-20000</v>
      </c>
      <c r="K13" s="20">
        <f t="shared" ca="1" si="5"/>
        <v>0</v>
      </c>
      <c r="L13" s="21">
        <v>0.99307573615113576</v>
      </c>
      <c r="M13" s="20">
        <f t="shared" ca="1" si="1"/>
        <v>1218999.5796553169</v>
      </c>
      <c r="N13" s="20">
        <f t="shared" ca="1" si="6"/>
        <v>42034.468263976443</v>
      </c>
      <c r="P13" s="14">
        <f t="shared" ca="1" si="7"/>
        <v>36712</v>
      </c>
      <c r="Q13" s="18">
        <f t="shared" ca="1" si="8"/>
        <v>9907411.0992698427</v>
      </c>
      <c r="R13" s="7">
        <f t="shared" ca="1" si="2"/>
        <v>42373.513553107718</v>
      </c>
      <c r="S13" s="18">
        <f t="shared" ca="1" si="9"/>
        <v>1651615.5574851437</v>
      </c>
      <c r="T13" s="18">
        <f t="shared" ca="1" si="3"/>
        <v>1693989.0710382513</v>
      </c>
    </row>
    <row r="14" spans="1:20" x14ac:dyDescent="0.2">
      <c r="A14" s="19">
        <f t="shared" ca="1" si="11"/>
        <v>36557</v>
      </c>
      <c r="B14" s="19">
        <f t="shared" ca="1" si="0"/>
        <v>36586</v>
      </c>
      <c r="C14" s="20">
        <f t="shared" ca="1" si="4"/>
        <v>29</v>
      </c>
      <c r="D14" s="19">
        <f t="shared" ca="1" si="10"/>
        <v>36561</v>
      </c>
      <c r="E14" s="21" t="s">
        <v>29</v>
      </c>
      <c r="F14" s="22" t="s">
        <v>27</v>
      </c>
      <c r="G14" s="22" t="s">
        <v>28</v>
      </c>
      <c r="H14" s="23">
        <v>1.9</v>
      </c>
      <c r="I14" s="20">
        <f ca="1">IF($I$4&gt;H14,$I$4-H14,0)</f>
        <v>1.2000000000000002</v>
      </c>
      <c r="J14" s="20">
        <f ca="1">($I$4-H14)*M14-J13-($R$20/12-$J$2)</f>
        <v>1446592.9425410016</v>
      </c>
      <c r="K14" s="20">
        <f t="shared" ca="1" si="5"/>
        <v>1462799.4955863806</v>
      </c>
      <c r="L14" s="21">
        <v>0.99307573615113576</v>
      </c>
      <c r="M14" s="20">
        <f t="shared" ca="1" si="1"/>
        <v>1218999.5796553169</v>
      </c>
      <c r="N14" s="20">
        <f t="shared" ca="1" si="6"/>
        <v>42034.468263976443</v>
      </c>
      <c r="P14" s="14">
        <f t="shared" ca="1" si="7"/>
        <v>36743</v>
      </c>
      <c r="Q14" s="18">
        <f t="shared" ca="1" si="8"/>
        <v>8255795.5417846991</v>
      </c>
      <c r="R14" s="7">
        <f t="shared" ca="1" si="2"/>
        <v>35309.634452060018</v>
      </c>
      <c r="S14" s="18">
        <f t="shared" ca="1" si="9"/>
        <v>1658679.4365861912</v>
      </c>
      <c r="T14" s="18">
        <f t="shared" ca="1" si="3"/>
        <v>1693989.0710382513</v>
      </c>
    </row>
    <row r="15" spans="1:20" x14ac:dyDescent="0.2">
      <c r="A15" s="25">
        <f ca="1">B11</f>
        <v>36586</v>
      </c>
      <c r="B15" s="25">
        <f t="shared" ca="1" si="0"/>
        <v>36617</v>
      </c>
      <c r="C15" s="26">
        <f t="shared" ca="1" si="4"/>
        <v>31</v>
      </c>
      <c r="D15" s="25">
        <f t="shared" ca="1" si="10"/>
        <v>36590</v>
      </c>
      <c r="E15" s="27" t="s">
        <v>26</v>
      </c>
      <c r="F15" s="28" t="s">
        <v>27</v>
      </c>
      <c r="G15" s="28" t="s">
        <v>28</v>
      </c>
      <c r="H15" s="29">
        <v>3.2</v>
      </c>
      <c r="I15" s="26">
        <f ca="1">IF($I$4&gt;H15,H15-$I$4,0)</f>
        <v>0</v>
      </c>
      <c r="J15" s="26">
        <f ca="1">J11</f>
        <v>-50000</v>
      </c>
      <c r="K15" s="26">
        <f t="shared" ca="1" si="5"/>
        <v>0</v>
      </c>
      <c r="L15" s="27">
        <v>0.98899902146723928</v>
      </c>
      <c r="M15" s="26">
        <f t="shared" ca="1" si="1"/>
        <v>1303068.5161832697</v>
      </c>
      <c r="N15" s="26">
        <f t="shared" ca="1" si="6"/>
        <v>42034.468263976443</v>
      </c>
      <c r="P15" s="14">
        <f t="shared" ca="1" si="7"/>
        <v>36774</v>
      </c>
      <c r="Q15" s="18">
        <f t="shared" ca="1" si="8"/>
        <v>6597116.1051985081</v>
      </c>
      <c r="R15" s="7">
        <f t="shared" ca="1" si="2"/>
        <v>27305.364662887041</v>
      </c>
      <c r="S15" s="18">
        <f t="shared" ca="1" si="9"/>
        <v>1612038.8976321947</v>
      </c>
      <c r="T15" s="18">
        <f t="shared" ca="1" si="3"/>
        <v>1639344.2622950817</v>
      </c>
    </row>
    <row r="16" spans="1:20" x14ac:dyDescent="0.2">
      <c r="A16" s="25">
        <f t="shared" ca="1" si="11"/>
        <v>36586</v>
      </c>
      <c r="B16" s="25">
        <f t="shared" ca="1" si="0"/>
        <v>36617</v>
      </c>
      <c r="C16" s="26">
        <f t="shared" ca="1" si="4"/>
        <v>31</v>
      </c>
      <c r="D16" s="25">
        <f t="shared" ca="1" si="10"/>
        <v>36590</v>
      </c>
      <c r="E16" s="27" t="s">
        <v>29</v>
      </c>
      <c r="F16" s="28" t="s">
        <v>27</v>
      </c>
      <c r="G16" s="28" t="s">
        <v>30</v>
      </c>
      <c r="H16" s="29">
        <v>3.2</v>
      </c>
      <c r="I16" s="26">
        <f ca="1">IF($I$4&lt;H16,H16-$I$4,0)</f>
        <v>0.10000000000000009</v>
      </c>
      <c r="J16" s="26">
        <f ca="1">(H16-$I$4)*M16-J15</f>
        <v>180306.85161832708</v>
      </c>
      <c r="K16" s="26">
        <f t="shared" ca="1" si="5"/>
        <v>130306.85161832708</v>
      </c>
      <c r="L16" s="27">
        <v>0.98899902146723928</v>
      </c>
      <c r="M16" s="26">
        <f t="shared" ca="1" si="1"/>
        <v>1303068.5161832697</v>
      </c>
      <c r="N16" s="26">
        <f t="shared" ca="1" si="6"/>
        <v>42034.468263976443</v>
      </c>
      <c r="P16" s="14">
        <f t="shared" ca="1" si="7"/>
        <v>36804</v>
      </c>
      <c r="Q16" s="18">
        <f t="shared" ca="1" si="8"/>
        <v>4985077.2075663134</v>
      </c>
      <c r="R16" s="7">
        <f t="shared" ca="1" si="2"/>
        <v>21320.931825839667</v>
      </c>
      <c r="S16" s="18">
        <f t="shared" ca="1" si="9"/>
        <v>1672668.1392124116</v>
      </c>
      <c r="T16" s="18">
        <f t="shared" ca="1" si="3"/>
        <v>1693989.0710382513</v>
      </c>
    </row>
    <row r="17" spans="1:20" x14ac:dyDescent="0.2">
      <c r="A17" s="25">
        <f t="shared" ca="1" si="11"/>
        <v>36586</v>
      </c>
      <c r="B17" s="25">
        <f t="shared" ca="1" si="0"/>
        <v>36617</v>
      </c>
      <c r="C17" s="26">
        <f t="shared" ca="1" si="4"/>
        <v>31</v>
      </c>
      <c r="D17" s="25">
        <f t="shared" ca="1" si="10"/>
        <v>36590</v>
      </c>
      <c r="E17" s="27" t="s">
        <v>26</v>
      </c>
      <c r="F17" s="28" t="s">
        <v>27</v>
      </c>
      <c r="G17" s="28" t="s">
        <v>30</v>
      </c>
      <c r="H17" s="29">
        <v>1.9</v>
      </c>
      <c r="I17" s="26">
        <f ca="1">IF($I$4&lt;H17,$I$4-H17,0)</f>
        <v>0</v>
      </c>
      <c r="J17" s="26">
        <f ca="1">J13</f>
        <v>-20000</v>
      </c>
      <c r="K17" s="26">
        <f t="shared" ca="1" si="5"/>
        <v>0</v>
      </c>
      <c r="L17" s="27">
        <v>0.98899902146723928</v>
      </c>
      <c r="M17" s="26">
        <f t="shared" ca="1" si="1"/>
        <v>1303068.5161832697</v>
      </c>
      <c r="N17" s="26">
        <f t="shared" ca="1" si="6"/>
        <v>42034.468263976443</v>
      </c>
      <c r="P17" s="14">
        <f t="shared" ca="1" si="7"/>
        <v>36835</v>
      </c>
      <c r="Q17" s="18">
        <f t="shared" ca="1" si="8"/>
        <v>3312409.0683539016</v>
      </c>
      <c r="R17" s="7">
        <f t="shared" ca="1" si="2"/>
        <v>13710.01147801319</v>
      </c>
      <c r="S17" s="18">
        <f t="shared" ca="1" si="9"/>
        <v>1625634.2508170686</v>
      </c>
      <c r="T17" s="18">
        <f t="shared" ca="1" si="3"/>
        <v>1639344.2622950817</v>
      </c>
    </row>
    <row r="18" spans="1:20" x14ac:dyDescent="0.2">
      <c r="A18" s="25">
        <f t="shared" ca="1" si="11"/>
        <v>36586</v>
      </c>
      <c r="B18" s="25">
        <f t="shared" ca="1" si="0"/>
        <v>36617</v>
      </c>
      <c r="C18" s="26">
        <f t="shared" ca="1" si="4"/>
        <v>31</v>
      </c>
      <c r="D18" s="25">
        <f t="shared" ca="1" si="10"/>
        <v>36590</v>
      </c>
      <c r="E18" s="27" t="s">
        <v>29</v>
      </c>
      <c r="F18" s="28" t="s">
        <v>27</v>
      </c>
      <c r="G18" s="28" t="s">
        <v>28</v>
      </c>
      <c r="H18" s="29">
        <v>1.9</v>
      </c>
      <c r="I18" s="26">
        <f ca="1">IF($I$4&gt;H18,$I$4-H18,0)</f>
        <v>1.2000000000000002</v>
      </c>
      <c r="J18" s="26">
        <f ca="1">($I$4-H18)*M18-J17-($R$20/12-$J$2)</f>
        <v>1547475.6663745448</v>
      </c>
      <c r="K18" s="26">
        <f t="shared" ca="1" si="5"/>
        <v>1563682.2194199238</v>
      </c>
      <c r="L18" s="27">
        <v>0.98899902146723928</v>
      </c>
      <c r="M18" s="26">
        <f t="shared" ca="1" si="1"/>
        <v>1303068.5161832697</v>
      </c>
      <c r="N18" s="26">
        <f t="shared" ca="1" si="6"/>
        <v>42034.468263976443</v>
      </c>
      <c r="P18" s="14">
        <f t="shared" ca="1" si="7"/>
        <v>36865</v>
      </c>
      <c r="Q18" s="18">
        <f t="shared" ca="1" si="8"/>
        <v>1686774.817536833</v>
      </c>
      <c r="R18" s="7">
        <f t="shared" ca="1" si="2"/>
        <v>7214.2535396765079</v>
      </c>
      <c r="S18" s="18">
        <f t="shared" ca="1" si="9"/>
        <v>1686774.8174985747</v>
      </c>
      <c r="T18" s="18">
        <f t="shared" ca="1" si="3"/>
        <v>1693989.0710382513</v>
      </c>
    </row>
    <row r="19" spans="1:20" x14ac:dyDescent="0.2">
      <c r="A19" s="19">
        <f ca="1">B15</f>
        <v>36617</v>
      </c>
      <c r="B19" s="19">
        <f t="shared" ca="1" si="0"/>
        <v>36647</v>
      </c>
      <c r="C19" s="20">
        <f t="shared" ca="1" si="4"/>
        <v>30</v>
      </c>
      <c r="D19" s="19">
        <f t="shared" ca="1" si="10"/>
        <v>36621</v>
      </c>
      <c r="E19" s="21" t="s">
        <v>26</v>
      </c>
      <c r="F19" s="22" t="s">
        <v>27</v>
      </c>
      <c r="G19" s="22" t="s">
        <v>28</v>
      </c>
      <c r="H19" s="23">
        <v>3.2</v>
      </c>
      <c r="I19" s="20">
        <f ca="1">IF($I$4&gt;H19,H19-$I$4,0)</f>
        <v>0</v>
      </c>
      <c r="J19" s="24">
        <f ca="1">J15</f>
        <v>-50000</v>
      </c>
      <c r="K19" s="20">
        <f t="shared" ca="1" si="5"/>
        <v>0</v>
      </c>
      <c r="L19" s="21">
        <v>0.98453971545447949</v>
      </c>
      <c r="M19" s="20">
        <f t="shared" ca="1" si="1"/>
        <v>1261034.0479192932</v>
      </c>
      <c r="N19" s="20">
        <f t="shared" ca="1" si="6"/>
        <v>42034.468263976436</v>
      </c>
      <c r="P19" s="30" t="s">
        <v>31</v>
      </c>
      <c r="Q19" s="31">
        <f t="shared" ca="1" si="8"/>
        <v>3.825826570391655E-5</v>
      </c>
    </row>
    <row r="20" spans="1:20" x14ac:dyDescent="0.2">
      <c r="A20" s="19">
        <f t="shared" ca="1" si="11"/>
        <v>36617</v>
      </c>
      <c r="B20" s="19">
        <f t="shared" ca="1" si="0"/>
        <v>36647</v>
      </c>
      <c r="C20" s="20">
        <f t="shared" ca="1" si="4"/>
        <v>30</v>
      </c>
      <c r="D20" s="19">
        <f t="shared" ca="1" si="10"/>
        <v>36621</v>
      </c>
      <c r="E20" s="21" t="s">
        <v>29</v>
      </c>
      <c r="F20" s="22" t="s">
        <v>27</v>
      </c>
      <c r="G20" s="22" t="s">
        <v>30</v>
      </c>
      <c r="H20" s="23">
        <v>3.2</v>
      </c>
      <c r="I20" s="20">
        <f ca="1">IF($I$4&lt;H20,H20-$I$4,0)</f>
        <v>0.10000000000000009</v>
      </c>
      <c r="J20" s="20">
        <f ca="1">(H20-$I$4)*M20-J19</f>
        <v>176103.40479192941</v>
      </c>
      <c r="K20" s="20">
        <f t="shared" ca="1" si="5"/>
        <v>126103.40479192942</v>
      </c>
      <c r="L20" s="21">
        <v>0.98453971545447949</v>
      </c>
      <c r="M20" s="20">
        <f t="shared" ca="1" si="1"/>
        <v>1261034.0479192932</v>
      </c>
      <c r="N20" s="20">
        <f t="shared" ca="1" si="6"/>
        <v>42034.468263976436</v>
      </c>
      <c r="P20" s="30" t="s">
        <v>32</v>
      </c>
      <c r="Q20" s="6"/>
      <c r="R20" s="32">
        <f ca="1">SUM(R7:R18)</f>
        <v>536478.63654454856</v>
      </c>
      <c r="S20" s="32">
        <f ca="1">SUM(S7:S18)</f>
        <v>19463521.363455452</v>
      </c>
      <c r="T20" s="32">
        <f ca="1">SUM(T7:T18)</f>
        <v>20000000</v>
      </c>
    </row>
    <row r="21" spans="1:20" x14ac:dyDescent="0.2">
      <c r="A21" s="19">
        <f t="shared" ca="1" si="11"/>
        <v>36617</v>
      </c>
      <c r="B21" s="19">
        <f t="shared" ca="1" si="0"/>
        <v>36647</v>
      </c>
      <c r="C21" s="20">
        <f t="shared" ca="1" si="4"/>
        <v>30</v>
      </c>
      <c r="D21" s="19">
        <f t="shared" ca="1" si="10"/>
        <v>36621</v>
      </c>
      <c r="E21" s="21" t="s">
        <v>26</v>
      </c>
      <c r="F21" s="22" t="s">
        <v>27</v>
      </c>
      <c r="G21" s="22" t="s">
        <v>30</v>
      </c>
      <c r="H21" s="23">
        <v>1.9</v>
      </c>
      <c r="I21" s="20">
        <f ca="1">IF($I$4&lt;H21,$I$4-H21,0)</f>
        <v>0</v>
      </c>
      <c r="J21" s="24">
        <f ca="1">J17</f>
        <v>-20000</v>
      </c>
      <c r="K21" s="20">
        <f t="shared" ca="1" si="5"/>
        <v>0</v>
      </c>
      <c r="L21" s="21">
        <v>0.98453971545447949</v>
      </c>
      <c r="M21" s="20">
        <f t="shared" ca="1" si="1"/>
        <v>1261034.0479192932</v>
      </c>
      <c r="N21" s="20">
        <f t="shared" ca="1" si="6"/>
        <v>42034.468263976436</v>
      </c>
      <c r="P21" s="14"/>
    </row>
    <row r="22" spans="1:20" x14ac:dyDescent="0.2">
      <c r="A22" s="19">
        <f t="shared" ca="1" si="11"/>
        <v>36617</v>
      </c>
      <c r="B22" s="19">
        <f t="shared" ca="1" si="0"/>
        <v>36647</v>
      </c>
      <c r="C22" s="20">
        <f t="shared" ca="1" si="4"/>
        <v>30</v>
      </c>
      <c r="D22" s="19">
        <f t="shared" ca="1" si="10"/>
        <v>36621</v>
      </c>
      <c r="E22" s="21" t="s">
        <v>29</v>
      </c>
      <c r="F22" s="22" t="s">
        <v>27</v>
      </c>
      <c r="G22" s="22" t="s">
        <v>28</v>
      </c>
      <c r="H22" s="23">
        <v>1.9</v>
      </c>
      <c r="I22" s="20">
        <f ca="1">IF($I$4&gt;H22,$I$4-H22,0)</f>
        <v>1.2000000000000002</v>
      </c>
      <c r="J22" s="20">
        <f ca="1">($I$4-H22)*M22-J21-($R$20/12-$J$2)</f>
        <v>1497034.304457773</v>
      </c>
      <c r="K22" s="20">
        <f t="shared" ca="1" si="5"/>
        <v>1513240.857503152</v>
      </c>
      <c r="L22" s="21">
        <v>0.98453971545447949</v>
      </c>
      <c r="M22" s="20">
        <f t="shared" ca="1" si="1"/>
        <v>1261034.0479192932</v>
      </c>
      <c r="N22" s="20">
        <f t="shared" ca="1" si="6"/>
        <v>42034.468263976436</v>
      </c>
      <c r="P22" s="14"/>
    </row>
    <row r="23" spans="1:20" x14ac:dyDescent="0.2">
      <c r="A23" s="25">
        <f ca="1">B19</f>
        <v>36647</v>
      </c>
      <c r="B23" s="25">
        <f t="shared" ca="1" si="0"/>
        <v>36678</v>
      </c>
      <c r="C23" s="26">
        <f t="shared" ca="1" si="4"/>
        <v>31</v>
      </c>
      <c r="D23" s="25">
        <f t="shared" ca="1" si="10"/>
        <v>36651</v>
      </c>
      <c r="E23" s="27" t="s">
        <v>26</v>
      </c>
      <c r="F23" s="28" t="s">
        <v>27</v>
      </c>
      <c r="G23" s="28" t="s">
        <v>28</v>
      </c>
      <c r="H23" s="29">
        <v>3.2</v>
      </c>
      <c r="I23" s="26">
        <f ca="1">IF($I$4&gt;H23,H23-$I$4,0)</f>
        <v>0</v>
      </c>
      <c r="J23" s="26">
        <f ca="1">J19</f>
        <v>-50000</v>
      </c>
      <c r="K23" s="26">
        <f t="shared" ca="1" si="5"/>
        <v>0</v>
      </c>
      <c r="L23" s="27">
        <v>0.98010975144653534</v>
      </c>
      <c r="M23" s="26">
        <f t="shared" ca="1" si="1"/>
        <v>1303068.5161832697</v>
      </c>
      <c r="N23" s="26">
        <f t="shared" ca="1" si="6"/>
        <v>42034.468263976443</v>
      </c>
      <c r="P23" s="14"/>
    </row>
    <row r="24" spans="1:20" x14ac:dyDescent="0.2">
      <c r="A24" s="25">
        <f t="shared" ca="1" si="11"/>
        <v>36647</v>
      </c>
      <c r="B24" s="25">
        <f t="shared" ca="1" si="0"/>
        <v>36678</v>
      </c>
      <c r="C24" s="26">
        <f t="shared" ca="1" si="4"/>
        <v>31</v>
      </c>
      <c r="D24" s="25">
        <f t="shared" ca="1" si="10"/>
        <v>36651</v>
      </c>
      <c r="E24" s="27" t="s">
        <v>29</v>
      </c>
      <c r="F24" s="28" t="s">
        <v>27</v>
      </c>
      <c r="G24" s="28" t="s">
        <v>30</v>
      </c>
      <c r="H24" s="29">
        <v>3.2</v>
      </c>
      <c r="I24" s="26">
        <f ca="1">IF($I$4&lt;H24,H24-$I$4,0)</f>
        <v>0.10000000000000009</v>
      </c>
      <c r="J24" s="26">
        <f ca="1">(H24-$I$4)*M24-J23</f>
        <v>180306.85161832708</v>
      </c>
      <c r="K24" s="26">
        <f t="shared" ca="1" si="5"/>
        <v>130306.85161832708</v>
      </c>
      <c r="L24" s="27">
        <v>0.98010975144653534</v>
      </c>
      <c r="M24" s="26">
        <f t="shared" ca="1" si="1"/>
        <v>1303068.5161832697</v>
      </c>
      <c r="N24" s="26">
        <f t="shared" ca="1" si="6"/>
        <v>42034.468263976443</v>
      </c>
      <c r="P24" s="14"/>
    </row>
    <row r="25" spans="1:20" x14ac:dyDescent="0.2">
      <c r="A25" s="25">
        <f t="shared" ca="1" si="11"/>
        <v>36647</v>
      </c>
      <c r="B25" s="25">
        <f t="shared" ca="1" si="0"/>
        <v>36678</v>
      </c>
      <c r="C25" s="26">
        <f t="shared" ca="1" si="4"/>
        <v>31</v>
      </c>
      <c r="D25" s="25">
        <f t="shared" ca="1" si="10"/>
        <v>36651</v>
      </c>
      <c r="E25" s="27" t="s">
        <v>26</v>
      </c>
      <c r="F25" s="28" t="s">
        <v>27</v>
      </c>
      <c r="G25" s="28" t="s">
        <v>30</v>
      </c>
      <c r="H25" s="29">
        <v>1.9</v>
      </c>
      <c r="I25" s="26">
        <f ca="1">IF($I$4&lt;H25,$I$4-H25,0)</f>
        <v>0</v>
      </c>
      <c r="J25" s="26">
        <f ca="1">J21</f>
        <v>-20000</v>
      </c>
      <c r="K25" s="26">
        <f t="shared" ca="1" si="5"/>
        <v>0</v>
      </c>
      <c r="L25" s="27">
        <v>0.98010975144653534</v>
      </c>
      <c r="M25" s="26">
        <f t="shared" ca="1" si="1"/>
        <v>1303068.5161832697</v>
      </c>
      <c r="N25" s="26">
        <f t="shared" ca="1" si="6"/>
        <v>42034.468263976443</v>
      </c>
      <c r="P25" s="14"/>
    </row>
    <row r="26" spans="1:20" x14ac:dyDescent="0.2">
      <c r="A26" s="25">
        <f t="shared" ca="1" si="11"/>
        <v>36647</v>
      </c>
      <c r="B26" s="25">
        <f t="shared" ca="1" si="0"/>
        <v>36678</v>
      </c>
      <c r="C26" s="26">
        <f t="shared" ca="1" si="4"/>
        <v>31</v>
      </c>
      <c r="D26" s="25">
        <f t="shared" ca="1" si="10"/>
        <v>36651</v>
      </c>
      <c r="E26" s="27" t="s">
        <v>29</v>
      </c>
      <c r="F26" s="28" t="s">
        <v>27</v>
      </c>
      <c r="G26" s="28" t="s">
        <v>28</v>
      </c>
      <c r="H26" s="29">
        <v>1.9</v>
      </c>
      <c r="I26" s="26">
        <f ca="1">IF($I$4&gt;H26,$I$4-H26,0)</f>
        <v>1.2000000000000002</v>
      </c>
      <c r="J26" s="26">
        <f ca="1">($I$4-H26)*M26-J25-($R$20/12-$J$2)</f>
        <v>1547475.6663745448</v>
      </c>
      <c r="K26" s="26">
        <f t="shared" ca="1" si="5"/>
        <v>1563682.2194199238</v>
      </c>
      <c r="L26" s="27">
        <v>0.98010975144653534</v>
      </c>
      <c r="M26" s="26">
        <f t="shared" ca="1" si="1"/>
        <v>1303068.5161832697</v>
      </c>
      <c r="N26" s="26">
        <f t="shared" ca="1" si="6"/>
        <v>42034.468263976443</v>
      </c>
      <c r="P26" s="14"/>
    </row>
    <row r="27" spans="1:20" x14ac:dyDescent="0.2">
      <c r="A27" s="19">
        <f ca="1">B23</f>
        <v>36678</v>
      </c>
      <c r="B27" s="19">
        <f t="shared" ca="1" si="0"/>
        <v>36708</v>
      </c>
      <c r="C27" s="20">
        <f t="shared" ca="1" si="4"/>
        <v>30</v>
      </c>
      <c r="D27" s="19">
        <f t="shared" ca="1" si="10"/>
        <v>36682</v>
      </c>
      <c r="E27" s="21" t="s">
        <v>26</v>
      </c>
      <c r="F27" s="22" t="s">
        <v>27</v>
      </c>
      <c r="G27" s="22" t="s">
        <v>28</v>
      </c>
      <c r="H27" s="23">
        <v>3.2</v>
      </c>
      <c r="I27" s="20">
        <f ca="1">IF($I$4&gt;H27,H27-$I$4,0)</f>
        <v>0</v>
      </c>
      <c r="J27" s="24">
        <f ca="1">J23</f>
        <v>-50000</v>
      </c>
      <c r="K27" s="20">
        <f t="shared" ca="1" si="5"/>
        <v>0</v>
      </c>
      <c r="L27" s="21">
        <v>0.97543873334774545</v>
      </c>
      <c r="M27" s="20">
        <f t="shared" ca="1" si="1"/>
        <v>1261034.0479192932</v>
      </c>
      <c r="N27" s="20">
        <f t="shared" ca="1" si="6"/>
        <v>42034.468263976436</v>
      </c>
    </row>
    <row r="28" spans="1:20" x14ac:dyDescent="0.2">
      <c r="A28" s="19">
        <f t="shared" ca="1" si="11"/>
        <v>36678</v>
      </c>
      <c r="B28" s="19">
        <f t="shared" ca="1" si="0"/>
        <v>36708</v>
      </c>
      <c r="C28" s="20">
        <f t="shared" ca="1" si="4"/>
        <v>30</v>
      </c>
      <c r="D28" s="19">
        <f t="shared" ca="1" si="10"/>
        <v>36682</v>
      </c>
      <c r="E28" s="21" t="s">
        <v>29</v>
      </c>
      <c r="F28" s="22" t="s">
        <v>27</v>
      </c>
      <c r="G28" s="22" t="s">
        <v>30</v>
      </c>
      <c r="H28" s="23">
        <v>3.2</v>
      </c>
      <c r="I28" s="20">
        <f ca="1">IF($I$4&lt;H28,H28-$I$4,0)</f>
        <v>0.10000000000000009</v>
      </c>
      <c r="J28" s="20">
        <f ca="1">(H28-$I$4)*M28-J27</f>
        <v>176103.40479192941</v>
      </c>
      <c r="K28" s="20">
        <f t="shared" ca="1" si="5"/>
        <v>126103.40479192942</v>
      </c>
      <c r="L28" s="21">
        <v>0.97543873334774545</v>
      </c>
      <c r="M28" s="20">
        <f t="shared" ca="1" si="1"/>
        <v>1261034.0479192932</v>
      </c>
      <c r="N28" s="20">
        <f t="shared" ca="1" si="6"/>
        <v>42034.468263976436</v>
      </c>
    </row>
    <row r="29" spans="1:20" x14ac:dyDescent="0.2">
      <c r="A29" s="19">
        <f t="shared" ca="1" si="11"/>
        <v>36678</v>
      </c>
      <c r="B29" s="19">
        <f t="shared" ca="1" si="0"/>
        <v>36708</v>
      </c>
      <c r="C29" s="20">
        <f t="shared" ca="1" si="4"/>
        <v>30</v>
      </c>
      <c r="D29" s="19">
        <f t="shared" ca="1" si="10"/>
        <v>36682</v>
      </c>
      <c r="E29" s="21" t="s">
        <v>26</v>
      </c>
      <c r="F29" s="22" t="s">
        <v>27</v>
      </c>
      <c r="G29" s="22" t="s">
        <v>30</v>
      </c>
      <c r="H29" s="23">
        <v>1.9</v>
      </c>
      <c r="I29" s="20">
        <f ca="1">IF($I$4&lt;H29,$I$4-H29,0)</f>
        <v>0</v>
      </c>
      <c r="J29" s="24">
        <f ca="1">J25</f>
        <v>-20000</v>
      </c>
      <c r="K29" s="20">
        <f t="shared" ca="1" si="5"/>
        <v>0</v>
      </c>
      <c r="L29" s="21">
        <v>0.97543873334774545</v>
      </c>
      <c r="M29" s="20">
        <f t="shared" ca="1" si="1"/>
        <v>1261034.0479192932</v>
      </c>
      <c r="N29" s="20">
        <f t="shared" ca="1" si="6"/>
        <v>42034.468263976436</v>
      </c>
    </row>
    <row r="30" spans="1:20" x14ac:dyDescent="0.2">
      <c r="A30" s="19">
        <f t="shared" ca="1" si="11"/>
        <v>36678</v>
      </c>
      <c r="B30" s="19">
        <f t="shared" ca="1" si="0"/>
        <v>36708</v>
      </c>
      <c r="C30" s="20">
        <f t="shared" ca="1" si="4"/>
        <v>30</v>
      </c>
      <c r="D30" s="19">
        <f t="shared" ca="1" si="10"/>
        <v>36682</v>
      </c>
      <c r="E30" s="21" t="s">
        <v>29</v>
      </c>
      <c r="F30" s="22" t="s">
        <v>27</v>
      </c>
      <c r="G30" s="22" t="s">
        <v>28</v>
      </c>
      <c r="H30" s="23">
        <v>1.9</v>
      </c>
      <c r="I30" s="20">
        <f ca="1">IF($I$4&gt;H30,$I$4-H30,0)</f>
        <v>1.2000000000000002</v>
      </c>
      <c r="J30" s="20">
        <f ca="1">($I$4-H30)*M30-J29-($R$20/12-$J$2)</f>
        <v>1497034.304457773</v>
      </c>
      <c r="K30" s="20">
        <f t="shared" ca="1" si="5"/>
        <v>1513240.857503152</v>
      </c>
      <c r="L30" s="21">
        <v>0.97543873334774545</v>
      </c>
      <c r="M30" s="20">
        <f t="shared" ca="1" si="1"/>
        <v>1261034.0479192932</v>
      </c>
      <c r="N30" s="20">
        <f t="shared" ca="1" si="6"/>
        <v>42034.468263976436</v>
      </c>
    </row>
    <row r="31" spans="1:20" x14ac:dyDescent="0.2">
      <c r="A31" s="25">
        <f ca="1">B27</f>
        <v>36708</v>
      </c>
      <c r="B31" s="25">
        <f t="shared" ca="1" si="0"/>
        <v>36739</v>
      </c>
      <c r="C31" s="26">
        <f t="shared" ca="1" si="4"/>
        <v>31</v>
      </c>
      <c r="D31" s="25">
        <f t="shared" ca="1" si="10"/>
        <v>36712</v>
      </c>
      <c r="E31" s="27" t="s">
        <v>26</v>
      </c>
      <c r="F31" s="28" t="s">
        <v>27</v>
      </c>
      <c r="G31" s="28" t="s">
        <v>28</v>
      </c>
      <c r="H31" s="29">
        <v>3.2</v>
      </c>
      <c r="I31" s="26">
        <f ca="1">IF($I$4&gt;H31,H31-$I$4,0)</f>
        <v>0</v>
      </c>
      <c r="J31" s="26">
        <f ca="1">J27</f>
        <v>-50000</v>
      </c>
      <c r="K31" s="26">
        <f t="shared" ca="1" si="5"/>
        <v>0</v>
      </c>
      <c r="L31" s="27">
        <v>0.97083040126380382</v>
      </c>
      <c r="M31" s="26">
        <f t="shared" ca="1" si="1"/>
        <v>1303068.5161832697</v>
      </c>
      <c r="N31" s="26">
        <f t="shared" ca="1" si="6"/>
        <v>42034.468263976443</v>
      </c>
    </row>
    <row r="32" spans="1:20" x14ac:dyDescent="0.2">
      <c r="A32" s="25">
        <f t="shared" ca="1" si="11"/>
        <v>36708</v>
      </c>
      <c r="B32" s="25">
        <f t="shared" ca="1" si="0"/>
        <v>36739</v>
      </c>
      <c r="C32" s="26">
        <f t="shared" ca="1" si="4"/>
        <v>31</v>
      </c>
      <c r="D32" s="25">
        <f t="shared" ca="1" si="10"/>
        <v>36712</v>
      </c>
      <c r="E32" s="27" t="s">
        <v>29</v>
      </c>
      <c r="F32" s="28" t="s">
        <v>27</v>
      </c>
      <c r="G32" s="28" t="s">
        <v>30</v>
      </c>
      <c r="H32" s="29">
        <v>3.2</v>
      </c>
      <c r="I32" s="26">
        <f ca="1">IF($I$4&lt;H32,H32-$I$4,0)</f>
        <v>0.10000000000000009</v>
      </c>
      <c r="J32" s="26">
        <f ca="1">(H32-$I$4)*M32-J31</f>
        <v>180306.85161832708</v>
      </c>
      <c r="K32" s="26">
        <f t="shared" ca="1" si="5"/>
        <v>130306.85161832708</v>
      </c>
      <c r="L32" s="27">
        <v>0.97083040126380382</v>
      </c>
      <c r="M32" s="26">
        <f t="shared" ca="1" si="1"/>
        <v>1303068.5161832697</v>
      </c>
      <c r="N32" s="26">
        <f t="shared" ca="1" si="6"/>
        <v>42034.468263976443</v>
      </c>
    </row>
    <row r="33" spans="1:14" x14ac:dyDescent="0.2">
      <c r="A33" s="25">
        <f t="shared" ca="1" si="11"/>
        <v>36708</v>
      </c>
      <c r="B33" s="25">
        <f t="shared" ca="1" si="0"/>
        <v>36739</v>
      </c>
      <c r="C33" s="26">
        <f t="shared" ca="1" si="4"/>
        <v>31</v>
      </c>
      <c r="D33" s="25">
        <f t="shared" ca="1" si="10"/>
        <v>36712</v>
      </c>
      <c r="E33" s="27" t="s">
        <v>26</v>
      </c>
      <c r="F33" s="28" t="s">
        <v>27</v>
      </c>
      <c r="G33" s="28" t="s">
        <v>30</v>
      </c>
      <c r="H33" s="29">
        <v>1.9</v>
      </c>
      <c r="I33" s="26">
        <f ca="1">IF($I$4&lt;H33,$I$4-H33,0)</f>
        <v>0</v>
      </c>
      <c r="J33" s="26">
        <f ca="1">J29</f>
        <v>-20000</v>
      </c>
      <c r="K33" s="26">
        <f t="shared" ca="1" si="5"/>
        <v>0</v>
      </c>
      <c r="L33" s="27">
        <v>0.97083040126380382</v>
      </c>
      <c r="M33" s="26">
        <f t="shared" ca="1" si="1"/>
        <v>1303068.5161832697</v>
      </c>
      <c r="N33" s="26">
        <f t="shared" ca="1" si="6"/>
        <v>42034.468263976443</v>
      </c>
    </row>
    <row r="34" spans="1:14" x14ac:dyDescent="0.2">
      <c r="A34" s="25">
        <f t="shared" ca="1" si="11"/>
        <v>36708</v>
      </c>
      <c r="B34" s="25">
        <f t="shared" ca="1" si="0"/>
        <v>36739</v>
      </c>
      <c r="C34" s="26">
        <f t="shared" ca="1" si="4"/>
        <v>31</v>
      </c>
      <c r="D34" s="25">
        <f t="shared" ca="1" si="10"/>
        <v>36712</v>
      </c>
      <c r="E34" s="27" t="s">
        <v>29</v>
      </c>
      <c r="F34" s="28" t="s">
        <v>27</v>
      </c>
      <c r="G34" s="28" t="s">
        <v>28</v>
      </c>
      <c r="H34" s="29">
        <v>1.9</v>
      </c>
      <c r="I34" s="26">
        <f ca="1">IF($I$4&gt;H34,$I$4-H34,0)</f>
        <v>1.2000000000000002</v>
      </c>
      <c r="J34" s="26">
        <f ca="1">($I$4-H34)*M34-J33-($R$20/12-$J$2)</f>
        <v>1547475.6663745448</v>
      </c>
      <c r="K34" s="26">
        <f t="shared" ca="1" si="5"/>
        <v>1563682.2194199238</v>
      </c>
      <c r="L34" s="27">
        <v>0.97083040126380382</v>
      </c>
      <c r="M34" s="26">
        <f t="shared" ca="1" si="1"/>
        <v>1303068.5161832697</v>
      </c>
      <c r="N34" s="26">
        <f t="shared" ca="1" si="6"/>
        <v>42034.468263976443</v>
      </c>
    </row>
    <row r="35" spans="1:14" x14ac:dyDescent="0.2">
      <c r="A35" s="19">
        <f ca="1">B31</f>
        <v>36739</v>
      </c>
      <c r="B35" s="19">
        <f t="shared" ca="1" si="0"/>
        <v>36770</v>
      </c>
      <c r="C35" s="20">
        <f t="shared" ca="1" si="4"/>
        <v>31</v>
      </c>
      <c r="D35" s="19">
        <f t="shared" ca="1" si="10"/>
        <v>36743</v>
      </c>
      <c r="E35" s="21" t="s">
        <v>26</v>
      </c>
      <c r="F35" s="22" t="s">
        <v>27</v>
      </c>
      <c r="G35" s="22" t="s">
        <v>28</v>
      </c>
      <c r="H35" s="23">
        <v>3.2</v>
      </c>
      <c r="I35" s="20">
        <f ca="1">IF($I$4&gt;H35,H35-$I$4,0)</f>
        <v>0</v>
      </c>
      <c r="J35" s="24">
        <f ca="1">J31</f>
        <v>-50000</v>
      </c>
      <c r="K35" s="20">
        <f t="shared" ca="1" si="5"/>
        <v>0</v>
      </c>
      <c r="L35" s="21">
        <v>0.96597950119489728</v>
      </c>
      <c r="M35" s="20">
        <f t="shared" ca="1" si="1"/>
        <v>1303068.5161832697</v>
      </c>
      <c r="N35" s="20">
        <f t="shared" ca="1" si="6"/>
        <v>42034.468263976443</v>
      </c>
    </row>
    <row r="36" spans="1:14" x14ac:dyDescent="0.2">
      <c r="A36" s="19">
        <f t="shared" ca="1" si="11"/>
        <v>36739</v>
      </c>
      <c r="B36" s="19">
        <f t="shared" ca="1" si="0"/>
        <v>36770</v>
      </c>
      <c r="C36" s="20">
        <f t="shared" ca="1" si="4"/>
        <v>31</v>
      </c>
      <c r="D36" s="19">
        <f t="shared" ca="1" si="10"/>
        <v>36743</v>
      </c>
      <c r="E36" s="21" t="s">
        <v>29</v>
      </c>
      <c r="F36" s="22" t="s">
        <v>27</v>
      </c>
      <c r="G36" s="22" t="s">
        <v>30</v>
      </c>
      <c r="H36" s="23">
        <v>3.2</v>
      </c>
      <c r="I36" s="20">
        <f ca="1">IF($I$4&lt;H36,H36-$I$4,0)</f>
        <v>0.10000000000000009</v>
      </c>
      <c r="J36" s="20">
        <f ca="1">(H36-$I$4)*M36-J35</f>
        <v>180306.85161832708</v>
      </c>
      <c r="K36" s="20">
        <f t="shared" ca="1" si="5"/>
        <v>130306.85161832708</v>
      </c>
      <c r="L36" s="21">
        <v>0.96597950119489728</v>
      </c>
      <c r="M36" s="20">
        <f t="shared" ca="1" si="1"/>
        <v>1303068.5161832697</v>
      </c>
      <c r="N36" s="20">
        <f t="shared" ca="1" si="6"/>
        <v>42034.468263976443</v>
      </c>
    </row>
    <row r="37" spans="1:14" x14ac:dyDescent="0.2">
      <c r="A37" s="19">
        <f t="shared" ca="1" si="11"/>
        <v>36739</v>
      </c>
      <c r="B37" s="19">
        <f t="shared" ca="1" si="0"/>
        <v>36770</v>
      </c>
      <c r="C37" s="20">
        <f t="shared" ca="1" si="4"/>
        <v>31</v>
      </c>
      <c r="D37" s="19">
        <f t="shared" ca="1" si="10"/>
        <v>36743</v>
      </c>
      <c r="E37" s="21" t="s">
        <v>26</v>
      </c>
      <c r="F37" s="22" t="s">
        <v>27</v>
      </c>
      <c r="G37" s="22" t="s">
        <v>30</v>
      </c>
      <c r="H37" s="23">
        <v>1.9</v>
      </c>
      <c r="I37" s="20">
        <f ca="1">IF($I$4&lt;H37,$I$4-H37,0)</f>
        <v>0</v>
      </c>
      <c r="J37" s="24">
        <f ca="1">J33</f>
        <v>-20000</v>
      </c>
      <c r="K37" s="20">
        <f t="shared" ca="1" si="5"/>
        <v>0</v>
      </c>
      <c r="L37" s="21">
        <v>0.96597950119489728</v>
      </c>
      <c r="M37" s="20">
        <f t="shared" ca="1" si="1"/>
        <v>1303068.5161832697</v>
      </c>
      <c r="N37" s="20">
        <f t="shared" ca="1" si="6"/>
        <v>42034.468263976443</v>
      </c>
    </row>
    <row r="38" spans="1:14" x14ac:dyDescent="0.2">
      <c r="A38" s="19">
        <f t="shared" ca="1" si="11"/>
        <v>36739</v>
      </c>
      <c r="B38" s="19">
        <f t="shared" ca="1" si="0"/>
        <v>36770</v>
      </c>
      <c r="C38" s="20">
        <f t="shared" ca="1" si="4"/>
        <v>31</v>
      </c>
      <c r="D38" s="19">
        <f t="shared" ca="1" si="10"/>
        <v>36743</v>
      </c>
      <c r="E38" s="21" t="s">
        <v>29</v>
      </c>
      <c r="F38" s="22" t="s">
        <v>27</v>
      </c>
      <c r="G38" s="22" t="s">
        <v>28</v>
      </c>
      <c r="H38" s="23">
        <v>1.9</v>
      </c>
      <c r="I38" s="20">
        <f ca="1">IF($I$4&gt;H38,$I$4-H38,0)</f>
        <v>1.2000000000000002</v>
      </c>
      <c r="J38" s="20">
        <f ca="1">($I$4-H38)*M38-J37-($R$20/12-$J$2)</f>
        <v>1547475.6663745448</v>
      </c>
      <c r="K38" s="20">
        <f t="shared" ca="1" si="5"/>
        <v>1563682.2194199238</v>
      </c>
      <c r="L38" s="21">
        <v>0.96597950119489728</v>
      </c>
      <c r="M38" s="20">
        <f t="shared" ca="1" si="1"/>
        <v>1303068.5161832697</v>
      </c>
      <c r="N38" s="20">
        <f t="shared" ca="1" si="6"/>
        <v>42034.468263976443</v>
      </c>
    </row>
    <row r="39" spans="1:14" x14ac:dyDescent="0.2">
      <c r="A39" s="25">
        <f ca="1">B35</f>
        <v>36770</v>
      </c>
      <c r="B39" s="25">
        <f t="shared" ca="1" si="0"/>
        <v>36800</v>
      </c>
      <c r="C39" s="26">
        <f t="shared" ca="1" si="4"/>
        <v>30</v>
      </c>
      <c r="D39" s="25">
        <f t="shared" ca="1" si="10"/>
        <v>36774</v>
      </c>
      <c r="E39" s="27" t="s">
        <v>26</v>
      </c>
      <c r="F39" s="28" t="s">
        <v>27</v>
      </c>
      <c r="G39" s="28" t="s">
        <v>28</v>
      </c>
      <c r="H39" s="29">
        <v>3.2</v>
      </c>
      <c r="I39" s="26">
        <f ca="1">IF($I$4&gt;H39,H39-$I$4,0)</f>
        <v>0</v>
      </c>
      <c r="J39" s="26">
        <f ca="1">J35</f>
        <v>-50000</v>
      </c>
      <c r="K39" s="26">
        <f t="shared" ca="1" si="5"/>
        <v>0</v>
      </c>
      <c r="L39" s="27">
        <v>0.96103893831174247</v>
      </c>
      <c r="M39" s="26">
        <f t="shared" ca="1" si="1"/>
        <v>1261034.0479192932</v>
      </c>
      <c r="N39" s="26">
        <f t="shared" ca="1" si="6"/>
        <v>42034.468263976436</v>
      </c>
    </row>
    <row r="40" spans="1:14" x14ac:dyDescent="0.2">
      <c r="A40" s="25">
        <f t="shared" ca="1" si="11"/>
        <v>36770</v>
      </c>
      <c r="B40" s="25">
        <f t="shared" ca="1" si="0"/>
        <v>36800</v>
      </c>
      <c r="C40" s="26">
        <f t="shared" ca="1" si="4"/>
        <v>30</v>
      </c>
      <c r="D40" s="25">
        <f t="shared" ca="1" si="10"/>
        <v>36774</v>
      </c>
      <c r="E40" s="27" t="s">
        <v>29</v>
      </c>
      <c r="F40" s="28" t="s">
        <v>27</v>
      </c>
      <c r="G40" s="28" t="s">
        <v>30</v>
      </c>
      <c r="H40" s="29">
        <v>3.2</v>
      </c>
      <c r="I40" s="26">
        <f ca="1">IF($I$4&lt;H40,H40-$I$4,0)</f>
        <v>0.10000000000000009</v>
      </c>
      <c r="J40" s="26">
        <f ca="1">(H40-$I$4)*M40-J39</f>
        <v>176103.40479192941</v>
      </c>
      <c r="K40" s="26">
        <f t="shared" ca="1" si="5"/>
        <v>126103.40479192942</v>
      </c>
      <c r="L40" s="27">
        <v>0.96103893831174247</v>
      </c>
      <c r="M40" s="26">
        <f t="shared" ca="1" si="1"/>
        <v>1261034.0479192932</v>
      </c>
      <c r="N40" s="26">
        <f t="shared" ca="1" si="6"/>
        <v>42034.468263976436</v>
      </c>
    </row>
    <row r="41" spans="1:14" x14ac:dyDescent="0.2">
      <c r="A41" s="25">
        <f t="shared" ca="1" si="11"/>
        <v>36770</v>
      </c>
      <c r="B41" s="25">
        <f t="shared" ca="1" si="0"/>
        <v>36800</v>
      </c>
      <c r="C41" s="26">
        <f t="shared" ca="1" si="4"/>
        <v>30</v>
      </c>
      <c r="D41" s="25">
        <f t="shared" ca="1" si="10"/>
        <v>36774</v>
      </c>
      <c r="E41" s="27" t="s">
        <v>26</v>
      </c>
      <c r="F41" s="28" t="s">
        <v>27</v>
      </c>
      <c r="G41" s="28" t="s">
        <v>30</v>
      </c>
      <c r="H41" s="29">
        <v>1.9</v>
      </c>
      <c r="I41" s="26">
        <f ca="1">IF($I$4&lt;H41,$I$4-H41,0)</f>
        <v>0</v>
      </c>
      <c r="J41" s="26">
        <f ca="1">J37</f>
        <v>-20000</v>
      </c>
      <c r="K41" s="26">
        <f t="shared" ca="1" si="5"/>
        <v>0</v>
      </c>
      <c r="L41" s="27">
        <v>0.96103893831174247</v>
      </c>
      <c r="M41" s="26">
        <f t="shared" ca="1" si="1"/>
        <v>1261034.0479192932</v>
      </c>
      <c r="N41" s="26">
        <f t="shared" ca="1" si="6"/>
        <v>42034.468263976436</v>
      </c>
    </row>
    <row r="42" spans="1:14" x14ac:dyDescent="0.2">
      <c r="A42" s="25">
        <f t="shared" ca="1" si="11"/>
        <v>36770</v>
      </c>
      <c r="B42" s="25">
        <f t="shared" ca="1" si="0"/>
        <v>36800</v>
      </c>
      <c r="C42" s="26">
        <f t="shared" ca="1" si="4"/>
        <v>30</v>
      </c>
      <c r="D42" s="25">
        <f t="shared" ca="1" si="10"/>
        <v>36774</v>
      </c>
      <c r="E42" s="27" t="s">
        <v>29</v>
      </c>
      <c r="F42" s="28" t="s">
        <v>27</v>
      </c>
      <c r="G42" s="28" t="s">
        <v>28</v>
      </c>
      <c r="H42" s="29">
        <v>1.9</v>
      </c>
      <c r="I42" s="26">
        <f ca="1">IF($I$4&gt;H42,$I$4-H42,0)</f>
        <v>1.2000000000000002</v>
      </c>
      <c r="J42" s="26">
        <f ca="1">($I$4-H42)*M42-J41-($R$20/12-$J$2)</f>
        <v>1497034.304457773</v>
      </c>
      <c r="K42" s="26">
        <f t="shared" ca="1" si="5"/>
        <v>1513240.857503152</v>
      </c>
      <c r="L42" s="27">
        <v>0.96103893831174247</v>
      </c>
      <c r="M42" s="26">
        <f t="shared" ca="1" si="1"/>
        <v>1261034.0479192932</v>
      </c>
      <c r="N42" s="26">
        <f t="shared" ca="1" si="6"/>
        <v>42034.468263976436</v>
      </c>
    </row>
    <row r="43" spans="1:14" x14ac:dyDescent="0.2">
      <c r="A43" s="19">
        <f ca="1">B39</f>
        <v>36800</v>
      </c>
      <c r="B43" s="19">
        <f t="shared" ca="1" si="0"/>
        <v>36831</v>
      </c>
      <c r="C43" s="20">
        <f t="shared" ca="1" si="4"/>
        <v>31</v>
      </c>
      <c r="D43" s="19">
        <f t="shared" ca="1" si="10"/>
        <v>36804</v>
      </c>
      <c r="E43" s="21" t="s">
        <v>26</v>
      </c>
      <c r="F43" s="22" t="s">
        <v>27</v>
      </c>
      <c r="G43" s="22" t="s">
        <v>28</v>
      </c>
      <c r="H43" s="23">
        <v>3.2</v>
      </c>
      <c r="I43" s="20">
        <f ca="1">IF($I$4&gt;H43,H43-$I$4,0)</f>
        <v>0</v>
      </c>
      <c r="J43" s="24">
        <f ca="1">J39</f>
        <v>-50000</v>
      </c>
      <c r="K43" s="20">
        <f t="shared" ca="1" si="5"/>
        <v>0</v>
      </c>
      <c r="L43" s="21">
        <v>0.95621857552861644</v>
      </c>
      <c r="M43" s="20">
        <f t="shared" ca="1" si="1"/>
        <v>1303068.5161832697</v>
      </c>
      <c r="N43" s="20">
        <f t="shared" ca="1" si="6"/>
        <v>42034.468263976443</v>
      </c>
    </row>
    <row r="44" spans="1:14" x14ac:dyDescent="0.2">
      <c r="A44" s="19">
        <f t="shared" ca="1" si="11"/>
        <v>36800</v>
      </c>
      <c r="B44" s="19">
        <f t="shared" ca="1" si="0"/>
        <v>36831</v>
      </c>
      <c r="C44" s="20">
        <f t="shared" ca="1" si="4"/>
        <v>31</v>
      </c>
      <c r="D44" s="19">
        <f t="shared" ca="1" si="10"/>
        <v>36804</v>
      </c>
      <c r="E44" s="21" t="s">
        <v>29</v>
      </c>
      <c r="F44" s="22" t="s">
        <v>27</v>
      </c>
      <c r="G44" s="22" t="s">
        <v>30</v>
      </c>
      <c r="H44" s="23">
        <v>3.2</v>
      </c>
      <c r="I44" s="20">
        <f ca="1">IF($I$4&lt;H44,H44-$I$4,0)</f>
        <v>0.10000000000000009</v>
      </c>
      <c r="J44" s="20">
        <f ca="1">(H44-$I$4)*M44-J43</f>
        <v>180306.85161832708</v>
      </c>
      <c r="K44" s="20">
        <f t="shared" ca="1" si="5"/>
        <v>130306.85161832708</v>
      </c>
      <c r="L44" s="21">
        <v>0.95621857552861644</v>
      </c>
      <c r="M44" s="20">
        <f t="shared" ca="1" si="1"/>
        <v>1303068.5161832697</v>
      </c>
      <c r="N44" s="20">
        <f t="shared" ca="1" si="6"/>
        <v>42034.468263976443</v>
      </c>
    </row>
    <row r="45" spans="1:14" x14ac:dyDescent="0.2">
      <c r="A45" s="19">
        <f t="shared" ca="1" si="11"/>
        <v>36800</v>
      </c>
      <c r="B45" s="19">
        <f t="shared" ca="1" si="0"/>
        <v>36831</v>
      </c>
      <c r="C45" s="20">
        <f t="shared" ca="1" si="4"/>
        <v>31</v>
      </c>
      <c r="D45" s="19">
        <f t="shared" ca="1" si="10"/>
        <v>36804</v>
      </c>
      <c r="E45" s="21" t="s">
        <v>26</v>
      </c>
      <c r="F45" s="22" t="s">
        <v>27</v>
      </c>
      <c r="G45" s="22" t="s">
        <v>30</v>
      </c>
      <c r="H45" s="23">
        <v>1.9</v>
      </c>
      <c r="I45" s="20">
        <f ca="1">IF($I$4&lt;H45,$I$4-H45,0)</f>
        <v>0</v>
      </c>
      <c r="J45" s="24">
        <f ca="1">J41</f>
        <v>-20000</v>
      </c>
      <c r="K45" s="20">
        <f t="shared" ca="1" si="5"/>
        <v>0</v>
      </c>
      <c r="L45" s="21">
        <v>0.95621857552861644</v>
      </c>
      <c r="M45" s="20">
        <f t="shared" ca="1" si="1"/>
        <v>1303068.5161832697</v>
      </c>
      <c r="N45" s="20">
        <f t="shared" ca="1" si="6"/>
        <v>42034.468263976443</v>
      </c>
    </row>
    <row r="46" spans="1:14" x14ac:dyDescent="0.2">
      <c r="A46" s="19">
        <f t="shared" ca="1" si="11"/>
        <v>36800</v>
      </c>
      <c r="B46" s="19">
        <f t="shared" ca="1" si="0"/>
        <v>36831</v>
      </c>
      <c r="C46" s="20">
        <f t="shared" ca="1" si="4"/>
        <v>31</v>
      </c>
      <c r="D46" s="19">
        <f t="shared" ca="1" si="10"/>
        <v>36804</v>
      </c>
      <c r="E46" s="21" t="s">
        <v>29</v>
      </c>
      <c r="F46" s="22" t="s">
        <v>27</v>
      </c>
      <c r="G46" s="22" t="s">
        <v>28</v>
      </c>
      <c r="H46" s="23">
        <v>1.9</v>
      </c>
      <c r="I46" s="20">
        <f ca="1">IF($I$4&gt;H46,$I$4-H46,0)</f>
        <v>1.2000000000000002</v>
      </c>
      <c r="J46" s="20">
        <f ca="1">($I$4-H46)*M46-J45-($R$20/12-$J$2)</f>
        <v>1547475.6663745448</v>
      </c>
      <c r="K46" s="20">
        <f t="shared" ca="1" si="5"/>
        <v>1563682.2194199238</v>
      </c>
      <c r="L46" s="21">
        <v>0.95621857552861644</v>
      </c>
      <c r="M46" s="20">
        <f t="shared" ca="1" si="1"/>
        <v>1303068.5161832697</v>
      </c>
      <c r="N46" s="20">
        <f t="shared" ca="1" si="6"/>
        <v>42034.468263976443</v>
      </c>
    </row>
    <row r="47" spans="1:14" x14ac:dyDescent="0.2">
      <c r="A47" s="25">
        <f ca="1">B43</f>
        <v>36831</v>
      </c>
      <c r="B47" s="25">
        <f t="shared" ca="1" si="0"/>
        <v>36861</v>
      </c>
      <c r="C47" s="26">
        <f t="shared" ca="1" si="4"/>
        <v>30</v>
      </c>
      <c r="D47" s="25">
        <f t="shared" ca="1" si="10"/>
        <v>36835</v>
      </c>
      <c r="E47" s="27" t="s">
        <v>26</v>
      </c>
      <c r="F47" s="28" t="s">
        <v>27</v>
      </c>
      <c r="G47" s="28" t="s">
        <v>28</v>
      </c>
      <c r="H47" s="29">
        <v>3.2</v>
      </c>
      <c r="I47" s="26">
        <f ca="1">IF($I$4&gt;H47,H47-$I$4,0)</f>
        <v>0</v>
      </c>
      <c r="J47" s="26">
        <f ca="1">J43</f>
        <v>-50000</v>
      </c>
      <c r="K47" s="26">
        <f t="shared" ca="1" si="5"/>
        <v>0</v>
      </c>
      <c r="L47" s="27">
        <v>0.95120600471188244</v>
      </c>
      <c r="M47" s="26">
        <f t="shared" ca="1" si="1"/>
        <v>1261034.0479192932</v>
      </c>
      <c r="N47" s="26">
        <f t="shared" ca="1" si="6"/>
        <v>42034.468263976436</v>
      </c>
    </row>
    <row r="48" spans="1:14" x14ac:dyDescent="0.2">
      <c r="A48" s="25">
        <f t="shared" ca="1" si="11"/>
        <v>36831</v>
      </c>
      <c r="B48" s="25">
        <f t="shared" ca="1" si="0"/>
        <v>36861</v>
      </c>
      <c r="C48" s="26">
        <f t="shared" ca="1" si="4"/>
        <v>30</v>
      </c>
      <c r="D48" s="25">
        <f t="shared" ca="1" si="10"/>
        <v>36835</v>
      </c>
      <c r="E48" s="27" t="s">
        <v>29</v>
      </c>
      <c r="F48" s="28" t="s">
        <v>27</v>
      </c>
      <c r="G48" s="28" t="s">
        <v>30</v>
      </c>
      <c r="H48" s="29">
        <v>3.2</v>
      </c>
      <c r="I48" s="26">
        <f ca="1">IF($I$4&lt;H48,H48-$I$4,0)</f>
        <v>0.10000000000000009</v>
      </c>
      <c r="J48" s="26">
        <f ca="1">(H48-$I$4)*M48-J47</f>
        <v>176103.40479192941</v>
      </c>
      <c r="K48" s="26">
        <f t="shared" ca="1" si="5"/>
        <v>126103.40479192942</v>
      </c>
      <c r="L48" s="27">
        <v>0.95120600471188244</v>
      </c>
      <c r="M48" s="26">
        <f t="shared" ca="1" si="1"/>
        <v>1261034.0479192932</v>
      </c>
      <c r="N48" s="26">
        <f t="shared" ca="1" si="6"/>
        <v>42034.468263976436</v>
      </c>
    </row>
    <row r="49" spans="1:14" x14ac:dyDescent="0.2">
      <c r="A49" s="25">
        <f t="shared" ca="1" si="11"/>
        <v>36831</v>
      </c>
      <c r="B49" s="25">
        <f t="shared" ca="1" si="0"/>
        <v>36861</v>
      </c>
      <c r="C49" s="26">
        <f t="shared" ca="1" si="4"/>
        <v>30</v>
      </c>
      <c r="D49" s="25">
        <f t="shared" ca="1" si="10"/>
        <v>36835</v>
      </c>
      <c r="E49" s="27" t="s">
        <v>26</v>
      </c>
      <c r="F49" s="28" t="s">
        <v>27</v>
      </c>
      <c r="G49" s="28" t="s">
        <v>30</v>
      </c>
      <c r="H49" s="29">
        <v>1.9</v>
      </c>
      <c r="I49" s="26">
        <f ca="1">IF($I$4&lt;H49,$I$4-H49,0)</f>
        <v>0</v>
      </c>
      <c r="J49" s="26">
        <f ca="1">J45</f>
        <v>-20000</v>
      </c>
      <c r="K49" s="26">
        <f t="shared" ca="1" si="5"/>
        <v>0</v>
      </c>
      <c r="L49" s="27">
        <v>0.95120600471188244</v>
      </c>
      <c r="M49" s="26">
        <f t="shared" ca="1" si="1"/>
        <v>1261034.0479192932</v>
      </c>
      <c r="N49" s="26">
        <f t="shared" ca="1" si="6"/>
        <v>42034.468263976436</v>
      </c>
    </row>
    <row r="50" spans="1:14" x14ac:dyDescent="0.2">
      <c r="A50" s="25">
        <f t="shared" ca="1" si="11"/>
        <v>36831</v>
      </c>
      <c r="B50" s="25">
        <f t="shared" ca="1" si="0"/>
        <v>36861</v>
      </c>
      <c r="C50" s="26">
        <f t="shared" ca="1" si="4"/>
        <v>30</v>
      </c>
      <c r="D50" s="25">
        <f t="shared" ca="1" si="10"/>
        <v>36835</v>
      </c>
      <c r="E50" s="27" t="s">
        <v>29</v>
      </c>
      <c r="F50" s="28" t="s">
        <v>27</v>
      </c>
      <c r="G50" s="28" t="s">
        <v>28</v>
      </c>
      <c r="H50" s="29">
        <v>1.9</v>
      </c>
      <c r="I50" s="26">
        <f ca="1">IF($I$4&gt;H50,$I$4-H50,0)</f>
        <v>1.2000000000000002</v>
      </c>
      <c r="J50" s="26">
        <f ca="1">($I$4-H50)*M50-J49-($R$20/12-$J$2)</f>
        <v>1497034.304457773</v>
      </c>
      <c r="K50" s="26">
        <f t="shared" ca="1" si="5"/>
        <v>1513240.857503152</v>
      </c>
      <c r="L50" s="27">
        <v>0.95120600471188244</v>
      </c>
      <c r="M50" s="26">
        <f t="shared" ca="1" si="1"/>
        <v>1261034.0479192932</v>
      </c>
      <c r="N50" s="26">
        <f t="shared" ca="1" si="6"/>
        <v>42034.468263976436</v>
      </c>
    </row>
    <row r="51" spans="1:14" x14ac:dyDescent="0.2">
      <c r="A51" s="19">
        <f ca="1">B47</f>
        <v>36861</v>
      </c>
      <c r="B51" s="19">
        <f t="shared" ca="1" si="0"/>
        <v>36892</v>
      </c>
      <c r="C51" s="20">
        <f t="shared" ca="1" si="4"/>
        <v>31</v>
      </c>
      <c r="D51" s="19">
        <f t="shared" ca="1" si="10"/>
        <v>36865</v>
      </c>
      <c r="E51" s="21" t="s">
        <v>26</v>
      </c>
      <c r="F51" s="22" t="s">
        <v>27</v>
      </c>
      <c r="G51" s="22" t="s">
        <v>28</v>
      </c>
      <c r="H51" s="23">
        <v>3.2</v>
      </c>
      <c r="I51" s="20">
        <f ca="1">IF($I$4&gt;H51,H51-$I$4,0)</f>
        <v>0</v>
      </c>
      <c r="J51" s="24">
        <f ca="1">J47</f>
        <v>-50000</v>
      </c>
      <c r="K51" s="20">
        <f t="shared" ca="1" si="5"/>
        <v>0</v>
      </c>
      <c r="L51" s="21">
        <v>0.94629062223897575</v>
      </c>
      <c r="M51" s="20">
        <f t="shared" ca="1" si="1"/>
        <v>1303068.5161832697</v>
      </c>
      <c r="N51" s="20">
        <f t="shared" ca="1" si="6"/>
        <v>42034.468263976443</v>
      </c>
    </row>
    <row r="52" spans="1:14" x14ac:dyDescent="0.2">
      <c r="A52" s="19">
        <f t="shared" ca="1" si="11"/>
        <v>36861</v>
      </c>
      <c r="B52" s="19">
        <f t="shared" ca="1" si="0"/>
        <v>36892</v>
      </c>
      <c r="C52" s="20">
        <f t="shared" ca="1" si="4"/>
        <v>31</v>
      </c>
      <c r="D52" s="19">
        <f t="shared" ca="1" si="10"/>
        <v>36865</v>
      </c>
      <c r="E52" s="21" t="s">
        <v>29</v>
      </c>
      <c r="F52" s="22" t="s">
        <v>27</v>
      </c>
      <c r="G52" s="22" t="s">
        <v>30</v>
      </c>
      <c r="H52" s="23">
        <v>3.2</v>
      </c>
      <c r="I52" s="20">
        <f ca="1">IF($I$4&lt;H52,H52-$I$4,0)</f>
        <v>0.10000000000000009</v>
      </c>
      <c r="J52" s="20">
        <f ca="1">(H52-$I$4)*M52-J51</f>
        <v>180306.85161832708</v>
      </c>
      <c r="K52" s="20">
        <f t="shared" ca="1" si="5"/>
        <v>130306.85161832708</v>
      </c>
      <c r="L52" s="21">
        <v>0.94629062223897575</v>
      </c>
      <c r="M52" s="20">
        <f t="shared" ca="1" si="1"/>
        <v>1303068.5161832697</v>
      </c>
      <c r="N52" s="20">
        <f t="shared" ca="1" si="6"/>
        <v>42034.468263976443</v>
      </c>
    </row>
    <row r="53" spans="1:14" x14ac:dyDescent="0.2">
      <c r="A53" s="19">
        <f t="shared" ca="1" si="11"/>
        <v>36861</v>
      </c>
      <c r="B53" s="19">
        <f t="shared" ca="1" si="0"/>
        <v>36892</v>
      </c>
      <c r="C53" s="20">
        <f t="shared" ca="1" si="4"/>
        <v>31</v>
      </c>
      <c r="D53" s="19">
        <f t="shared" ca="1" si="10"/>
        <v>36865</v>
      </c>
      <c r="E53" s="21" t="s">
        <v>26</v>
      </c>
      <c r="F53" s="22" t="s">
        <v>27</v>
      </c>
      <c r="G53" s="22" t="s">
        <v>30</v>
      </c>
      <c r="H53" s="23">
        <v>1.9</v>
      </c>
      <c r="I53" s="20">
        <f ca="1">IF($I$4&lt;H53,$I$4-H53,0)</f>
        <v>0</v>
      </c>
      <c r="J53" s="24">
        <f ca="1">J49</f>
        <v>-20000</v>
      </c>
      <c r="K53" s="20">
        <f t="shared" ca="1" si="5"/>
        <v>0</v>
      </c>
      <c r="L53" s="21">
        <v>0.94629062223897575</v>
      </c>
      <c r="M53" s="20">
        <f t="shared" ca="1" si="1"/>
        <v>1303068.5161832697</v>
      </c>
      <c r="N53" s="20">
        <f t="shared" ca="1" si="6"/>
        <v>42034.468263976443</v>
      </c>
    </row>
    <row r="54" spans="1:14" x14ac:dyDescent="0.2">
      <c r="A54" s="19">
        <f t="shared" ca="1" si="11"/>
        <v>36861</v>
      </c>
      <c r="B54" s="19">
        <f t="shared" ca="1" si="0"/>
        <v>36892</v>
      </c>
      <c r="C54" s="20">
        <f t="shared" ca="1" si="4"/>
        <v>31</v>
      </c>
      <c r="D54" s="19">
        <f t="shared" ca="1" si="10"/>
        <v>36865</v>
      </c>
      <c r="E54" s="21" t="s">
        <v>29</v>
      </c>
      <c r="F54" s="22" t="s">
        <v>27</v>
      </c>
      <c r="G54" s="22" t="s">
        <v>28</v>
      </c>
      <c r="H54" s="23">
        <v>1.9</v>
      </c>
      <c r="I54" s="20">
        <f ca="1">IF($I$4&gt;H54,$I$4-H54,0)</f>
        <v>1.2000000000000002</v>
      </c>
      <c r="J54" s="20">
        <f ca="1">($I$4-H54)*M54-J53-($R$20/12-$J$2)</f>
        <v>1547475.6663745448</v>
      </c>
      <c r="K54" s="20">
        <f t="shared" ca="1" si="5"/>
        <v>1563682.2194199238</v>
      </c>
      <c r="L54" s="21">
        <v>0.94629062223897575</v>
      </c>
      <c r="M54" s="20">
        <f t="shared" ca="1" si="1"/>
        <v>1303068.5161832697</v>
      </c>
      <c r="N54" s="20">
        <f t="shared" ca="1" si="6"/>
        <v>42034.468263976443</v>
      </c>
    </row>
    <row r="55" spans="1:14" s="6" customFormat="1" x14ac:dyDescent="0.2">
      <c r="A55" s="33"/>
      <c r="B55" s="33"/>
      <c r="C55" s="34">
        <f ca="1">SUM(C7:C54)/4</f>
        <v>366</v>
      </c>
      <c r="D55" s="33"/>
      <c r="E55" s="35"/>
      <c r="F55" s="36"/>
      <c r="G55" s="36"/>
      <c r="H55" s="37"/>
      <c r="I55" s="34"/>
      <c r="J55" s="34">
        <f ca="1">SUM(J7:J54)</f>
        <v>19565521.363455448</v>
      </c>
      <c r="K55" s="34">
        <f ca="1">SUM(K7:K54)</f>
        <v>19999999.999999996</v>
      </c>
      <c r="L55" s="35"/>
      <c r="M55" s="34">
        <f ca="1">SUM(M7:M54)/4</f>
        <v>15384615.384615388</v>
      </c>
      <c r="N55" s="34">
        <f ca="1">SUM(N7:N54)/4/12*C55</f>
        <v>15384615.384615386</v>
      </c>
    </row>
    <row r="56" spans="1:14" x14ac:dyDescent="0.2">
      <c r="A56" s="25"/>
      <c r="B56" s="25"/>
      <c r="C56" s="26"/>
      <c r="D56" s="25"/>
      <c r="E56" s="27"/>
      <c r="F56" s="28"/>
      <c r="G56" s="28"/>
      <c r="H56" s="29"/>
      <c r="I56" s="26"/>
      <c r="J56" s="26"/>
      <c r="K56" s="26"/>
      <c r="L56" s="27"/>
      <c r="M56" s="26"/>
      <c r="N56" s="26"/>
    </row>
    <row r="57" spans="1:14" x14ac:dyDescent="0.2">
      <c r="A57" s="25"/>
      <c r="B57" s="25"/>
      <c r="C57" s="26"/>
      <c r="D57" s="25"/>
      <c r="E57" s="27"/>
      <c r="F57" s="28"/>
      <c r="G57" s="28"/>
      <c r="H57" s="38" t="s">
        <v>33</v>
      </c>
      <c r="I57" s="39">
        <f ca="1">SUM(I7:I54)/12</f>
        <v>1.3000000000000005</v>
      </c>
      <c r="J57" s="40">
        <f ca="1">J55</f>
        <v>19565521.363455448</v>
      </c>
      <c r="K57" s="40">
        <f ca="1">K55</f>
        <v>19999999.999999996</v>
      </c>
      <c r="L57" s="27"/>
      <c r="M57" s="26"/>
      <c r="N57" s="26"/>
    </row>
    <row r="58" spans="1:14" x14ac:dyDescent="0.2">
      <c r="A58" s="25"/>
      <c r="B58" s="25"/>
      <c r="C58" s="26"/>
      <c r="D58" s="25"/>
      <c r="E58" s="27"/>
      <c r="F58" s="28"/>
      <c r="G58" s="28"/>
      <c r="J58" s="41"/>
      <c r="K58" s="41"/>
      <c r="L58" s="27"/>
      <c r="M58" s="26"/>
      <c r="N58" s="26"/>
    </row>
    <row r="59" spans="1:14" x14ac:dyDescent="0.2">
      <c r="F59" s="15"/>
      <c r="G59" s="15"/>
      <c r="H59" t="s">
        <v>34</v>
      </c>
      <c r="I59" s="16">
        <v>20000000</v>
      </c>
    </row>
    <row r="60" spans="1:14" x14ac:dyDescent="0.2">
      <c r="F60" s="15"/>
      <c r="G60" s="15"/>
      <c r="H60" t="s">
        <v>35</v>
      </c>
      <c r="I60" s="7">
        <f ca="1">I59/I57</f>
        <v>15384615.384615378</v>
      </c>
    </row>
    <row r="61" spans="1:14" x14ac:dyDescent="0.2">
      <c r="F61" s="15"/>
      <c r="G61" s="15"/>
      <c r="H61" t="s">
        <v>36</v>
      </c>
      <c r="J61" s="18">
        <f ca="1">SUMPRODUCT(J55*C3)</f>
        <v>19552621.988625064</v>
      </c>
      <c r="K61" s="18">
        <f ca="1">SUMPRODUCT(K7:K54,L7:L54)</f>
        <v>19450689.236359298</v>
      </c>
    </row>
    <row r="62" spans="1:14" x14ac:dyDescent="0.2">
      <c r="H62" s="42" t="s">
        <v>37</v>
      </c>
      <c r="I62" s="38"/>
      <c r="J62" s="38"/>
      <c r="K62" s="43">
        <f ca="1">J61-K61</f>
        <v>101932.75226576626</v>
      </c>
    </row>
    <row r="64" spans="1:14" x14ac:dyDescent="0.2">
      <c r="K64" s="7"/>
    </row>
    <row r="65" spans="11:11" x14ac:dyDescent="0.2">
      <c r="K65" s="18"/>
    </row>
    <row r="66" spans="11:11" x14ac:dyDescent="0.2">
      <c r="K66" s="18"/>
    </row>
  </sheetData>
  <mergeCells count="1">
    <mergeCell ref="A5:B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TD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 Bank</dc:creator>
  <cp:lastModifiedBy>Felienne</cp:lastModifiedBy>
  <dcterms:created xsi:type="dcterms:W3CDTF">1998-11-16T16:24:09Z</dcterms:created>
  <dcterms:modified xsi:type="dcterms:W3CDTF">2014-09-04T09:40:05Z</dcterms:modified>
</cp:coreProperties>
</file>