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" yWindow="90" windowWidth="14790" windowHeight="3780" tabRatio="742" firstSheet="5" activeTab="5"/>
  </bookViews>
  <sheets>
    <sheet name="Mids" sheetId="16" r:id="rId1"/>
    <sheet name="Sheet1" sheetId="22" r:id="rId2"/>
    <sheet name="Summary" sheetId="8" r:id="rId3"/>
    <sheet name="SummerSum" sheetId="15" r:id="rId4"/>
    <sheet name="WinterSum" sheetId="17" r:id="rId5"/>
    <sheet name="WEI Fuel Tax" sheetId="20" r:id="rId6"/>
    <sheet name="Westcoast" sheetId="2" r:id="rId7"/>
    <sheet name="NWP$" sheetId="3" r:id="rId8"/>
    <sheet name="Nova&amp;ANG&amp;GLGT$" sheetId="4" r:id="rId9"/>
    <sheet name="PGT$" sheetId="1" r:id="rId10"/>
    <sheet name="TCPL$" sheetId="6" r:id="rId11"/>
    <sheet name="Cost Components" sheetId="21" r:id="rId12"/>
    <sheet name="Fuel Ratio" sheetId="5" r:id="rId13"/>
    <sheet name="Change Comp" sheetId="14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1deliver">'[2]#REF'!#REF!</definedName>
    <definedName name="_Order1" hidden="1">0</definedName>
    <definedName name="_Order2" hidden="1">0</definedName>
    <definedName name="Cash">[4]Deals!$G$6</definedName>
    <definedName name="curves">#REF!</definedName>
    <definedName name="deliveries">#REF!</definedName>
    <definedName name="FinishFlag">#REF!</definedName>
    <definedName name="M1COLUMN">#REF!</definedName>
    <definedName name="M1ROW">#REF!</definedName>
    <definedName name="M1SHEET">#REF!</definedName>
    <definedName name="names">[5]pl_book!#REF!</definedName>
    <definedName name="Opsheet">#REF!</definedName>
    <definedName name="PRCBASHIMONTH">[6]AllQueries!$G$13014</definedName>
    <definedName name="_xlnm.Print_Area" localSheetId="2">Summary!$A$15:$J$50</definedName>
    <definedName name="_xlnm.Print_Area" localSheetId="3">SummerSum!$A$1:$Q$52</definedName>
    <definedName name="_xlnm.Print_Area" localSheetId="4">WinterSum!$A$1:$L$50</definedName>
    <definedName name="Prompt1">[4]Deals!$I$4</definedName>
    <definedName name="Prompt2">[4]Deals!$I$5</definedName>
    <definedName name="Prompt3">[4]Deals!$I$6</definedName>
    <definedName name="Prompt4">[4]Deals!$I$7</definedName>
    <definedName name="Prompt5">[4]Deals!$I$8</definedName>
    <definedName name="Prompt6">[4]Deals!$I$9</definedName>
    <definedName name="Prompt7">[4]Deals!$I$10</definedName>
    <definedName name="Prompt8">[4]Deals!$I$11</definedName>
    <definedName name="StartMonth">#REF!</definedName>
    <definedName name="StradArray">#REF!</definedName>
    <definedName name="StradOpArray">#REF!</definedName>
    <definedName name="StradOpColumn">#REF!</definedName>
    <definedName name="StradOpRow">#REF!</definedName>
    <definedName name="StradSwpArray">#REF!</definedName>
    <definedName name="StradSwpColumn">#REF!</definedName>
    <definedName name="StradSwpRow">#REF!</definedName>
  </definedNames>
  <calcPr calcId="152511"/>
</workbook>
</file>

<file path=xl/calcChain.xml><?xml version="1.0" encoding="utf-8"?>
<calcChain xmlns="http://schemas.openxmlformats.org/spreadsheetml/2006/main">
  <c r="H3" i="14" l="1"/>
  <c r="I3" i="14"/>
  <c r="H4" i="14"/>
  <c r="I4" i="14"/>
  <c r="H5" i="14"/>
  <c r="I5" i="14"/>
  <c r="H6" i="14"/>
  <c r="I6" i="14"/>
  <c r="H7" i="14"/>
  <c r="I7" i="14"/>
  <c r="H8" i="14"/>
  <c r="I8" i="14"/>
  <c r="H9" i="14"/>
  <c r="I9" i="14"/>
  <c r="H10" i="14"/>
  <c r="I10" i="14"/>
  <c r="H11" i="14"/>
  <c r="I11" i="14"/>
  <c r="H12" i="14"/>
  <c r="I12" i="14"/>
  <c r="H13" i="14"/>
  <c r="I13" i="14"/>
  <c r="I14" i="14"/>
  <c r="I15" i="14"/>
  <c r="I16" i="14"/>
  <c r="I17" i="14"/>
  <c r="B5" i="5"/>
  <c r="I7" i="5"/>
  <c r="B8" i="5"/>
  <c r="C8" i="5" s="1"/>
  <c r="D8" i="5"/>
  <c r="E8" i="5" s="1"/>
  <c r="D44" i="15" s="1"/>
  <c r="F44" i="15" s="1"/>
  <c r="F8" i="5"/>
  <c r="G8" i="5" s="1"/>
  <c r="B9" i="5"/>
  <c r="C9" i="5" s="1"/>
  <c r="D9" i="5"/>
  <c r="E9" i="5" s="1"/>
  <c r="F9" i="5"/>
  <c r="G9" i="5" s="1"/>
  <c r="B10" i="5"/>
  <c r="C10" i="5" s="1"/>
  <c r="D10" i="5"/>
  <c r="E10" i="5" s="1"/>
  <c r="F10" i="5"/>
  <c r="G10" i="5" s="1"/>
  <c r="B11" i="5"/>
  <c r="C11" i="5" s="1"/>
  <c r="B41" i="8" s="1"/>
  <c r="D11" i="5"/>
  <c r="E11" i="5" s="1"/>
  <c r="D41" i="15" s="1"/>
  <c r="F11" i="5"/>
  <c r="G11" i="5" s="1"/>
  <c r="B12" i="5"/>
  <c r="C12" i="5" s="1"/>
  <c r="D12" i="5"/>
  <c r="E12" i="5" s="1"/>
  <c r="F12" i="5"/>
  <c r="G12" i="5"/>
  <c r="D40" i="17" s="1"/>
  <c r="F40" i="17" s="1"/>
  <c r="B13" i="5"/>
  <c r="C13" i="5" s="1"/>
  <c r="D13" i="5"/>
  <c r="E13" i="5" s="1"/>
  <c r="F13" i="5"/>
  <c r="G13" i="5" s="1"/>
  <c r="B14" i="5"/>
  <c r="C14" i="5"/>
  <c r="D14" i="5"/>
  <c r="E14" i="5" s="1"/>
  <c r="F14" i="5"/>
  <c r="G14" i="5" s="1"/>
  <c r="B15" i="5"/>
  <c r="C15" i="5" s="1"/>
  <c r="D15" i="5"/>
  <c r="E15" i="5"/>
  <c r="F15" i="5"/>
  <c r="G15" i="5" s="1"/>
  <c r="B16" i="5"/>
  <c r="C16" i="5" s="1"/>
  <c r="D16" i="5"/>
  <c r="E16" i="5" s="1"/>
  <c r="F16" i="5"/>
  <c r="G16" i="5"/>
  <c r="P16" i="5"/>
  <c r="B17" i="5"/>
  <c r="C17" i="5"/>
  <c r="D17" i="5"/>
  <c r="E17" i="5"/>
  <c r="G17" i="5"/>
  <c r="P17" i="5"/>
  <c r="F17" i="5" s="1"/>
  <c r="B18" i="5"/>
  <c r="C18" i="5" s="1"/>
  <c r="B39" i="8" s="1"/>
  <c r="D18" i="5"/>
  <c r="E18" i="5" s="1"/>
  <c r="D39" i="15" s="1"/>
  <c r="F39" i="15" s="1"/>
  <c r="H39" i="15" s="1"/>
  <c r="K39" i="15" s="1"/>
  <c r="P18" i="5"/>
  <c r="F18" i="5" s="1"/>
  <c r="G18" i="5" s="1"/>
  <c r="B19" i="5"/>
  <c r="C19" i="5" s="1"/>
  <c r="B30" i="8" s="1"/>
  <c r="D19" i="5"/>
  <c r="E19" i="5"/>
  <c r="F19" i="5"/>
  <c r="G19" i="5"/>
  <c r="B20" i="5"/>
  <c r="C20" i="5"/>
  <c r="D20" i="5"/>
  <c r="E20" i="5" s="1"/>
  <c r="F20" i="5"/>
  <c r="G20" i="5"/>
  <c r="B21" i="5"/>
  <c r="C21" i="5"/>
  <c r="E21" i="5"/>
  <c r="F21" i="5"/>
  <c r="G21" i="5" s="1"/>
  <c r="H21" i="5"/>
  <c r="I21" i="5"/>
  <c r="J21" i="5"/>
  <c r="K21" i="5"/>
  <c r="L21" i="5"/>
  <c r="M21" i="5"/>
  <c r="N21" i="5"/>
  <c r="O21" i="5"/>
  <c r="P21" i="5"/>
  <c r="Q21" i="5"/>
  <c r="D21" i="5" s="1"/>
  <c r="R21" i="5"/>
  <c r="S21" i="5"/>
  <c r="T21" i="5"/>
  <c r="B22" i="5"/>
  <c r="C22" i="5" s="1"/>
  <c r="F22" i="5"/>
  <c r="G22" i="5" s="1"/>
  <c r="H22" i="5"/>
  <c r="I22" i="5"/>
  <c r="J22" i="5"/>
  <c r="K22" i="5"/>
  <c r="L22" i="5"/>
  <c r="M22" i="5"/>
  <c r="N22" i="5"/>
  <c r="O22" i="5"/>
  <c r="P22" i="5"/>
  <c r="Q22" i="5"/>
  <c r="R22" i="5"/>
  <c r="D22" i="5" s="1"/>
  <c r="E22" i="5" s="1"/>
  <c r="D32" i="15" s="1"/>
  <c r="F32" i="15" s="1"/>
  <c r="S22" i="5"/>
  <c r="T22" i="5"/>
  <c r="B23" i="5"/>
  <c r="C23" i="5"/>
  <c r="D23" i="5"/>
  <c r="E23" i="5"/>
  <c r="F23" i="5"/>
  <c r="G23" i="5"/>
  <c r="B24" i="5"/>
  <c r="C24" i="5" s="1"/>
  <c r="H24" i="5"/>
  <c r="J24" i="5"/>
  <c r="K24" i="5"/>
  <c r="L24" i="5"/>
  <c r="M24" i="5"/>
  <c r="N24" i="5"/>
  <c r="F24" i="5" s="1"/>
  <c r="G24" i="5" s="1"/>
  <c r="O24" i="5"/>
  <c r="P24" i="5"/>
  <c r="Q24" i="5"/>
  <c r="D24" i="5" s="1"/>
  <c r="E24" i="5" s="1"/>
  <c r="D26" i="15" s="1"/>
  <c r="F26" i="15" s="1"/>
  <c r="R24" i="5"/>
  <c r="B25" i="5"/>
  <c r="C25" i="5" s="1"/>
  <c r="E25" i="5"/>
  <c r="D27" i="15" s="1"/>
  <c r="F27" i="15" s="1"/>
  <c r="H25" i="5"/>
  <c r="I25" i="5"/>
  <c r="J25" i="5"/>
  <c r="K25" i="5"/>
  <c r="L25" i="5"/>
  <c r="M25" i="5"/>
  <c r="F25" i="5" s="1"/>
  <c r="G25" i="5" s="1"/>
  <c r="N25" i="5"/>
  <c r="O25" i="5"/>
  <c r="P25" i="5"/>
  <c r="Q25" i="5"/>
  <c r="D25" i="5" s="1"/>
  <c r="R25" i="5"/>
  <c r="S25" i="5"/>
  <c r="B26" i="5"/>
  <c r="C26" i="5"/>
  <c r="H26" i="5"/>
  <c r="I26" i="5"/>
  <c r="J26" i="5"/>
  <c r="K26" i="5"/>
  <c r="L26" i="5"/>
  <c r="M26" i="5"/>
  <c r="N26" i="5"/>
  <c r="O26" i="5"/>
  <c r="P26" i="5"/>
  <c r="Q26" i="5"/>
  <c r="R26" i="5"/>
  <c r="S26" i="5"/>
  <c r="D26" i="5" s="1"/>
  <c r="E26" i="5" s="1"/>
  <c r="D28" i="15" s="1"/>
  <c r="B27" i="5"/>
  <c r="C27" i="5"/>
  <c r="D27" i="5"/>
  <c r="E27" i="5"/>
  <c r="D29" i="15" s="1"/>
  <c r="F29" i="15" s="1"/>
  <c r="F27" i="5"/>
  <c r="G27" i="5" s="1"/>
  <c r="B28" i="5"/>
  <c r="C28" i="5"/>
  <c r="D28" i="5"/>
  <c r="E28" i="5"/>
  <c r="F28" i="5"/>
  <c r="G28" i="5"/>
  <c r="B29" i="5"/>
  <c r="C29" i="5" s="1"/>
  <c r="B29" i="8" s="1"/>
  <c r="D29" i="5"/>
  <c r="E29" i="5"/>
  <c r="D21" i="15" s="1"/>
  <c r="F29" i="5"/>
  <c r="G29" i="5"/>
  <c r="B30" i="5"/>
  <c r="C30" i="5"/>
  <c r="D30" i="5"/>
  <c r="E30" i="5" s="1"/>
  <c r="F30" i="5"/>
  <c r="G30" i="5"/>
  <c r="B31" i="5"/>
  <c r="C31" i="5"/>
  <c r="D31" i="5"/>
  <c r="E31" i="5"/>
  <c r="F31" i="5"/>
  <c r="G31" i="5" s="1"/>
  <c r="B32" i="5"/>
  <c r="C32" i="5"/>
  <c r="D32" i="5"/>
  <c r="E32" i="5"/>
  <c r="F32" i="5"/>
  <c r="G32" i="5"/>
  <c r="B33" i="5"/>
  <c r="C33" i="5" s="1"/>
  <c r="D33" i="5"/>
  <c r="E33" i="5"/>
  <c r="D33" i="15" s="1"/>
  <c r="F33" i="5"/>
  <c r="G33" i="5"/>
  <c r="B34" i="5"/>
  <c r="C34" i="5"/>
  <c r="B34" i="8" s="1"/>
  <c r="D34" i="5"/>
  <c r="E34" i="5" s="1"/>
  <c r="D34" i="15" s="1"/>
  <c r="F34" i="5"/>
  <c r="G34" i="5"/>
  <c r="D34" i="17" s="1"/>
  <c r="B35" i="5"/>
  <c r="C35" i="5"/>
  <c r="D35" i="5"/>
  <c r="E35" i="5"/>
  <c r="F35" i="5"/>
  <c r="G35" i="5" s="1"/>
  <c r="B36" i="5"/>
  <c r="C36" i="5"/>
  <c r="B38" i="8" s="1"/>
  <c r="F36" i="5"/>
  <c r="G36" i="5"/>
  <c r="S36" i="5"/>
  <c r="D36" i="5" s="1"/>
  <c r="E36" i="5" s="1"/>
  <c r="B37" i="5"/>
  <c r="B38" i="5"/>
  <c r="B39" i="5"/>
  <c r="B4" i="2" s="1"/>
  <c r="B30" i="2" s="1"/>
  <c r="C30" i="2" s="1"/>
  <c r="B3" i="4"/>
  <c r="B7" i="4" s="1"/>
  <c r="B4" i="4"/>
  <c r="B9" i="4" s="1"/>
  <c r="B10" i="4" s="1"/>
  <c r="B8" i="4"/>
  <c r="C9" i="4"/>
  <c r="B15" i="4"/>
  <c r="B16" i="4"/>
  <c r="B17" i="4"/>
  <c r="B18" i="4"/>
  <c r="C22" i="4"/>
  <c r="C34" i="4"/>
  <c r="E29" i="8" s="1"/>
  <c r="C35" i="4"/>
  <c r="C37" i="4"/>
  <c r="C38" i="4"/>
  <c r="C40" i="4"/>
  <c r="C22" i="15" s="1"/>
  <c r="C41" i="4"/>
  <c r="B5" i="1"/>
  <c r="B7" i="1"/>
  <c r="B8" i="1"/>
  <c r="B15" i="1"/>
  <c r="B17" i="1"/>
  <c r="B18" i="1"/>
  <c r="B23" i="1"/>
  <c r="B25" i="1"/>
  <c r="B26" i="1"/>
  <c r="K3" i="8"/>
  <c r="B4" i="8"/>
  <c r="B6" i="8" s="1"/>
  <c r="B9" i="8"/>
  <c r="B11" i="8"/>
  <c r="C13" i="8"/>
  <c r="B27" i="8"/>
  <c r="E30" i="8"/>
  <c r="B31" i="8"/>
  <c r="B33" i="8"/>
  <c r="E33" i="8"/>
  <c r="E34" i="8"/>
  <c r="B35" i="8"/>
  <c r="E35" i="8"/>
  <c r="F36" i="8"/>
  <c r="G36" i="8"/>
  <c r="B37" i="8"/>
  <c r="D39" i="8"/>
  <c r="E39" i="8"/>
  <c r="D43" i="8"/>
  <c r="E43" i="8"/>
  <c r="B4" i="15"/>
  <c r="B6" i="15" s="1"/>
  <c r="T4" i="15"/>
  <c r="J5" i="15"/>
  <c r="T5" i="15"/>
  <c r="T6" i="15"/>
  <c r="T7" i="15"/>
  <c r="U8" i="15"/>
  <c r="T8" i="15" s="1"/>
  <c r="B9" i="15"/>
  <c r="B10" i="15" s="1"/>
  <c r="C9" i="15"/>
  <c r="T9" i="15"/>
  <c r="U9" i="15"/>
  <c r="C10" i="15"/>
  <c r="T10" i="15"/>
  <c r="B11" i="15"/>
  <c r="C11" i="15" s="1"/>
  <c r="T11" i="15"/>
  <c r="M38" i="15" s="1"/>
  <c r="C12" i="15"/>
  <c r="C13" i="15"/>
  <c r="D22" i="15"/>
  <c r="F22" i="15" s="1"/>
  <c r="D23" i="15"/>
  <c r="F23" i="15" s="1"/>
  <c r="D24" i="15"/>
  <c r="F24" i="15" s="1"/>
  <c r="D25" i="15"/>
  <c r="F25" i="15" s="1"/>
  <c r="N25" i="15"/>
  <c r="D30" i="15"/>
  <c r="D31" i="15"/>
  <c r="F31" i="15" s="1"/>
  <c r="C33" i="15"/>
  <c r="C34" i="15"/>
  <c r="C35" i="15"/>
  <c r="D35" i="15"/>
  <c r="M37" i="15"/>
  <c r="B38" i="15"/>
  <c r="C38" i="15"/>
  <c r="B39" i="15"/>
  <c r="C39" i="15"/>
  <c r="B43" i="15"/>
  <c r="C43" i="15"/>
  <c r="B3" i="6"/>
  <c r="B9" i="6"/>
  <c r="B15" i="6"/>
  <c r="B17" i="6"/>
  <c r="C17" i="6"/>
  <c r="B18" i="6"/>
  <c r="B20" i="6"/>
  <c r="C20" i="6" s="1"/>
  <c r="B21" i="6"/>
  <c r="C21" i="6" s="1"/>
  <c r="B25" i="6"/>
  <c r="B27" i="6"/>
  <c r="B29" i="6"/>
  <c r="B34" i="6"/>
  <c r="C34" i="6"/>
  <c r="C35" i="6"/>
  <c r="B36" i="6"/>
  <c r="C37" i="6"/>
  <c r="B38" i="6"/>
  <c r="B42" i="6"/>
  <c r="B44" i="6"/>
  <c r="B46" i="6" s="1"/>
  <c r="C46" i="6" s="1"/>
  <c r="D45" i="6"/>
  <c r="E45" i="6" s="1"/>
  <c r="F45" i="6" s="1"/>
  <c r="B50" i="6"/>
  <c r="B52" i="6"/>
  <c r="B54" i="6" s="1"/>
  <c r="B58" i="6"/>
  <c r="C58" i="6" s="1"/>
  <c r="B60" i="6"/>
  <c r="C60" i="6"/>
  <c r="B62" i="6"/>
  <c r="B66" i="6"/>
  <c r="B68" i="6"/>
  <c r="C68" i="6" s="1"/>
  <c r="C69" i="6"/>
  <c r="B70" i="6"/>
  <c r="C70" i="6" s="1"/>
  <c r="B74" i="6"/>
  <c r="B76" i="6"/>
  <c r="G8" i="20"/>
  <c r="B11" i="2" s="1"/>
  <c r="C11" i="2" s="1"/>
  <c r="D44" i="8" s="1"/>
  <c r="B10" i="20"/>
  <c r="C10" i="20"/>
  <c r="D10" i="20"/>
  <c r="E10" i="20"/>
  <c r="F10" i="20"/>
  <c r="G10" i="20"/>
  <c r="H10" i="20"/>
  <c r="I10" i="20"/>
  <c r="J10" i="20"/>
  <c r="K10" i="20"/>
  <c r="L10" i="20"/>
  <c r="M10" i="20"/>
  <c r="B21" i="20"/>
  <c r="C21" i="20"/>
  <c r="D21" i="20"/>
  <c r="E21" i="20"/>
  <c r="F21" i="20"/>
  <c r="G21" i="20"/>
  <c r="G19" i="20" s="1"/>
  <c r="B18" i="2" s="1"/>
  <c r="C18" i="2" s="1"/>
  <c r="H21" i="20"/>
  <c r="I21" i="20"/>
  <c r="J21" i="20"/>
  <c r="K21" i="20"/>
  <c r="L21" i="20"/>
  <c r="M21" i="20"/>
  <c r="B31" i="20"/>
  <c r="C31" i="20"/>
  <c r="D31" i="20"/>
  <c r="E31" i="20"/>
  <c r="F31" i="20"/>
  <c r="G29" i="20" s="1"/>
  <c r="G31" i="20"/>
  <c r="H31" i="20"/>
  <c r="I31" i="20"/>
  <c r="J31" i="20"/>
  <c r="K31" i="20"/>
  <c r="L31" i="20"/>
  <c r="M31" i="20"/>
  <c r="G39" i="20"/>
  <c r="B41" i="20"/>
  <c r="C41" i="20"/>
  <c r="D41" i="20"/>
  <c r="E41" i="20"/>
  <c r="F41" i="20"/>
  <c r="G41" i="20"/>
  <c r="H41" i="20"/>
  <c r="I41" i="20"/>
  <c r="J41" i="20"/>
  <c r="K41" i="20"/>
  <c r="L41" i="20"/>
  <c r="M41" i="20"/>
  <c r="B3" i="2"/>
  <c r="B7" i="2"/>
  <c r="B8" i="2"/>
  <c r="B9" i="2"/>
  <c r="C9" i="2"/>
  <c r="B10" i="2"/>
  <c r="B14" i="2"/>
  <c r="C14" i="2" s="1"/>
  <c r="B24" i="2"/>
  <c r="C24" i="2" s="1"/>
  <c r="B36" i="2"/>
  <c r="B37" i="2"/>
  <c r="B38" i="2"/>
  <c r="B42" i="2"/>
  <c r="B43" i="2"/>
  <c r="B44" i="2"/>
  <c r="C44" i="2" s="1"/>
  <c r="B4" i="17"/>
  <c r="T4" i="17"/>
  <c r="B4" i="6" s="1"/>
  <c r="J5" i="17"/>
  <c r="T5" i="17"/>
  <c r="T6" i="17"/>
  <c r="T7" i="17"/>
  <c r="T8" i="17"/>
  <c r="U8" i="17"/>
  <c r="T9" i="17"/>
  <c r="N25" i="17" s="1"/>
  <c r="U9" i="17"/>
  <c r="B10" i="17"/>
  <c r="C10" i="17" s="1"/>
  <c r="T10" i="17"/>
  <c r="B11" i="17"/>
  <c r="C11" i="17" s="1"/>
  <c r="F38" i="17" s="1"/>
  <c r="G38" i="17" s="1"/>
  <c r="J38" i="17" s="1"/>
  <c r="T11" i="17"/>
  <c r="C12" i="17"/>
  <c r="C13" i="17"/>
  <c r="D17" i="17"/>
  <c r="F17" i="17" s="1"/>
  <c r="D20" i="17"/>
  <c r="F20" i="17" s="1"/>
  <c r="D21" i="17"/>
  <c r="F21" i="17"/>
  <c r="D22" i="17"/>
  <c r="F22" i="17" s="1"/>
  <c r="G22" i="17"/>
  <c r="J22" i="17" s="1"/>
  <c r="M22" i="17"/>
  <c r="D23" i="17"/>
  <c r="F23" i="17" s="1"/>
  <c r="D24" i="17"/>
  <c r="F24" i="17" s="1"/>
  <c r="D25" i="17"/>
  <c r="F25" i="17" s="1"/>
  <c r="D26" i="17"/>
  <c r="F26" i="17" s="1"/>
  <c r="D27" i="17"/>
  <c r="F27" i="17" s="1"/>
  <c r="D29" i="17"/>
  <c r="F29" i="17" s="1"/>
  <c r="D30" i="17"/>
  <c r="F30" i="17" s="1"/>
  <c r="B31" i="17"/>
  <c r="D31" i="17"/>
  <c r="F31" i="17" s="1"/>
  <c r="C33" i="17"/>
  <c r="D33" i="17"/>
  <c r="C34" i="17"/>
  <c r="C35" i="17"/>
  <c r="D35" i="17"/>
  <c r="M37" i="17"/>
  <c r="B38" i="17"/>
  <c r="C38" i="17"/>
  <c r="D38" i="17"/>
  <c r="M38" i="17"/>
  <c r="B39" i="17"/>
  <c r="C39" i="17"/>
  <c r="D39" i="17"/>
  <c r="B40" i="17"/>
  <c r="D41" i="17"/>
  <c r="D42" i="17"/>
  <c r="B43" i="17"/>
  <c r="C43" i="17"/>
  <c r="D43" i="17"/>
  <c r="F43" i="17" s="1"/>
  <c r="H43" i="17"/>
  <c r="K43" i="17"/>
  <c r="D44" i="17"/>
  <c r="F44" i="17" s="1"/>
  <c r="G40" i="17" l="1"/>
  <c r="J40" i="17" s="1"/>
  <c r="B10" i="8"/>
  <c r="C10" i="8" s="1"/>
  <c r="E44" i="8"/>
  <c r="O25" i="17"/>
  <c r="B9" i="17"/>
  <c r="C9" i="17" s="1"/>
  <c r="H24" i="15"/>
  <c r="K24" i="15" s="1"/>
  <c r="F41" i="15"/>
  <c r="N37" i="17"/>
  <c r="O37" i="17" s="1"/>
  <c r="N38" i="17"/>
  <c r="O38" i="17" s="1"/>
  <c r="P38" i="17" s="1"/>
  <c r="Q38" i="17" s="1"/>
  <c r="N22" i="17"/>
  <c r="O22" i="17" s="1"/>
  <c r="P22" i="17" s="1"/>
  <c r="Q22" i="17" s="1"/>
  <c r="D19" i="6"/>
  <c r="E19" i="6" s="1"/>
  <c r="F19" i="6" s="1"/>
  <c r="D37" i="6"/>
  <c r="E37" i="6" s="1"/>
  <c r="F37" i="6" s="1"/>
  <c r="D61" i="6"/>
  <c r="E61" i="6" s="1"/>
  <c r="F61" i="6" s="1"/>
  <c r="D11" i="6"/>
  <c r="E11" i="6" s="1"/>
  <c r="F11" i="6" s="1"/>
  <c r="D28" i="6"/>
  <c r="E28" i="6" s="1"/>
  <c r="F28" i="6" s="1"/>
  <c r="D53" i="6"/>
  <c r="E53" i="6" s="1"/>
  <c r="F53" i="6" s="1"/>
  <c r="D69" i="6"/>
  <c r="E69" i="6" s="1"/>
  <c r="F69" i="6" s="1"/>
  <c r="D77" i="6"/>
  <c r="E77" i="6" s="1"/>
  <c r="F77" i="6" s="1"/>
  <c r="B44" i="17"/>
  <c r="G44" i="17" s="1"/>
  <c r="J44" i="17" s="1"/>
  <c r="F42" i="17"/>
  <c r="G31" i="17"/>
  <c r="J31" i="17" s="1"/>
  <c r="B44" i="15"/>
  <c r="C61" i="6"/>
  <c r="E27" i="8" s="1"/>
  <c r="C67" i="6"/>
  <c r="C15" i="6"/>
  <c r="C26" i="6"/>
  <c r="C29" i="6"/>
  <c r="C44" i="6"/>
  <c r="C50" i="6"/>
  <c r="C10" i="2"/>
  <c r="C42" i="2"/>
  <c r="I36" i="8"/>
  <c r="C16" i="6"/>
  <c r="C45" i="6"/>
  <c r="E25" i="8" s="1"/>
  <c r="C51" i="6"/>
  <c r="C53" i="6"/>
  <c r="C59" i="6"/>
  <c r="C77" i="6"/>
  <c r="C15" i="4"/>
  <c r="C38" i="2"/>
  <c r="C28" i="6"/>
  <c r="C52" i="6"/>
  <c r="C17" i="4"/>
  <c r="C19" i="6"/>
  <c r="C38" i="6"/>
  <c r="C26" i="15" s="1"/>
  <c r="H26" i="15" s="1"/>
  <c r="K26" i="15" s="1"/>
  <c r="C75" i="6"/>
  <c r="E31" i="8" s="1"/>
  <c r="C7" i="2"/>
  <c r="C43" i="2"/>
  <c r="C7" i="4"/>
  <c r="C10" i="6"/>
  <c r="D38" i="8"/>
  <c r="C11" i="6"/>
  <c r="C43" i="6"/>
  <c r="C66" i="6"/>
  <c r="C31" i="15" s="1"/>
  <c r="H31" i="15" s="1"/>
  <c r="K31" i="15" s="1"/>
  <c r="C36" i="2"/>
  <c r="G44" i="15"/>
  <c r="J44" i="15" s="1"/>
  <c r="G39" i="15"/>
  <c r="J39" i="15" s="1"/>
  <c r="E17" i="8"/>
  <c r="B17" i="8"/>
  <c r="G43" i="17"/>
  <c r="J43" i="17" s="1"/>
  <c r="C27" i="6"/>
  <c r="M25" i="15"/>
  <c r="O25" i="15" s="1"/>
  <c r="M22" i="15"/>
  <c r="D19" i="17"/>
  <c r="F19" i="17" s="1"/>
  <c r="D18" i="17"/>
  <c r="F18" i="17" s="1"/>
  <c r="C40" i="17"/>
  <c r="H40" i="17" s="1"/>
  <c r="K40" i="17" s="1"/>
  <c r="N37" i="15"/>
  <c r="O37" i="15" s="1"/>
  <c r="N22" i="15"/>
  <c r="O22" i="15" s="1"/>
  <c r="P22" i="15" s="1"/>
  <c r="Q22" i="15" s="1"/>
  <c r="N38" i="15"/>
  <c r="O38" i="15" s="1"/>
  <c r="E21" i="8"/>
  <c r="B21" i="8"/>
  <c r="C23" i="15"/>
  <c r="H23" i="15" s="1"/>
  <c r="K23" i="15" s="1"/>
  <c r="F41" i="17"/>
  <c r="F39" i="17"/>
  <c r="C37" i="2"/>
  <c r="G31" i="15"/>
  <c r="J31" i="15" s="1"/>
  <c r="C21" i="15"/>
  <c r="C16" i="4"/>
  <c r="D32" i="17"/>
  <c r="F32" i="17" s="1"/>
  <c r="C25" i="17"/>
  <c r="H25" i="17" s="1"/>
  <c r="K25" i="17" s="1"/>
  <c r="G22" i="15"/>
  <c r="J22" i="15" s="1"/>
  <c r="H22" i="15"/>
  <c r="K22" i="15" s="1"/>
  <c r="C41" i="15"/>
  <c r="G21" i="17"/>
  <c r="J21" i="17" s="1"/>
  <c r="C25" i="6"/>
  <c r="J36" i="8"/>
  <c r="D38" i="15"/>
  <c r="F38" i="15" s="1"/>
  <c r="G38" i="15" s="1"/>
  <c r="J38" i="15" s="1"/>
  <c r="D37" i="15"/>
  <c r="F37" i="15" s="1"/>
  <c r="G37" i="15" s="1"/>
  <c r="J37" i="15" s="1"/>
  <c r="C27" i="15"/>
  <c r="H27" i="15" s="1"/>
  <c r="K27" i="15" s="1"/>
  <c r="B25" i="8"/>
  <c r="E22" i="8"/>
  <c r="B22" i="8"/>
  <c r="C24" i="15"/>
  <c r="B32" i="8"/>
  <c r="C32" i="15"/>
  <c r="H32" i="15" s="1"/>
  <c r="K32" i="15" s="1"/>
  <c r="C20" i="17"/>
  <c r="H20" i="17" s="1"/>
  <c r="K20" i="17" s="1"/>
  <c r="F30" i="15"/>
  <c r="C8" i="4"/>
  <c r="E40" i="8" s="1"/>
  <c r="B26" i="8"/>
  <c r="E23" i="8"/>
  <c r="B23" i="8"/>
  <c r="D40" i="15"/>
  <c r="F40" i="15" s="1"/>
  <c r="C44" i="15"/>
  <c r="H44" i="15" s="1"/>
  <c r="K44" i="15" s="1"/>
  <c r="B44" i="8"/>
  <c r="C3" i="5"/>
  <c r="C8" i="2"/>
  <c r="B25" i="2"/>
  <c r="C25" i="2" s="1"/>
  <c r="C42" i="6"/>
  <c r="C43" i="8"/>
  <c r="D18" i="15"/>
  <c r="F18" i="15" s="1"/>
  <c r="B40" i="8"/>
  <c r="B5" i="17"/>
  <c r="C29" i="17" s="1"/>
  <c r="H29" i="17" s="1"/>
  <c r="K29" i="17" s="1"/>
  <c r="C62" i="6"/>
  <c r="C54" i="6"/>
  <c r="C28" i="15" s="1"/>
  <c r="C9" i="6"/>
  <c r="C25" i="15"/>
  <c r="H25" i="15" s="1"/>
  <c r="K25" i="15" s="1"/>
  <c r="C12" i="8"/>
  <c r="C39" i="8" s="1"/>
  <c r="C10" i="4"/>
  <c r="E32" i="8"/>
  <c r="F26" i="5"/>
  <c r="G26" i="5" s="1"/>
  <c r="C18" i="15"/>
  <c r="E18" i="8"/>
  <c r="B18" i="8"/>
  <c r="B32" i="2"/>
  <c r="C32" i="2" s="1"/>
  <c r="E41" i="8" s="1"/>
  <c r="B78" i="6"/>
  <c r="C78" i="6" s="1"/>
  <c r="C76" i="6"/>
  <c r="D31" i="8"/>
  <c r="C18" i="4"/>
  <c r="C20" i="15" s="1"/>
  <c r="D37" i="17"/>
  <c r="M25" i="17"/>
  <c r="C74" i="6"/>
  <c r="C18" i="6"/>
  <c r="B40" i="15"/>
  <c r="D40" i="8"/>
  <c r="C11" i="8"/>
  <c r="F28" i="15"/>
  <c r="E24" i="8"/>
  <c r="B24" i="8"/>
  <c r="C4" i="5"/>
  <c r="C5" i="5" s="1"/>
  <c r="B16" i="2"/>
  <c r="C16" i="2" s="1"/>
  <c r="B22" i="2"/>
  <c r="C22" i="2" s="1"/>
  <c r="B28" i="2"/>
  <c r="C28" i="2" s="1"/>
  <c r="B17" i="2"/>
  <c r="C17" i="2" s="1"/>
  <c r="B23" i="2"/>
  <c r="C23" i="2" s="1"/>
  <c r="B29" i="2"/>
  <c r="C29" i="2" s="1"/>
  <c r="B15" i="2"/>
  <c r="C15" i="2" s="1"/>
  <c r="B21" i="2"/>
  <c r="C21" i="2" s="1"/>
  <c r="B31" i="2"/>
  <c r="C31" i="2" s="1"/>
  <c r="C30" i="15"/>
  <c r="E28" i="8"/>
  <c r="B28" i="8"/>
  <c r="D20" i="8"/>
  <c r="E20" i="8"/>
  <c r="B20" i="8"/>
  <c r="D17" i="15"/>
  <c r="F17" i="15" s="1"/>
  <c r="D20" i="15"/>
  <c r="F20" i="15" s="1"/>
  <c r="D19" i="15"/>
  <c r="F19" i="15" s="1"/>
  <c r="D42" i="15"/>
  <c r="F42" i="15" s="1"/>
  <c r="D43" i="15"/>
  <c r="F43" i="15" s="1"/>
  <c r="C36" i="6"/>
  <c r="B26" i="17" s="1"/>
  <c r="G26" i="17" s="1"/>
  <c r="J26" i="17" s="1"/>
  <c r="B31" i="15"/>
  <c r="C9" i="8"/>
  <c r="C37" i="8" s="1"/>
  <c r="F21" i="15"/>
  <c r="D19" i="8"/>
  <c r="C19" i="15"/>
  <c r="C42" i="15"/>
  <c r="E19" i="8"/>
  <c r="B42" i="8"/>
  <c r="B43" i="8"/>
  <c r="B19" i="8"/>
  <c r="C28" i="17" l="1"/>
  <c r="D28" i="17"/>
  <c r="F28" i="17" s="1"/>
  <c r="G21" i="15"/>
  <c r="J21" i="15" s="1"/>
  <c r="H21" i="15"/>
  <c r="K21" i="15" s="1"/>
  <c r="D21" i="8"/>
  <c r="B23" i="15"/>
  <c r="G23" i="15" s="1"/>
  <c r="J23" i="15" s="1"/>
  <c r="B23" i="17"/>
  <c r="G23" i="17" s="1"/>
  <c r="J23" i="17" s="1"/>
  <c r="D23" i="8"/>
  <c r="B25" i="15"/>
  <c r="G25" i="15" s="1"/>
  <c r="J25" i="15" s="1"/>
  <c r="B25" i="17"/>
  <c r="G25" i="17" s="1"/>
  <c r="J25" i="17" s="1"/>
  <c r="C44" i="17"/>
  <c r="H44" i="17" s="1"/>
  <c r="K44" i="17" s="1"/>
  <c r="H42" i="15"/>
  <c r="K42" i="15" s="1"/>
  <c r="F37" i="17"/>
  <c r="G37" i="17" s="1"/>
  <c r="J37" i="17" s="1"/>
  <c r="C14" i="15"/>
  <c r="D17" i="8"/>
  <c r="B19" i="15"/>
  <c r="B17" i="15"/>
  <c r="B17" i="17"/>
  <c r="G17" i="17" s="1"/>
  <c r="J17" i="17" s="1"/>
  <c r="B18" i="15"/>
  <c r="B18" i="17"/>
  <c r="B20" i="17"/>
  <c r="G20" i="17" s="1"/>
  <c r="J20" i="17" s="1"/>
  <c r="G39" i="17"/>
  <c r="J39" i="17" s="1"/>
  <c r="H39" i="17"/>
  <c r="K39" i="17" s="1"/>
  <c r="P37" i="15"/>
  <c r="Q37" i="15" s="1"/>
  <c r="D22" i="8"/>
  <c r="B24" i="15"/>
  <c r="G24" i="15" s="1"/>
  <c r="J24" i="15" s="1"/>
  <c r="B24" i="17"/>
  <c r="G24" i="17" s="1"/>
  <c r="J24" i="17" s="1"/>
  <c r="H41" i="15"/>
  <c r="K41" i="15" s="1"/>
  <c r="G20" i="15"/>
  <c r="J20" i="15" s="1"/>
  <c r="H20" i="15"/>
  <c r="K20" i="15" s="1"/>
  <c r="C40" i="8"/>
  <c r="C41" i="8"/>
  <c r="C42" i="8"/>
  <c r="C38" i="8"/>
  <c r="G43" i="15"/>
  <c r="J43" i="15" s="1"/>
  <c r="H43" i="15"/>
  <c r="K43" i="15" s="1"/>
  <c r="F43" i="8"/>
  <c r="I43" i="8" s="1"/>
  <c r="G43" i="8"/>
  <c r="J43" i="8" s="1"/>
  <c r="H19" i="15"/>
  <c r="K19" i="15" s="1"/>
  <c r="G19" i="15"/>
  <c r="J19" i="15" s="1"/>
  <c r="H28" i="15"/>
  <c r="K28" i="15" s="1"/>
  <c r="D18" i="8"/>
  <c r="H40" i="15"/>
  <c r="K40" i="15" s="1"/>
  <c r="G40" i="15"/>
  <c r="J40" i="15" s="1"/>
  <c r="H30" i="15"/>
  <c r="K30" i="15" s="1"/>
  <c r="B20" i="15"/>
  <c r="D28" i="8"/>
  <c r="B30" i="15"/>
  <c r="G30" i="15" s="1"/>
  <c r="J30" i="15" s="1"/>
  <c r="B30" i="17"/>
  <c r="G30" i="17" s="1"/>
  <c r="J30" i="17" s="1"/>
  <c r="P25" i="17"/>
  <c r="Q25" i="17" s="1"/>
  <c r="G17" i="15"/>
  <c r="J17" i="15" s="1"/>
  <c r="C27" i="17"/>
  <c r="H27" i="17" s="1"/>
  <c r="K27" i="17" s="1"/>
  <c r="C30" i="17"/>
  <c r="H30" i="17" s="1"/>
  <c r="K30" i="17" s="1"/>
  <c r="C31" i="17"/>
  <c r="H31" i="17" s="1"/>
  <c r="K31" i="17" s="1"/>
  <c r="C17" i="17"/>
  <c r="H17" i="17" s="1"/>
  <c r="K17" i="17" s="1"/>
  <c r="C23" i="17"/>
  <c r="H23" i="17" s="1"/>
  <c r="K23" i="17" s="1"/>
  <c r="C32" i="17"/>
  <c r="C22" i="17"/>
  <c r="H22" i="17" s="1"/>
  <c r="K22" i="17" s="1"/>
  <c r="C21" i="17"/>
  <c r="H21" i="17" s="1"/>
  <c r="K21" i="17" s="1"/>
  <c r="C24" i="17"/>
  <c r="H24" i="17" s="1"/>
  <c r="G18" i="17"/>
  <c r="J18" i="17" s="1"/>
  <c r="C29" i="15"/>
  <c r="H29" i="15" s="1"/>
  <c r="K29" i="15" s="1"/>
  <c r="H32" i="17"/>
  <c r="K32" i="17" s="1"/>
  <c r="D25" i="8"/>
  <c r="B27" i="15"/>
  <c r="G27" i="15" s="1"/>
  <c r="J27" i="15" s="1"/>
  <c r="B27" i="17"/>
  <c r="G27" i="17" s="1"/>
  <c r="J27" i="17" s="1"/>
  <c r="D27" i="8"/>
  <c r="B29" i="15"/>
  <c r="G29" i="15" s="1"/>
  <c r="J29" i="15" s="1"/>
  <c r="B29" i="17"/>
  <c r="G29" i="17" s="1"/>
  <c r="J29" i="17" s="1"/>
  <c r="D42" i="8"/>
  <c r="B42" i="15"/>
  <c r="G42" i="15" s="1"/>
  <c r="J42" i="15" s="1"/>
  <c r="C42" i="17"/>
  <c r="H42" i="17" s="1"/>
  <c r="K42" i="17" s="1"/>
  <c r="D41" i="8"/>
  <c r="B41" i="15"/>
  <c r="G41" i="15" s="1"/>
  <c r="J41" i="15" s="1"/>
  <c r="E42" i="8"/>
  <c r="B41" i="17"/>
  <c r="G41" i="17" s="1"/>
  <c r="J41" i="17" s="1"/>
  <c r="B42" i="17"/>
  <c r="G42" i="17" s="1"/>
  <c r="J42" i="17" s="1"/>
  <c r="F39" i="8"/>
  <c r="I39" i="8" s="1"/>
  <c r="G39" i="8"/>
  <c r="J39" i="8" s="1"/>
  <c r="C40" i="15"/>
  <c r="E26" i="8"/>
  <c r="C26" i="17"/>
  <c r="H26" i="17" s="1"/>
  <c r="K26" i="17" s="1"/>
  <c r="C18" i="17"/>
  <c r="H18" i="17" s="1"/>
  <c r="K18" i="17" s="1"/>
  <c r="C17" i="15"/>
  <c r="H17" i="15" s="1"/>
  <c r="K17" i="15" s="1"/>
  <c r="B26" i="15"/>
  <c r="G26" i="15" s="1"/>
  <c r="J26" i="15" s="1"/>
  <c r="F37" i="8"/>
  <c r="I37" i="8" s="1"/>
  <c r="G37" i="8"/>
  <c r="J37" i="8" s="1"/>
  <c r="C44" i="8"/>
  <c r="C31" i="8"/>
  <c r="C32" i="8"/>
  <c r="C30" i="8"/>
  <c r="C18" i="8"/>
  <c r="C26" i="8"/>
  <c r="C24" i="8"/>
  <c r="C29" i="8"/>
  <c r="C22" i="8"/>
  <c r="C27" i="8"/>
  <c r="C19" i="8"/>
  <c r="C17" i="8"/>
  <c r="C25" i="8"/>
  <c r="C21" i="8"/>
  <c r="C28" i="8"/>
  <c r="C23" i="8"/>
  <c r="C20" i="8"/>
  <c r="G18" i="15"/>
  <c r="J18" i="15" s="1"/>
  <c r="H18" i="15"/>
  <c r="K18" i="15" s="1"/>
  <c r="C41" i="17"/>
  <c r="H41" i="17" s="1"/>
  <c r="K41" i="17" s="1"/>
  <c r="P38" i="15"/>
  <c r="Q38" i="15" s="1"/>
  <c r="B19" i="17"/>
  <c r="G19" i="17" s="1"/>
  <c r="J19" i="17" s="1"/>
  <c r="C19" i="17"/>
  <c r="H19" i="17" s="1"/>
  <c r="K19" i="17" s="1"/>
  <c r="D26" i="8"/>
  <c r="B28" i="17"/>
  <c r="B28" i="15"/>
  <c r="G28" i="15" s="1"/>
  <c r="J28" i="15" s="1"/>
  <c r="P37" i="17"/>
  <c r="Q37" i="17" s="1"/>
  <c r="D24" i="8"/>
  <c r="F19" i="8" l="1"/>
  <c r="I19" i="8" s="1"/>
  <c r="G19" i="8"/>
  <c r="J19" i="8" s="1"/>
  <c r="F20" i="8"/>
  <c r="I20" i="8" s="1"/>
  <c r="G20" i="8"/>
  <c r="J20" i="8" s="1"/>
  <c r="F22" i="8"/>
  <c r="I22" i="8" s="1"/>
  <c r="C14" i="8" s="1"/>
  <c r="G22" i="8"/>
  <c r="J22" i="8" s="1"/>
  <c r="K24" i="17"/>
  <c r="C14" i="17"/>
  <c r="F27" i="8"/>
  <c r="I27" i="8" s="1"/>
  <c r="G27" i="8"/>
  <c r="J27" i="8" s="1"/>
  <c r="F42" i="8"/>
  <c r="I42" i="8" s="1"/>
  <c r="G42" i="8"/>
  <c r="J42" i="8" s="1"/>
  <c r="F34" i="15"/>
  <c r="H34" i="15" s="1"/>
  <c r="K34" i="15" s="1"/>
  <c r="F33" i="15"/>
  <c r="H33" i="15" s="1"/>
  <c r="K33" i="15" s="1"/>
  <c r="F35" i="15"/>
  <c r="H35" i="15" s="1"/>
  <c r="K35" i="15" s="1"/>
  <c r="F31" i="8"/>
  <c r="I31" i="8" s="1"/>
  <c r="G31" i="8"/>
  <c r="J31" i="8" s="1"/>
  <c r="F23" i="8"/>
  <c r="I23" i="8" s="1"/>
  <c r="G23" i="8"/>
  <c r="J23" i="8" s="1"/>
  <c r="F24" i="8"/>
  <c r="I24" i="8" s="1"/>
  <c r="G24" i="8"/>
  <c r="J24" i="8" s="1"/>
  <c r="F21" i="8"/>
  <c r="I21" i="8" s="1"/>
  <c r="G21" i="8"/>
  <c r="J21" i="8" s="1"/>
  <c r="F26" i="8"/>
  <c r="I26" i="8" s="1"/>
  <c r="G26" i="8"/>
  <c r="J26" i="8" s="1"/>
  <c r="F41" i="8"/>
  <c r="I41" i="8" s="1"/>
  <c r="G41" i="8"/>
  <c r="J41" i="8" s="1"/>
  <c r="G28" i="17"/>
  <c r="J28" i="17" s="1"/>
  <c r="H28" i="17"/>
  <c r="K28" i="17" s="1"/>
  <c r="F29" i="8"/>
  <c r="I29" i="8" s="1"/>
  <c r="G29" i="8"/>
  <c r="J29" i="8" s="1"/>
  <c r="F44" i="8"/>
  <c r="I44" i="8" s="1"/>
  <c r="G44" i="8"/>
  <c r="J44" i="8" s="1"/>
  <c r="F18" i="8"/>
  <c r="I18" i="8" s="1"/>
  <c r="G18" i="8"/>
  <c r="J18" i="8" s="1"/>
  <c r="F40" i="8"/>
  <c r="I40" i="8" s="1"/>
  <c r="G40" i="8"/>
  <c r="J40" i="8" s="1"/>
  <c r="G32" i="8"/>
  <c r="J32" i="8" s="1"/>
  <c r="F32" i="8"/>
  <c r="I32" i="8" s="1"/>
  <c r="F38" i="8"/>
  <c r="I38" i="8" s="1"/>
  <c r="G38" i="8"/>
  <c r="J38" i="8" s="1"/>
  <c r="F28" i="8"/>
  <c r="I28" i="8" s="1"/>
  <c r="G28" i="8"/>
  <c r="J28" i="8" s="1"/>
  <c r="F25" i="8"/>
  <c r="I25" i="8" s="1"/>
  <c r="G25" i="8"/>
  <c r="J25" i="8" s="1"/>
  <c r="F17" i="8"/>
  <c r="I17" i="8" s="1"/>
  <c r="G17" i="8"/>
  <c r="J17" i="8" s="1"/>
  <c r="F30" i="8"/>
  <c r="I30" i="8" s="1"/>
  <c r="G30" i="8"/>
  <c r="J30" i="8" s="1"/>
  <c r="P25" i="15"/>
  <c r="Q25" i="15" s="1"/>
  <c r="F33" i="17" l="1"/>
  <c r="H33" i="17" s="1"/>
  <c r="K33" i="17" s="1"/>
  <c r="F34" i="17"/>
  <c r="H34" i="17" s="1"/>
  <c r="K34" i="17" s="1"/>
  <c r="F35" i="17"/>
  <c r="H35" i="17" s="1"/>
  <c r="K35" i="17" s="1"/>
  <c r="C35" i="8"/>
  <c r="C34" i="8"/>
  <c r="C33" i="8"/>
  <c r="F33" i="8" l="1"/>
  <c r="I33" i="8" s="1"/>
  <c r="G33" i="8"/>
  <c r="J33" i="8" s="1"/>
  <c r="F34" i="8"/>
  <c r="I34" i="8" s="1"/>
  <c r="G34" i="8"/>
  <c r="J34" i="8" s="1"/>
  <c r="G35" i="8"/>
  <c r="J35" i="8" s="1"/>
  <c r="F35" i="8"/>
  <c r="I35" i="8" s="1"/>
</calcChain>
</file>

<file path=xl/comments1.xml><?xml version="1.0" encoding="utf-8"?>
<comments xmlns="http://schemas.openxmlformats.org/spreadsheetml/2006/main">
  <authors>
    <author>rwatt</author>
  </authors>
  <commentList>
    <comment ref="B37" authorId="0" shapeId="0">
      <text>
        <r>
          <rPr>
            <b/>
            <sz val="8"/>
            <color indexed="81"/>
            <rFont val="Tahoma"/>
          </rPr>
          <t>rwatt:</t>
        </r>
        <r>
          <rPr>
            <sz val="8"/>
            <color indexed="81"/>
            <rFont val="Tahoma"/>
          </rPr>
          <t xml:space="preserve">
Less the 1.25% the producer would have had to pay NOVA to get to AECO.
</t>
        </r>
      </text>
    </comment>
  </commentList>
</comments>
</file>

<file path=xl/comments10.xml><?xml version="1.0" encoding="utf-8"?>
<comments xmlns="http://schemas.openxmlformats.org/spreadsheetml/2006/main">
  <authors>
    <author>icooke</author>
  </authors>
  <commentList>
    <comment ref="B24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A CAD/GJ figure converted into US/MMBTU's number;</t>
        </r>
        <r>
          <rPr>
            <sz val="8"/>
            <color indexed="10"/>
            <rFont val="Tahoma"/>
            <family val="2"/>
          </rPr>
          <t xml:space="preserve">Need to find where the number comes from </t>
        </r>
      </text>
    </comment>
  </commentList>
</comments>
</file>

<file path=xl/comments11.xml><?xml version="1.0" encoding="utf-8"?>
<comments xmlns="http://schemas.openxmlformats.org/spreadsheetml/2006/main">
  <authors>
    <author>icooke</author>
    <author>sbrodeu</author>
  </authors>
  <commentList>
    <comment ref="A11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T-South Exports from WEI- Company Info- Fuel Ratios</t>
        </r>
      </text>
    </comment>
    <comment ref="A12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Gordondale from WEI Company Info Fuel Ratios</t>
        </r>
      </text>
    </comment>
    <comment ref="A13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Williams Line- Northwest- Tariff- Fuel Use Requirement Factors TF-1</t>
        </r>
      </text>
    </comment>
    <comment ref="A14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TCPL Alberta- Alberta System Usage -Use a guesstimate until known</t>
        </r>
      </text>
    </comment>
    <comment ref="A15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TCPL BC System Operations Archives Historical Fuel Rates</t>
        </r>
      </text>
    </comment>
    <comment ref="I15" authorId="1" shapeId="0">
      <text>
        <r>
          <rPr>
            <b/>
            <sz val="8"/>
            <color indexed="81"/>
            <rFont val="Tahoma"/>
          </rPr>
          <t>sbrodeu:</t>
        </r>
        <r>
          <rPr>
            <sz val="8"/>
            <color indexed="81"/>
            <rFont val="Tahoma"/>
          </rPr>
          <t xml:space="preserve">
from PGT Website : Non-critical Notice</t>
        </r>
      </text>
    </comment>
    <comment ref="A16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PGT -Pipeline Operations- Fuel Rates</t>
        </r>
      </text>
    </comment>
    <comment ref="A19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Foothills Pipe-Transportation and Operations</t>
        </r>
      </text>
    </comment>
    <comment ref="A29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NBP- Informational Postings -Pipeline Information</t>
        </r>
      </text>
    </comment>
    <comment ref="A33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GLGT-Site Map- Rates-Transporter Use</t>
        </r>
      </text>
    </comment>
    <comment ref="A36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Alliance-Operational Reports-Capacity Fuel Projections-All Can Avg+All USA Avg</t>
        </r>
      </text>
    </comment>
    <comment ref="A37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TCPL BC System -Operations Archives -Historical Deemed Heating Values </t>
        </r>
      </text>
    </comment>
    <comment ref="A38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Operational Info-Heating Values-Scroll Down Prev Month and use NOVA/Gordondale (Hunt for T-South) to estimate this month.
 </t>
        </r>
      </text>
    </comment>
  </commentList>
</comments>
</file>

<file path=xl/comments2.xml><?xml version="1.0" encoding="utf-8"?>
<comments xmlns="http://schemas.openxmlformats.org/spreadsheetml/2006/main">
  <authors>
    <author>rwatt</author>
  </authors>
  <commentList>
    <comment ref="D37" authorId="0" shapeId="0">
      <text>
        <r>
          <rPr>
            <b/>
            <sz val="8"/>
            <color indexed="81"/>
            <rFont val="Tahoma"/>
          </rPr>
          <t>rwatt:</t>
        </r>
        <r>
          <rPr>
            <sz val="8"/>
            <color indexed="81"/>
            <rFont val="Tahoma"/>
          </rPr>
          <t xml:space="preserve">
Less the 1.25% the producer would have had to pay NOVA to get to AECO.
</t>
        </r>
      </text>
    </comment>
    <comment ref="D38" authorId="0" shapeId="0">
      <text>
        <r>
          <rPr>
            <b/>
            <sz val="8"/>
            <color indexed="81"/>
            <rFont val="Tahoma"/>
          </rPr>
          <t>rwatt:</t>
        </r>
        <r>
          <rPr>
            <sz val="8"/>
            <color indexed="81"/>
            <rFont val="Tahoma"/>
          </rPr>
          <t xml:space="preserve">
SUMMER EST.</t>
        </r>
      </text>
    </comment>
  </commentList>
</comments>
</file>

<file path=xl/comments3.xml><?xml version="1.0" encoding="utf-8"?>
<comments xmlns="http://schemas.openxmlformats.org/spreadsheetml/2006/main">
  <authors>
    <author>rwatt</author>
  </authors>
  <commentList>
    <comment ref="D37" authorId="0" shapeId="0">
      <text>
        <r>
          <rPr>
            <b/>
            <sz val="8"/>
            <color indexed="81"/>
            <rFont val="Tahoma"/>
          </rPr>
          <t>rwatt:</t>
        </r>
        <r>
          <rPr>
            <sz val="8"/>
            <color indexed="81"/>
            <rFont val="Tahoma"/>
          </rPr>
          <t xml:space="preserve">
Less the 1.25% the producer would have had to pay NOVA to get to AECO.
</t>
        </r>
      </text>
    </comment>
    <comment ref="D38" authorId="0" shapeId="0">
      <text>
        <r>
          <rPr>
            <b/>
            <sz val="8"/>
            <color indexed="81"/>
            <rFont val="Tahoma"/>
          </rPr>
          <t>Less t-north tolls</t>
        </r>
      </text>
    </comment>
  </commentList>
</comments>
</file>

<file path=xl/comments4.xml><?xml version="1.0" encoding="utf-8"?>
<comments xmlns="http://schemas.openxmlformats.org/spreadsheetml/2006/main">
  <authors>
    <author>icooke</author>
  </authors>
  <commentList>
    <comment ref="A1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https://noms.wei-pipeline.com/noms/cip002.buildframe1?parstartingnode=1193</t>
        </r>
      </text>
    </comment>
  </commentList>
</comments>
</file>

<file path=xl/comments5.xml><?xml version="1.0" encoding="utf-8"?>
<comments xmlns="http://schemas.openxmlformats.org/spreadsheetml/2006/main">
  <authors>
    <author>jpearso3</author>
  </authors>
  <commentList>
    <comment ref="B3" authorId="0" shapeId="0">
      <text>
        <r>
          <rPr>
            <b/>
            <sz val="8"/>
            <color indexed="81"/>
            <rFont val="Tahoma"/>
          </rPr>
          <t>jpearso3:</t>
        </r>
        <r>
          <rPr>
            <sz val="8"/>
            <color indexed="81"/>
            <rFont val="Tahoma"/>
          </rPr>
          <t xml:space="preserve">
From wei-pipeline.com/company info/operational info</t>
        </r>
      </text>
    </comment>
    <comment ref="B7" authorId="0" shapeId="0">
      <text>
        <r>
          <rPr>
            <sz val="8"/>
            <color indexed="81"/>
            <rFont val="Tahoma"/>
          </rPr>
          <t xml:space="preserve">icooke:
WEI/Company Info/Oper. Info/ WEI Pipeline Tariff/Toll Schedules (choose
 area)
</t>
        </r>
      </text>
    </comment>
  </commentList>
</comments>
</file>

<file path=xl/comments6.xml><?xml version="1.0" encoding="utf-8"?>
<comments xmlns="http://schemas.openxmlformats.org/spreadsheetml/2006/main">
  <authors>
    <author>jpearso3</author>
  </authors>
  <commentList>
    <comment ref="B4" authorId="0" shapeId="0">
      <text>
        <r>
          <rPr>
            <b/>
            <sz val="8"/>
            <color indexed="81"/>
            <rFont val="Tahoma"/>
          </rPr>
          <t>jpearso3:</t>
        </r>
        <r>
          <rPr>
            <sz val="8"/>
            <color indexed="81"/>
            <rFont val="Tahoma"/>
          </rPr>
          <t xml:space="preserve">
http://www.1line.williams.com/webbi/ebb/Frame.jsp</t>
        </r>
      </text>
    </comment>
  </commentList>
</comments>
</file>

<file path=xl/comments7.xml><?xml version="1.0" encoding="utf-8"?>
<comments xmlns="http://schemas.openxmlformats.org/spreadsheetml/2006/main">
  <authors>
    <author>jpearso3</author>
  </authors>
  <commentList>
    <comment ref="B15" authorId="0" shapeId="0">
      <text>
        <r>
          <rPr>
            <b/>
            <sz val="8"/>
            <color indexed="81"/>
            <rFont val="Tahoma"/>
          </rPr>
          <t>jpearso3:</t>
        </r>
        <r>
          <rPr>
            <sz val="8"/>
            <color indexed="81"/>
            <rFont val="Tahoma"/>
          </rPr>
          <t xml:space="preserve">
http://www.transcanada.com/BC_System/ratesdandcharges.html</t>
        </r>
      </text>
    </comment>
    <comment ref="C22" authorId="0" shapeId="0">
      <text>
        <r>
          <rPr>
            <b/>
            <sz val="8"/>
            <color indexed="81"/>
            <rFont val="Tahoma"/>
          </rPr>
          <t>jpearso3:</t>
        </r>
        <r>
          <rPr>
            <sz val="8"/>
            <color indexed="81"/>
            <rFont val="Tahoma"/>
          </rPr>
          <t xml:space="preserve">
http://www.glgt.com/7a_frame.htm
</t>
        </r>
      </text>
    </comment>
    <comment ref="C31" authorId="0" shapeId="0">
      <text>
        <r>
          <rPr>
            <b/>
            <sz val="8"/>
            <color indexed="81"/>
            <rFont val="Tahoma"/>
          </rPr>
          <t>jpearso3:</t>
        </r>
        <r>
          <rPr>
            <sz val="8"/>
            <color indexed="81"/>
            <rFont val="Tahoma"/>
          </rPr>
          <t xml:space="preserve">
http://www.nbp.enron.com/html/nbfmtarf.html</t>
        </r>
      </text>
    </comment>
  </commentList>
</comments>
</file>

<file path=xl/comments8.xml><?xml version="1.0" encoding="utf-8"?>
<comments xmlns="http://schemas.openxmlformats.org/spreadsheetml/2006/main">
  <authors>
    <author>jpearso3</author>
  </authors>
  <commentList>
    <comment ref="B5" authorId="0" shapeId="0">
      <text>
        <r>
          <rPr>
            <b/>
            <sz val="8"/>
            <color indexed="81"/>
            <rFont val="Tahoma"/>
          </rPr>
          <t>jpearso3:</t>
        </r>
        <r>
          <rPr>
            <sz val="8"/>
            <color indexed="81"/>
            <rFont val="Tahoma"/>
          </rPr>
          <t xml:space="preserve">
http://www.pge-nw.com/info_post/</t>
        </r>
      </text>
    </comment>
  </commentList>
</comments>
</file>

<file path=xl/comments9.xml><?xml version="1.0" encoding="utf-8"?>
<comments xmlns="http://schemas.openxmlformats.org/spreadsheetml/2006/main">
  <authors>
    <author>jpearso3</author>
    <author>rwatt</author>
    <author>icooke</author>
  </authors>
  <commentList>
    <comment ref="B8" authorId="0" shapeId="0">
      <text>
        <r>
          <rPr>
            <b/>
            <sz val="8"/>
            <color indexed="81"/>
            <rFont val="Tahoma"/>
          </rPr>
          <t>jpearso3:</t>
        </r>
        <r>
          <rPr>
            <sz val="8"/>
            <color indexed="81"/>
            <rFont val="Tahoma"/>
          </rPr>
          <t xml:space="preserve">
http://www.transcanada.com/business/PDFTariff/index.html</t>
        </r>
      </text>
    </comment>
    <comment ref="B19" authorId="1" shapeId="0">
      <text>
        <r>
          <rPr>
            <b/>
            <sz val="8"/>
            <color indexed="81"/>
            <rFont val="Tahoma"/>
          </rPr>
          <t>rwatt:</t>
        </r>
        <r>
          <rPr>
            <sz val="8"/>
            <color indexed="81"/>
            <rFont val="Tahoma"/>
          </rPr>
          <t xml:space="preserve">
IT Bid Floor on TC Service Tolls sheet</t>
        </r>
      </text>
    </comment>
    <comment ref="A24" authorId="2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Eastern Zone found on TC service toll sheet </t>
        </r>
      </text>
    </comment>
    <comment ref="B27" authorId="1" shapeId="0">
      <text>
        <r>
          <rPr>
            <b/>
            <sz val="8"/>
            <color indexed="81"/>
            <rFont val="Tahoma"/>
          </rPr>
          <t>rwatt:</t>
        </r>
        <r>
          <rPr>
            <sz val="8"/>
            <color indexed="81"/>
            <rFont val="Tahoma"/>
          </rPr>
          <t xml:space="preserve">
On the Delivery pressure page.</t>
        </r>
      </text>
    </comment>
  </commentList>
</comments>
</file>

<file path=xl/sharedStrings.xml><?xml version="1.0" encoding="utf-8"?>
<sst xmlns="http://schemas.openxmlformats.org/spreadsheetml/2006/main" count="727" uniqueCount="369">
  <si>
    <t>Westcoast Tariff Summary</t>
  </si>
  <si>
    <t>T-North Long Haul</t>
  </si>
  <si>
    <t>Winter IT Commodity</t>
  </si>
  <si>
    <t>Summer IT Commodity</t>
  </si>
  <si>
    <t>Firm Demand</t>
  </si>
  <si>
    <t>PNG Demand</t>
  </si>
  <si>
    <t>Inland Delivery Demand</t>
  </si>
  <si>
    <t>Huntingdon Demand</t>
  </si>
  <si>
    <t>Winter PNG IT Commodity</t>
  </si>
  <si>
    <t>Summer PNG IT Commodity</t>
  </si>
  <si>
    <t>Winter Inland IT Commodity</t>
  </si>
  <si>
    <t>Summer Inland IT Commodity</t>
  </si>
  <si>
    <t>Winter Huntingdon IT Commodity</t>
  </si>
  <si>
    <t>Summer Huntingdon IT Commodity</t>
  </si>
  <si>
    <t>GJ/E3M3</t>
  </si>
  <si>
    <t>Gordondale Receipt/Delivery</t>
  </si>
  <si>
    <t>T-South Deliveries</t>
  </si>
  <si>
    <t>Winter Fuel Tax</t>
  </si>
  <si>
    <t>Summer Fuel Tax</t>
  </si>
  <si>
    <t>T-South  Inland Delivery</t>
  </si>
  <si>
    <t>T-South PNG Delivery</t>
  </si>
  <si>
    <t>T-South Huntingdon Delivery</t>
  </si>
  <si>
    <t>Westcoast Alberta Zone B</t>
  </si>
  <si>
    <t>Zone B Demand</t>
  </si>
  <si>
    <t>Winter Zone B IT Commodity</t>
  </si>
  <si>
    <t>Summer Zone B IT Commodity</t>
  </si>
  <si>
    <t>Westcoast Alberta Zone C</t>
  </si>
  <si>
    <t>Zone C Demand</t>
  </si>
  <si>
    <t>Winter Zone C IT Commodity</t>
  </si>
  <si>
    <t>Summer Zone C IT Commodity</t>
  </si>
  <si>
    <t>PG&amp;E Gas Transmission</t>
  </si>
  <si>
    <t>Stanfield Deliveries</t>
  </si>
  <si>
    <t>Malin Deliveries</t>
  </si>
  <si>
    <t>Stanfield to Malin</t>
  </si>
  <si>
    <t>Firm Mileage Reservation</t>
  </si>
  <si>
    <t>Firm non-mileage Reservation</t>
  </si>
  <si>
    <t>ACA</t>
  </si>
  <si>
    <t>GRI*</t>
  </si>
  <si>
    <t>$US/MMBTU</t>
  </si>
  <si>
    <t>* Payable if delivery is not to another interstate pipeline</t>
  </si>
  <si>
    <t>Northwest Pipeline Tariff Summary</t>
  </si>
  <si>
    <t>Firm Reservation Charge</t>
  </si>
  <si>
    <t>GRI Reservation Adjusment</t>
  </si>
  <si>
    <t>Firm Commodity Charge</t>
  </si>
  <si>
    <t>Commodity Charge</t>
  </si>
  <si>
    <t>Charges only payable on eastern direction flows</t>
  </si>
  <si>
    <t>Nova Delivery Charges</t>
  </si>
  <si>
    <t>ANG Tariff Summary</t>
  </si>
  <si>
    <t>Firm Delivery Charge</t>
  </si>
  <si>
    <t>IT Delivery Charge</t>
  </si>
  <si>
    <t>IT Commodity Charge</t>
  </si>
  <si>
    <t>Firm Demand Charge</t>
  </si>
  <si>
    <t>NEB Cost Recovery</t>
  </si>
  <si>
    <t>$C/GJ</t>
  </si>
  <si>
    <t>Current Month</t>
  </si>
  <si>
    <t>NWP Postage Stamp</t>
  </si>
  <si>
    <t>ANG ABC to Kingsgate</t>
  </si>
  <si>
    <t>PGT Kingsgate Stanfield</t>
  </si>
  <si>
    <t>PGT Kingsgate Malin</t>
  </si>
  <si>
    <t>PGT Stanfield Malin</t>
  </si>
  <si>
    <t>WC T-North Longhaul</t>
  </si>
  <si>
    <t>WC T-South PNG</t>
  </si>
  <si>
    <t>WC T-South Inland</t>
  </si>
  <si>
    <t>WC T-South Huntingdon</t>
  </si>
  <si>
    <t>Foothills Monchy</t>
  </si>
  <si>
    <t>Current</t>
  </si>
  <si>
    <t>Empress to Emerson</t>
  </si>
  <si>
    <t>Transcanada Tariff Summary</t>
  </si>
  <si>
    <t>Demand Toll</t>
  </si>
  <si>
    <t>Commodity Toll</t>
  </si>
  <si>
    <t>Viking Pressure Demand Toll</t>
  </si>
  <si>
    <t>GLGT Pressure Demand Toll</t>
  </si>
  <si>
    <t>FX</t>
  </si>
  <si>
    <t>Station 2</t>
  </si>
  <si>
    <t>$US/MMBtu</t>
  </si>
  <si>
    <t>TARIFF SUMMARY</t>
  </si>
  <si>
    <t>Gas Prices</t>
  </si>
  <si>
    <t>AECO</t>
  </si>
  <si>
    <t>Firm Gord. Receipt</t>
  </si>
  <si>
    <t>IT Gord. Receipt</t>
  </si>
  <si>
    <t>IT Commodity Toll</t>
  </si>
  <si>
    <t>Viking IT Pressure Toll</t>
  </si>
  <si>
    <t>GLGT IT Pressure Toll</t>
  </si>
  <si>
    <t>Empress to Saskatchewan</t>
  </si>
  <si>
    <t>Empress to Dawn</t>
  </si>
  <si>
    <t>TCPL/Union Fee</t>
  </si>
  <si>
    <t>Empress to Niagara</t>
  </si>
  <si>
    <t>Pressure Toll</t>
  </si>
  <si>
    <t>IT Pressure Toll</t>
  </si>
  <si>
    <t>Empress to Iroqouis</t>
  </si>
  <si>
    <t>Empress to Chippawa</t>
  </si>
  <si>
    <t>Nova Receipt Toll</t>
  </si>
  <si>
    <t>WC Alberta Zone C</t>
  </si>
  <si>
    <t>TCPL Emp to Sask</t>
  </si>
  <si>
    <t>TCPL Emp to Dawn</t>
  </si>
  <si>
    <t>TCPL Emp to Niagara</t>
  </si>
  <si>
    <t>TCPL Emp to Iroqouis</t>
  </si>
  <si>
    <t>TCPL Emp to Chippawa</t>
  </si>
  <si>
    <t>TCPL Emp to GLGT</t>
  </si>
  <si>
    <t>TCPL Emp to Viking</t>
  </si>
  <si>
    <t>Transportation Point</t>
  </si>
  <si>
    <t>Firm Variable</t>
  </si>
  <si>
    <t>IT Variable</t>
  </si>
  <si>
    <t>% Fuel</t>
  </si>
  <si>
    <t>Firm Variable Total</t>
  </si>
  <si>
    <t>IT Total</t>
  </si>
  <si>
    <t>ABC to Kingsgate</t>
  </si>
  <si>
    <t>Station 2 to AECO</t>
  </si>
  <si>
    <t>Station 2 to Huntingdon</t>
  </si>
  <si>
    <t>ABC to Malin*</t>
  </si>
  <si>
    <t>*Includes GRI</t>
  </si>
  <si>
    <t>Stanfield to Malin*</t>
  </si>
  <si>
    <t>AECO to Station 2 **</t>
  </si>
  <si>
    <t>Empress to GLGT</t>
  </si>
  <si>
    <t>Empress to Iroquois</t>
  </si>
  <si>
    <t>All numbers in $US/MMBtu</t>
  </si>
  <si>
    <t>NB Monchy to Ventura</t>
  </si>
  <si>
    <t>NB Monchy to Harper</t>
  </si>
  <si>
    <t>NB Monchy to Manhattan</t>
  </si>
  <si>
    <t>Empress to Ventura</t>
  </si>
  <si>
    <t>Empress to Chicago</t>
  </si>
  <si>
    <t>ABC to Stanfield*</t>
  </si>
  <si>
    <t>IT Commodity</t>
  </si>
  <si>
    <t>IT</t>
  </si>
  <si>
    <t>IT Rates are maximum quoted rates</t>
  </si>
  <si>
    <t>Station 2 to NWPL IT has T-South firm and NWPL IT</t>
  </si>
  <si>
    <t>Pressure Demand Toll</t>
  </si>
  <si>
    <t>Empress to Phillipsburg</t>
  </si>
  <si>
    <t>TCPL Emp to Phillipsburg</t>
  </si>
  <si>
    <t>Empress to St-Clair</t>
  </si>
  <si>
    <t>Empress to St Clair</t>
  </si>
  <si>
    <t>Aeco to Border</t>
  </si>
  <si>
    <t>TCPL Emp to St. Clair</t>
  </si>
  <si>
    <t>GRI Commodity Charge</t>
  </si>
  <si>
    <t>ABC to Stanfield (NWPL)*</t>
  </si>
  <si>
    <t>**AECO to Station 2 IT priced off of Empress</t>
  </si>
  <si>
    <t>Empress/Border</t>
  </si>
  <si>
    <t>Stanfield</t>
  </si>
  <si>
    <t>* IT rate is maximum quoted, Firm commodity is minimum quoted</t>
  </si>
  <si>
    <t>ANG Heat Content</t>
  </si>
  <si>
    <t>Westcoast T-South Heat</t>
  </si>
  <si>
    <t>Westcoast T-North Heat</t>
  </si>
  <si>
    <t>Nova Delivery Energy</t>
  </si>
  <si>
    <t>Nova Receipt Energy</t>
  </si>
  <si>
    <t>Station 2 to NWPL*</t>
  </si>
  <si>
    <t>Huntingdon to NWPL*</t>
  </si>
  <si>
    <t>Sumas</t>
  </si>
  <si>
    <t>Empress to Parkway</t>
  </si>
  <si>
    <t>TCPL Emp to Parkway (EDA)</t>
  </si>
  <si>
    <t>Fuel</t>
  </si>
  <si>
    <t>$US/MM</t>
  </si>
  <si>
    <t>TCPL IT costs assume floor bid of 80% of firm</t>
  </si>
  <si>
    <t>Empress to St. Clair (GLGT) w/o GLGT</t>
  </si>
  <si>
    <t>GLGT Emerson to St. Clair</t>
  </si>
  <si>
    <t>GLGT Tariff Summary</t>
  </si>
  <si>
    <t>GRI</t>
  </si>
  <si>
    <t>St. Clair to Dawn</t>
  </si>
  <si>
    <t>Emerson to St. Clair (GLGT) w/o GLGT</t>
  </si>
  <si>
    <t>Emerson</t>
  </si>
  <si>
    <t>Emerson to Fortune Lake (GLGT) w/o GLGT</t>
  </si>
  <si>
    <t>GLGT Emerson to Fortune Lake</t>
  </si>
  <si>
    <t>Emerson to Carlton (GLGT) w/o GLGT</t>
  </si>
  <si>
    <t>GLGT Emerson to Carlton</t>
  </si>
  <si>
    <t>Northern Border Tariff Summary</t>
  </si>
  <si>
    <t>Firm Mile Rate</t>
  </si>
  <si>
    <t>Ventura Mileage</t>
  </si>
  <si>
    <t>Ventura Firm Rate</t>
  </si>
  <si>
    <t>Harper Mileage</t>
  </si>
  <si>
    <t>Harper Firm Rate</t>
  </si>
  <si>
    <t>Manhattan Mileage</t>
  </si>
  <si>
    <t>Manhattan Firm Rate</t>
  </si>
  <si>
    <t>Change</t>
  </si>
  <si>
    <t>Alliance</t>
  </si>
  <si>
    <t>Alberta to Chicago via Alliance</t>
  </si>
  <si>
    <t>SUMMER TARIFF SUMMARY</t>
  </si>
  <si>
    <t xml:space="preserve">  Copy Positions Tab!!!</t>
  </si>
  <si>
    <t>This page should automatically roll, watch if you add a curve to the Input Sheet</t>
  </si>
  <si>
    <t>Cash</t>
  </si>
  <si>
    <t>This is for saving the mids for each day, do not touch!</t>
  </si>
  <si>
    <t>GREEN ARE VLOOKUPS</t>
  </si>
  <si>
    <t>Winter 00</t>
  </si>
  <si>
    <t>Aeco Physical Spread</t>
  </si>
  <si>
    <t>DON'T CHANGE THE CURVE NAMES</t>
  </si>
  <si>
    <t>AprOct01</t>
  </si>
  <si>
    <t>Prompt  Index</t>
  </si>
  <si>
    <t>CHANGE TO PROMPT WHEN MONTH ROLLS</t>
  </si>
  <si>
    <t>CHANGE</t>
  </si>
  <si>
    <t>Strip Avg</t>
  </si>
  <si>
    <t>Phys Vol Spread</t>
  </si>
  <si>
    <t>DATE!</t>
  </si>
  <si>
    <t>BASIS CURVES</t>
  </si>
  <si>
    <t>Winter Sumas</t>
  </si>
  <si>
    <t>Winter01</t>
  </si>
  <si>
    <t>Winter Average</t>
  </si>
  <si>
    <t>PRICE</t>
  </si>
  <si>
    <t>Apr Oct</t>
  </si>
  <si>
    <t>Apr2 +</t>
  </si>
  <si>
    <t>Summer Average</t>
  </si>
  <si>
    <t>Aeco</t>
  </si>
  <si>
    <t>Date</t>
  </si>
  <si>
    <t>Nymex</t>
  </si>
  <si>
    <t>AecoB</t>
  </si>
  <si>
    <t>EmpressB</t>
  </si>
  <si>
    <t>Station2B</t>
  </si>
  <si>
    <t>DawnB</t>
  </si>
  <si>
    <t>ParkwayB</t>
  </si>
  <si>
    <t>NiagaraB</t>
  </si>
  <si>
    <t>WaddB</t>
  </si>
  <si>
    <t xml:space="preserve">  ChicagoB</t>
  </si>
  <si>
    <t>MichiganB</t>
  </si>
  <si>
    <t xml:space="preserve">   TZ6B</t>
  </si>
  <si>
    <t xml:space="preserve">  RockiesB</t>
  </si>
  <si>
    <t>SocalB</t>
  </si>
  <si>
    <t xml:space="preserve">  MalinB</t>
  </si>
  <si>
    <t xml:space="preserve">  SumasB</t>
  </si>
  <si>
    <t>Aeco Vol</t>
  </si>
  <si>
    <t>Aeco Phys Vol</t>
  </si>
  <si>
    <t>SumasVol</t>
  </si>
  <si>
    <t>Omnicron 1</t>
  </si>
  <si>
    <t>Nymex Vol</t>
  </si>
  <si>
    <t>AecoUS</t>
  </si>
  <si>
    <t>EmpressUS</t>
  </si>
  <si>
    <t>Stn2 US</t>
  </si>
  <si>
    <t>ETransport</t>
  </si>
  <si>
    <t>STNTransport</t>
  </si>
  <si>
    <t xml:space="preserve">Aeco </t>
  </si>
  <si>
    <t>Empress</t>
  </si>
  <si>
    <t>Station2</t>
  </si>
  <si>
    <t xml:space="preserve">  Sumas</t>
  </si>
  <si>
    <t xml:space="preserve">  Rockies</t>
  </si>
  <si>
    <t xml:space="preserve">  Malin</t>
  </si>
  <si>
    <t>San Juan</t>
  </si>
  <si>
    <t>CD %</t>
  </si>
  <si>
    <t>US %</t>
  </si>
  <si>
    <t>CD DF</t>
  </si>
  <si>
    <t>US DF</t>
  </si>
  <si>
    <t>Consumers</t>
  </si>
  <si>
    <t>Aeco/Emp</t>
  </si>
  <si>
    <t>Adj.FX</t>
  </si>
  <si>
    <t>Basis</t>
  </si>
  <si>
    <t>Index</t>
  </si>
  <si>
    <t>VentB</t>
  </si>
  <si>
    <t>Aeco GD Vol</t>
  </si>
  <si>
    <t>Sumas GD Vol</t>
  </si>
  <si>
    <t>AllianceB</t>
  </si>
  <si>
    <t>Winter 00/01</t>
  </si>
  <si>
    <t>Tolls</t>
  </si>
  <si>
    <t>Summer 01 -</t>
  </si>
  <si>
    <t>due to FX</t>
  </si>
  <si>
    <t>Nov 99</t>
  </si>
  <si>
    <t>Sum</t>
  </si>
  <si>
    <t>Nov 00</t>
  </si>
  <si>
    <t>Wtr</t>
  </si>
  <si>
    <t>Nov 01</t>
  </si>
  <si>
    <t>Nov 02</t>
  </si>
  <si>
    <t>Nov 03</t>
  </si>
  <si>
    <t>Nov 04</t>
  </si>
  <si>
    <t>Nov 05</t>
  </si>
  <si>
    <t>Nov 06</t>
  </si>
  <si>
    <t>Nov 07</t>
  </si>
  <si>
    <t>Nov 08</t>
  </si>
  <si>
    <t>Mids Date:</t>
  </si>
  <si>
    <t>BC to Chicago via Alliance</t>
  </si>
  <si>
    <t>PRICE TERM:</t>
  </si>
  <si>
    <t>-</t>
  </si>
  <si>
    <t>ROLL EACH MONTH</t>
  </si>
  <si>
    <t>AECO CAD</t>
  </si>
  <si>
    <t>AECO USD</t>
  </si>
  <si>
    <t>NX1</t>
  </si>
  <si>
    <t>EMPRESS USD</t>
  </si>
  <si>
    <t>CHICAGO</t>
  </si>
  <si>
    <t>DAWN</t>
  </si>
  <si>
    <t>MALIN</t>
  </si>
  <si>
    <t>FP</t>
  </si>
  <si>
    <t>BASIS</t>
  </si>
  <si>
    <t>SPREAD</t>
  </si>
  <si>
    <t>VALUE</t>
  </si>
  <si>
    <t>DELIV</t>
  </si>
  <si>
    <t>RECP</t>
  </si>
  <si>
    <t>FIRM TRANSPORTATION</t>
  </si>
  <si>
    <t>STATION 2</t>
  </si>
  <si>
    <t>You hole</t>
  </si>
  <si>
    <t>Foothills Fuel</t>
  </si>
  <si>
    <t>WINTER TARIFF SUMMARY</t>
  </si>
  <si>
    <t>EMPRESS CAD</t>
  </si>
  <si>
    <t>Receipt Based</t>
  </si>
  <si>
    <t>Winter Avg</t>
  </si>
  <si>
    <t>Winter Rec</t>
  </si>
  <si>
    <t>Winter Aeco</t>
  </si>
  <si>
    <t>Summer Aeco</t>
  </si>
  <si>
    <t>Winter IT</t>
  </si>
  <si>
    <t>% Marginal Fuel</t>
  </si>
  <si>
    <t>(Using average 2000 winter fuel ratios, IT floor bid calculated using Marginal fuel cost)</t>
  </si>
  <si>
    <t>Aeco to Empress</t>
  </si>
  <si>
    <t>Aeco to Kingsgate</t>
  </si>
  <si>
    <t>Aeco to Stanfield*</t>
  </si>
  <si>
    <t>Aeco to Stanfield (NWPL)*</t>
  </si>
  <si>
    <t>Aeco to Malin*</t>
  </si>
  <si>
    <t>Aeco to Ventura</t>
  </si>
  <si>
    <t>Aeco to Chicago</t>
  </si>
  <si>
    <t>Aeco to Saskatchewan</t>
  </si>
  <si>
    <t>Aeco to GLGT</t>
  </si>
  <si>
    <t>Aeco to Dawn</t>
  </si>
  <si>
    <t>Aeco to Niagara</t>
  </si>
  <si>
    <t>Aeco to Iroquois</t>
  </si>
  <si>
    <t>Aeco to Chippawa</t>
  </si>
  <si>
    <t>Aeco to Phillipsburg</t>
  </si>
  <si>
    <t>Aeco to St Clair</t>
  </si>
  <si>
    <t>Aeco to Parkway</t>
  </si>
  <si>
    <t>Aeco to St. Clair (GLGT) w/o GLGT</t>
  </si>
  <si>
    <t>Sum Rec</t>
  </si>
  <si>
    <t>Sum Avg</t>
  </si>
  <si>
    <t>(Using Summer to Date average fuel ratio)</t>
  </si>
  <si>
    <t>Firm</t>
  </si>
  <si>
    <t>Commodity Rate</t>
  </si>
  <si>
    <t>Ventura Commodity</t>
  </si>
  <si>
    <t>Harper Commodity</t>
  </si>
  <si>
    <t>Manhattan Commodity</t>
  </si>
  <si>
    <t>Empress to Dawn (EDA)</t>
  </si>
  <si>
    <t>2001 6 27</t>
  </si>
  <si>
    <t>F. Variable Components</t>
  </si>
  <si>
    <t>ANG Firm Commodity+NEB Cost Recovery Charge</t>
  </si>
  <si>
    <t>PGT Kingsgate to Stanfield Fuel Ratio+ANG Firm Commodity+NEB Cost Recovery+ Stanfield Deliveries;Commodity Charge, ACA and GRI</t>
  </si>
  <si>
    <t>NWP Postage Stamp*(PGT Commodity Charge+ACA)+Northwest Postage Stamp*Kingsgate to StanfieldFuel Ratio*(ANG Firm Commodity+NEB Cost Recovery Charge)+ NWP Firm Commodity +GRI + ACA Charges</t>
  </si>
  <si>
    <t>PGT Kingsgate to Malin Fuel Ratio*(ANG Firm commodity+NEB Cost Recovery Charges)+Malin deliveries;Commodity Charge+ACA+GRI</t>
  </si>
  <si>
    <t>TCPL's Empress to Sask. Commodity Toll</t>
  </si>
  <si>
    <t>T-South Heating Value</t>
  </si>
  <si>
    <t>January</t>
  </si>
  <si>
    <t>February</t>
  </si>
  <si>
    <t xml:space="preserve">March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</si>
  <si>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</si>
  <si>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</si>
  <si>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</si>
  <si>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</si>
  <si>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</si>
  <si>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</si>
  <si>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</si>
  <si>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</si>
  <si>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</si>
  <si>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</si>
  <si>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WEI Monthly Fuel Taxes</t>
  </si>
  <si>
    <t>T-South PNG</t>
  </si>
  <si>
    <t>T-South Inland Delivery</t>
  </si>
  <si>
    <t>T-South Huntington Delivery</t>
  </si>
  <si>
    <t>June Fuel Tax Estimate</t>
  </si>
  <si>
    <t>Bold=Best Estimate</t>
  </si>
  <si>
    <t>TCPL's Empress to Emerson Commodity Toll+GLGT Pressure Demand Toll</t>
  </si>
  <si>
    <t>TCPL's Empress to Dawn Cmmodity toll + EDA Pressure Demand Toll</t>
  </si>
  <si>
    <t>TCPL's Empress to Niagra Commodity Toll+ENAPressure Toll</t>
  </si>
  <si>
    <t>TCPL's Empress to Iroqouis Commodity Toll+EIAPressure Toll</t>
  </si>
  <si>
    <t>TCPL's ECA Commodity Toll+ECA Pressure Toll</t>
  </si>
  <si>
    <t>TCPL's Emp. To Phillipsburg Commodity Toll+ Ephil.A Pressure Toll</t>
  </si>
  <si>
    <t>TCPL's ESCA Commodity Toll+ ESCA Pressure Toll</t>
  </si>
  <si>
    <t>TCPL's E-Park Commodity Toll + E-Park Pressure Toll</t>
  </si>
  <si>
    <t>0.04/FX*1.055056</t>
  </si>
  <si>
    <t>PGT's Stanfield to Malin Commodity Charge+ACA+GRI</t>
  </si>
  <si>
    <r>
      <t>Nova Receipt Toll*</t>
    </r>
    <r>
      <rPr>
        <b/>
        <sz val="10"/>
        <rFont val="Arial"/>
        <family val="2"/>
      </rPr>
      <t>0.144618571428571/Westcoast Heating Value</t>
    </r>
  </si>
  <si>
    <r>
      <t>Q:Wherer is the number found, what does it signify &amp; Why is it the "summer fuel tax"</t>
    </r>
    <r>
      <rPr>
        <b/>
        <sz val="10"/>
        <rFont val="Arial"/>
        <family val="2"/>
      </rPr>
      <t xml:space="preserve"> Bold means</t>
    </r>
    <r>
      <rPr>
        <sz val="10"/>
        <rFont val="Arial"/>
        <family val="2"/>
      </rPr>
      <t>:Summer Fuel Tax</t>
    </r>
  </si>
  <si>
    <t>T-South Huntington Delivery Summer Fuel Tax</t>
  </si>
  <si>
    <t>NWPL Postage Stamp*T-South Huntington Delivery Fuel Tax+NWPL Commodity Charge+ACA+GRI</t>
  </si>
  <si>
    <t>NWP Commodity Charge+ACA+GRI</t>
  </si>
  <si>
    <t>T-North Long Haul June fuel Tax estimate</t>
  </si>
  <si>
    <t xml:space="preserve"> FirmTotal</t>
  </si>
  <si>
    <t xml:space="preserve"> IT Total</t>
  </si>
  <si>
    <t xml:space="preserve"> Firm Var</t>
  </si>
  <si>
    <t xml:space="preserve">IT Var </t>
  </si>
  <si>
    <t>USD/MM</t>
  </si>
  <si>
    <t>CAN</t>
  </si>
  <si>
    <t>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</si>
</sst>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0.0000"/>
    <numFmt numFmtId="167" formatCode="0.000"/>
    <numFmt numFmtId="168" formatCode="#,##0.000_);[Red]\(#,##0.000\)"/>
    <numFmt numFmtId="169" formatCode="0.00000"/>
    <numFmt numFmtId="170" formatCode="#,##0.000_);\(#,##0.000\)"/>
    <numFmt numFmtId="171" formatCode="&quot;$&quot;#,##0.000_);\(&quot;$&quot;#,##0.000\)"/>
    <numFmt numFmtId="172" formatCode="0.00_)"/>
    <numFmt numFmtId="173" formatCode="#,##0.0000_);\(#,##0.0000\)"/>
    <numFmt numFmtId="174" formatCode="mmmm\-yy"/>
    <numFmt numFmtId="175" formatCode="dd\-mmm_)"/>
    <numFmt numFmtId="176" formatCode="0.0"/>
  </numFmts>
  <fonts count="3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name val="MS Sans Serif"/>
    </font>
    <font>
      <sz val="8"/>
      <name val="Arial"/>
      <family val="2"/>
    </font>
    <font>
      <b/>
      <i/>
      <sz val="16"/>
      <name val="Helv"/>
    </font>
    <font>
      <sz val="10"/>
      <name val="Times New Roman"/>
      <family val="1"/>
    </font>
    <font>
      <sz val="10"/>
      <name val="Times New Roman"/>
    </font>
    <font>
      <b/>
      <u/>
      <sz val="11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Courier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10"/>
      <color indexed="17"/>
      <name val="Times New Roman"/>
      <family val="1"/>
    </font>
    <font>
      <sz val="10"/>
      <color indexed="12"/>
      <name val="Times New Roman"/>
      <family val="1"/>
    </font>
    <font>
      <b/>
      <sz val="10"/>
      <color indexed="8"/>
      <name val="Arial"/>
      <family val="2"/>
    </font>
    <font>
      <b/>
      <sz val="10"/>
      <color indexed="56"/>
      <name val="Times New Roman"/>
      <family val="1"/>
    </font>
    <font>
      <b/>
      <sz val="10"/>
      <name val="Times New Roman"/>
      <family val="1"/>
    </font>
    <font>
      <b/>
      <sz val="10"/>
      <color indexed="18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sz val="11"/>
      <name val="Arial"/>
      <family val="2"/>
    </font>
    <font>
      <sz val="8"/>
      <color indexed="1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8" fontId="6" fillId="2" borderId="0" applyNumberFormat="0" applyBorder="0" applyAlignment="0" applyProtection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0" fontId="6" fillId="3" borderId="3" applyNumberFormat="0" applyBorder="0" applyAlignment="0" applyProtection="0"/>
    <xf numFmtId="0" fontId="5" fillId="4" borderId="0" applyNumberFormat="0" applyFont="0" applyAlignment="0" applyProtection="0"/>
    <xf numFmtId="172" fontId="7" fillId="0" borderId="0"/>
    <xf numFmtId="0" fontId="9" fillId="0" borderId="0"/>
    <xf numFmtId="0" fontId="16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</cellStyleXfs>
  <cellXfs count="4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10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0" fontId="10" fillId="0" borderId="0" xfId="0" applyFont="1"/>
    <xf numFmtId="167" fontId="1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0" fontId="0" fillId="0" borderId="0" xfId="0" applyFill="1"/>
    <xf numFmtId="0" fontId="12" fillId="0" borderId="0" xfId="0" applyFont="1"/>
    <xf numFmtId="44" fontId="0" fillId="0" borderId="0" xfId="2" applyFont="1" applyFill="1"/>
    <xf numFmtId="44" fontId="0" fillId="0" borderId="0" xfId="0" applyNumberFormat="1"/>
    <xf numFmtId="10" fontId="0" fillId="0" borderId="0" xfId="11" applyNumberFormat="1" applyFont="1" applyAlignment="1">
      <alignment horizontal="center"/>
    </xf>
    <xf numFmtId="44" fontId="0" fillId="0" borderId="0" xfId="0" applyNumberFormat="1" applyFill="1"/>
    <xf numFmtId="10" fontId="0" fillId="0" borderId="0" xfId="1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2" fillId="0" borderId="0" xfId="0" applyFont="1" applyFill="1"/>
    <xf numFmtId="170" fontId="2" fillId="0" borderId="0" xfId="1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horizontal="center"/>
    </xf>
    <xf numFmtId="165" fontId="0" fillId="0" borderId="0" xfId="11" applyNumberFormat="1" applyFont="1"/>
    <xf numFmtId="10" fontId="0" fillId="0" borderId="0" xfId="0" applyNumberFormat="1" applyFill="1" applyAlignment="1">
      <alignment horizontal="center"/>
    </xf>
    <xf numFmtId="167" fontId="12" fillId="0" borderId="0" xfId="0" applyNumberFormat="1" applyFont="1" applyFill="1" applyAlignment="1">
      <alignment horizont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0" fillId="0" borderId="0" xfId="0" applyAlignment="1">
      <alignment wrapText="1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18" fillId="6" borderId="0" xfId="0" applyFont="1" applyFill="1" applyAlignment="1">
      <alignment horizontal="centerContinuous"/>
    </xf>
    <xf numFmtId="0" fontId="18" fillId="6" borderId="0" xfId="0" applyFont="1" applyFill="1"/>
    <xf numFmtId="0" fontId="19" fillId="0" borderId="4" xfId="0" applyFont="1" applyBorder="1"/>
    <xf numFmtId="0" fontId="0" fillId="0" borderId="4" xfId="0" applyBorder="1"/>
    <xf numFmtId="165" fontId="0" fillId="0" borderId="0" xfId="11" applyNumberFormat="1" applyFont="1" applyAlignment="1">
      <alignment horizontal="center"/>
    </xf>
    <xf numFmtId="165" fontId="0" fillId="0" borderId="0" xfId="0" applyNumberFormat="1" applyFill="1" applyAlignment="1">
      <alignment horizontal="center"/>
    </xf>
    <xf numFmtId="165" fontId="12" fillId="0" borderId="0" xfId="0" applyNumberFormat="1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11" fillId="0" borderId="0" xfId="0" applyFont="1"/>
    <xf numFmtId="2" fontId="0" fillId="5" borderId="0" xfId="0" applyNumberFormat="1" applyFill="1" applyAlignment="1">
      <alignment horizontal="center"/>
    </xf>
    <xf numFmtId="169" fontId="11" fillId="0" borderId="0" xfId="0" applyNumberFormat="1" applyFont="1" applyAlignment="1">
      <alignment horizontal="center"/>
    </xf>
    <xf numFmtId="174" fontId="20" fillId="0" borderId="4" xfId="0" applyNumberFormat="1" applyFont="1" applyBorder="1" applyAlignment="1">
      <alignment horizontal="centerContinuous"/>
    </xf>
    <xf numFmtId="14" fontId="2" fillId="5" borderId="5" xfId="10" applyNumberFormat="1" applyFont="1" applyFill="1" applyBorder="1" applyAlignment="1">
      <alignment horizontal="center"/>
    </xf>
    <xf numFmtId="175" fontId="21" fillId="7" borderId="0" xfId="10" applyNumberFormat="1" applyFont="1" applyFill="1" applyBorder="1" applyProtection="1"/>
    <xf numFmtId="0" fontId="22" fillId="7" borderId="0" xfId="10" applyFont="1" applyFill="1" applyBorder="1"/>
    <xf numFmtId="0" fontId="23" fillId="0" borderId="0" xfId="10" applyFont="1"/>
    <xf numFmtId="0" fontId="23" fillId="0" borderId="0" xfId="10" applyNumberFormat="1" applyFont="1" applyProtection="1"/>
    <xf numFmtId="0" fontId="23" fillId="0" borderId="0" xfId="10" applyNumberFormat="1" applyFont="1" applyBorder="1" applyProtection="1"/>
    <xf numFmtId="0" fontId="23" fillId="0" borderId="0" xfId="10" applyFont="1" applyBorder="1"/>
    <xf numFmtId="0" fontId="24" fillId="0" borderId="0" xfId="0" applyFont="1"/>
    <xf numFmtId="10" fontId="1" fillId="0" borderId="0" xfId="11" applyNumberFormat="1" applyFont="1" applyBorder="1" applyProtection="1"/>
    <xf numFmtId="0" fontId="24" fillId="8" borderId="3" xfId="10" applyFont="1" applyFill="1" applyBorder="1" applyAlignment="1">
      <alignment horizontal="center"/>
    </xf>
    <xf numFmtId="167" fontId="25" fillId="8" borderId="3" xfId="1" applyNumberFormat="1" applyFont="1" applyFill="1" applyBorder="1" applyAlignment="1" applyProtection="1">
      <alignment horizontal="center"/>
    </xf>
    <xf numFmtId="0" fontId="1" fillId="0" borderId="0" xfId="10" applyNumberFormat="1" applyFont="1" applyBorder="1" applyProtection="1"/>
    <xf numFmtId="0" fontId="23" fillId="5" borderId="0" xfId="10" applyFont="1" applyFill="1" applyBorder="1" applyProtection="1">
      <protection locked="0"/>
    </xf>
    <xf numFmtId="0" fontId="26" fillId="0" borderId="0" xfId="10" applyFont="1" applyBorder="1"/>
    <xf numFmtId="0" fontId="23" fillId="0" borderId="0" xfId="10" applyNumberFormat="1" applyFont="1"/>
    <xf numFmtId="0" fontId="0" fillId="0" borderId="0" xfId="1" applyNumberFormat="1" applyFont="1" applyBorder="1"/>
    <xf numFmtId="0" fontId="23" fillId="0" borderId="0" xfId="0" applyFont="1" applyBorder="1"/>
    <xf numFmtId="0" fontId="2" fillId="5" borderId="0" xfId="0" applyFont="1" applyFill="1"/>
    <xf numFmtId="0" fontId="23" fillId="5" borderId="0" xfId="0" applyFont="1" applyFill="1" applyBorder="1"/>
    <xf numFmtId="0" fontId="23" fillId="9" borderId="0" xfId="0" applyFont="1" applyFill="1" applyBorder="1"/>
    <xf numFmtId="0" fontId="23" fillId="0" borderId="0" xfId="0" applyFont="1" applyBorder="1" applyProtection="1">
      <protection locked="0"/>
    </xf>
    <xf numFmtId="0" fontId="23" fillId="0" borderId="0" xfId="0" applyFont="1" applyBorder="1" applyAlignment="1" applyProtection="1">
      <alignment horizontal="right"/>
      <protection locked="0"/>
    </xf>
    <xf numFmtId="0" fontId="23" fillId="0" borderId="0" xfId="0" applyFont="1"/>
    <xf numFmtId="0" fontId="23" fillId="7" borderId="0" xfId="10" applyFont="1" applyFill="1" applyBorder="1"/>
    <xf numFmtId="173" fontId="23" fillId="7" borderId="0" xfId="10" applyNumberFormat="1" applyFont="1" applyFill="1" applyBorder="1" applyProtection="1"/>
    <xf numFmtId="0" fontId="27" fillId="0" borderId="0" xfId="10" applyFont="1"/>
    <xf numFmtId="2" fontId="23" fillId="0" borderId="0" xfId="10" applyNumberFormat="1" applyFont="1" applyBorder="1" applyProtection="1"/>
    <xf numFmtId="0" fontId="23" fillId="8" borderId="6" xfId="0" applyFont="1" applyFill="1" applyBorder="1"/>
    <xf numFmtId="10" fontId="23" fillId="8" borderId="7" xfId="0" applyNumberFormat="1" applyFont="1" applyFill="1" applyBorder="1"/>
    <xf numFmtId="10" fontId="28" fillId="5" borderId="0" xfId="10" applyNumberFormat="1" applyFont="1" applyFill="1" applyBorder="1" applyAlignment="1" applyProtection="1">
      <alignment horizontal="center"/>
    </xf>
    <xf numFmtId="0" fontId="23" fillId="5" borderId="0" xfId="10" applyNumberFormat="1" applyFont="1" applyFill="1" applyBorder="1" applyProtection="1"/>
    <xf numFmtId="0" fontId="23" fillId="0" borderId="0" xfId="10" applyFont="1" applyBorder="1" applyProtection="1">
      <protection locked="0"/>
    </xf>
    <xf numFmtId="0" fontId="27" fillId="0" borderId="0" xfId="10" applyNumberFormat="1" applyFont="1" applyBorder="1" applyProtection="1"/>
    <xf numFmtId="5" fontId="23" fillId="0" borderId="0" xfId="10" applyNumberFormat="1" applyFont="1" applyProtection="1"/>
    <xf numFmtId="0" fontId="23" fillId="0" borderId="0" xfId="0" applyNumberFormat="1" applyFont="1" applyBorder="1" applyProtection="1"/>
    <xf numFmtId="0" fontId="23" fillId="0" borderId="0" xfId="0" applyNumberFormat="1" applyFont="1" applyBorder="1" applyProtection="1">
      <protection locked="0"/>
    </xf>
    <xf numFmtId="0" fontId="23" fillId="0" borderId="0" xfId="10" applyFont="1" applyAlignment="1">
      <alignment horizontal="right"/>
    </xf>
    <xf numFmtId="0" fontId="24" fillId="0" borderId="0" xfId="10" applyFont="1"/>
    <xf numFmtId="10" fontId="23" fillId="0" borderId="0" xfId="10" applyNumberFormat="1" applyFont="1" applyBorder="1" applyProtection="1"/>
    <xf numFmtId="0" fontId="23" fillId="8" borderId="8" xfId="0" applyFont="1" applyFill="1" applyBorder="1"/>
    <xf numFmtId="10" fontId="23" fillId="8" borderId="9" xfId="0" applyNumberFormat="1" applyFont="1" applyFill="1" applyBorder="1"/>
    <xf numFmtId="166" fontId="24" fillId="5" borderId="0" xfId="0" applyNumberFormat="1" applyFont="1" applyFill="1" applyAlignment="1">
      <alignment horizontal="center"/>
    </xf>
    <xf numFmtId="0" fontId="24" fillId="5" borderId="0" xfId="10" applyNumberFormat="1" applyFont="1" applyFill="1" applyBorder="1" applyProtection="1"/>
    <xf numFmtId="171" fontId="23" fillId="0" borderId="0" xfId="10" applyNumberFormat="1" applyFont="1" applyProtection="1"/>
    <xf numFmtId="0" fontId="23" fillId="5" borderId="0" xfId="10" applyFont="1" applyFill="1" applyBorder="1"/>
    <xf numFmtId="0" fontId="0" fillId="0" borderId="0" xfId="0" applyNumberFormat="1"/>
    <xf numFmtId="0" fontId="23" fillId="9" borderId="0" xfId="0" applyFont="1" applyFill="1" applyBorder="1" applyAlignment="1">
      <alignment horizontal="right"/>
    </xf>
    <xf numFmtId="0" fontId="29" fillId="7" borderId="0" xfId="10" applyFont="1" applyFill="1" applyBorder="1" applyAlignment="1">
      <alignment horizontal="center"/>
    </xf>
    <xf numFmtId="0" fontId="23" fillId="0" borderId="0" xfId="10" applyFont="1" applyBorder="1" applyAlignment="1">
      <alignment horizontal="fill"/>
    </xf>
    <xf numFmtId="168" fontId="23" fillId="0" borderId="0" xfId="10" applyNumberFormat="1" applyFont="1" applyBorder="1" applyAlignment="1">
      <alignment horizontal="center"/>
    </xf>
    <xf numFmtId="0" fontId="23" fillId="0" borderId="0" xfId="10" applyFont="1" applyAlignment="1">
      <alignment horizontal="fill"/>
    </xf>
    <xf numFmtId="10" fontId="28" fillId="0" borderId="0" xfId="10" applyNumberFormat="1" applyFont="1" applyBorder="1" applyProtection="1"/>
    <xf numFmtId="9" fontId="23" fillId="5" borderId="0" xfId="11" applyFont="1" applyFill="1" applyAlignment="1">
      <alignment horizontal="center"/>
    </xf>
    <xf numFmtId="0" fontId="23" fillId="5" borderId="0" xfId="10" applyFont="1" applyFill="1" applyBorder="1" applyAlignment="1">
      <alignment horizontal="fill"/>
    </xf>
    <xf numFmtId="0" fontId="28" fillId="0" borderId="0" xfId="10" applyNumberFormat="1" applyFont="1" applyBorder="1" applyProtection="1"/>
    <xf numFmtId="37" fontId="23" fillId="0" borderId="0" xfId="10" applyNumberFormat="1" applyFont="1" applyProtection="1"/>
    <xf numFmtId="37" fontId="23" fillId="0" borderId="0" xfId="10" applyNumberFormat="1" applyFont="1" applyBorder="1" applyProtection="1"/>
    <xf numFmtId="0" fontId="23" fillId="0" borderId="0" xfId="10" applyFont="1" applyAlignment="1">
      <alignment horizontal="center"/>
    </xf>
    <xf numFmtId="0" fontId="23" fillId="0" borderId="0" xfId="10" applyNumberFormat="1" applyFont="1" applyBorder="1" applyAlignment="1" applyProtection="1">
      <alignment horizontal="centerContinuous"/>
    </xf>
    <xf numFmtId="0" fontId="23" fillId="0" borderId="0" xfId="10" applyFont="1" applyAlignment="1">
      <alignment horizontal="centerContinuous"/>
    </xf>
    <xf numFmtId="0" fontId="23" fillId="0" borderId="0" xfId="10" applyNumberFormat="1" applyFont="1" applyBorder="1" applyAlignment="1" applyProtection="1">
      <alignment horizontal="center"/>
    </xf>
    <xf numFmtId="0" fontId="24" fillId="8" borderId="6" xfId="0" applyFont="1" applyFill="1" applyBorder="1"/>
    <xf numFmtId="10" fontId="25" fillId="8" borderId="7" xfId="10" applyNumberFormat="1" applyFont="1" applyFill="1" applyBorder="1" applyProtection="1"/>
    <xf numFmtId="0" fontId="23" fillId="0" borderId="0" xfId="10" applyFont="1" applyBorder="1" applyAlignment="1">
      <alignment horizontal="right"/>
    </xf>
    <xf numFmtId="10" fontId="23" fillId="5" borderId="0" xfId="11" applyNumberFormat="1" applyFont="1" applyFill="1" applyBorder="1" applyAlignment="1">
      <alignment horizontal="center"/>
    </xf>
    <xf numFmtId="0" fontId="23" fillId="0" borderId="0" xfId="10" applyFont="1" applyProtection="1">
      <protection locked="0"/>
    </xf>
    <xf numFmtId="0" fontId="30" fillId="5" borderId="0" xfId="10" applyNumberFormat="1" applyFont="1" applyFill="1" applyBorder="1" applyProtection="1"/>
    <xf numFmtId="0" fontId="23" fillId="0" borderId="0" xfId="10" applyFont="1" applyBorder="1" applyAlignment="1">
      <alignment horizontal="center"/>
    </xf>
    <xf numFmtId="0" fontId="23" fillId="0" borderId="0" xfId="10" applyNumberFormat="1" applyFont="1" applyProtection="1">
      <protection locked="0"/>
    </xf>
    <xf numFmtId="5" fontId="23" fillId="0" borderId="0" xfId="0" applyNumberFormat="1" applyFont="1" applyBorder="1" applyProtection="1"/>
    <xf numFmtId="0" fontId="23" fillId="0" borderId="0" xfId="10" applyNumberFormat="1" applyFont="1" applyBorder="1" applyAlignment="1" applyProtection="1">
      <alignment horizontal="right"/>
    </xf>
    <xf numFmtId="0" fontId="0" fillId="0" borderId="0" xfId="0" applyNumberFormat="1" applyBorder="1"/>
    <xf numFmtId="0" fontId="0" fillId="0" borderId="0" xfId="0" applyBorder="1"/>
    <xf numFmtId="0" fontId="23" fillId="0" borderId="0" xfId="10" applyNumberFormat="1" applyFont="1" applyAlignment="1" applyProtection="1">
      <alignment horizontal="right"/>
    </xf>
    <xf numFmtId="0" fontId="24" fillId="8" borderId="8" xfId="0" applyFont="1" applyFill="1" applyBorder="1"/>
    <xf numFmtId="10" fontId="25" fillId="8" borderId="9" xfId="0" applyNumberFormat="1" applyFont="1" applyFill="1" applyBorder="1"/>
    <xf numFmtId="10" fontId="23" fillId="5" borderId="0" xfId="11" applyNumberFormat="1" applyFont="1" applyFill="1" applyAlignment="1">
      <alignment horizontal="center"/>
    </xf>
    <xf numFmtId="0" fontId="23" fillId="0" borderId="0" xfId="10" applyNumberFormat="1" applyFont="1" applyBorder="1"/>
    <xf numFmtId="0" fontId="23" fillId="0" borderId="0" xfId="0" applyFont="1" applyBorder="1" applyAlignment="1">
      <alignment horizontal="center"/>
    </xf>
    <xf numFmtId="37" fontId="23" fillId="9" borderId="0" xfId="0" applyNumberFormat="1" applyFont="1" applyFill="1" applyBorder="1" applyProtection="1"/>
    <xf numFmtId="10" fontId="8" fillId="0" borderId="0" xfId="11" applyNumberFormat="1" applyFont="1" applyBorder="1" applyProtection="1"/>
    <xf numFmtId="10" fontId="1" fillId="0" borderId="0" xfId="10" applyNumberFormat="1" applyFont="1" applyBorder="1" applyProtection="1"/>
    <xf numFmtId="0" fontId="23" fillId="5" borderId="0" xfId="10" applyFont="1" applyFill="1" applyBorder="1" applyAlignment="1">
      <alignment horizontal="center"/>
    </xf>
    <xf numFmtId="0" fontId="26" fillId="0" borderId="0" xfId="10" applyFont="1" applyAlignment="1">
      <alignment horizontal="center"/>
    </xf>
    <xf numFmtId="0" fontId="23" fillId="5" borderId="0" xfId="0" applyFont="1" applyFill="1" applyBorder="1" applyAlignment="1">
      <alignment horizontal="center"/>
    </xf>
    <xf numFmtId="0" fontId="23" fillId="0" borderId="0" xfId="0" applyFont="1" applyBorder="1" applyAlignment="1">
      <alignment horizontal="right"/>
    </xf>
    <xf numFmtId="0" fontId="29" fillId="9" borderId="0" xfId="0" applyFont="1" applyFill="1" applyBorder="1"/>
    <xf numFmtId="10" fontId="1" fillId="0" borderId="0" xfId="11" applyNumberFormat="1" applyFont="1" applyBorder="1" applyAlignment="1" applyProtection="1">
      <alignment horizontal="right"/>
    </xf>
    <xf numFmtId="164" fontId="23" fillId="0" borderId="0" xfId="10" applyNumberFormat="1" applyFont="1" applyAlignment="1">
      <alignment horizontal="center"/>
    </xf>
    <xf numFmtId="0" fontId="23" fillId="0" borderId="0" xfId="10" applyNumberFormat="1" applyFont="1" applyBorder="1" applyProtection="1">
      <protection locked="0"/>
    </xf>
    <xf numFmtId="0" fontId="26" fillId="0" borderId="0" xfId="10" applyFont="1"/>
    <xf numFmtId="5" fontId="23" fillId="0" borderId="0" xfId="10" applyNumberFormat="1" applyFont="1" applyBorder="1" applyProtection="1"/>
    <xf numFmtId="0" fontId="8" fillId="0" borderId="0" xfId="0" applyFont="1" applyAlignment="1">
      <alignment horizontal="right"/>
    </xf>
    <xf numFmtId="172" fontId="23" fillId="0" borderId="0" xfId="10" applyNumberFormat="1" applyFont="1" applyBorder="1" applyProtection="1"/>
    <xf numFmtId="10" fontId="1" fillId="0" borderId="4" xfId="11" applyNumberFormat="1" applyFont="1" applyBorder="1" applyAlignment="1" applyProtection="1">
      <alignment horizontal="right"/>
    </xf>
    <xf numFmtId="37" fontId="23" fillId="0" borderId="0" xfId="0" applyNumberFormat="1" applyFont="1" applyBorder="1" applyProtection="1"/>
    <xf numFmtId="5" fontId="23" fillId="0" borderId="0" xfId="0" applyNumberFormat="1" applyFont="1" applyBorder="1" applyProtection="1">
      <protection locked="0"/>
    </xf>
    <xf numFmtId="0" fontId="23" fillId="0" borderId="6" xfId="10" applyNumberFormat="1" applyFont="1" applyBorder="1" applyProtection="1"/>
    <xf numFmtId="0" fontId="23" fillId="0" borderId="10" xfId="10" applyNumberFormat="1" applyFont="1" applyBorder="1" applyProtection="1"/>
    <xf numFmtId="0" fontId="23" fillId="0" borderId="6" xfId="1" applyNumberFormat="1" applyFont="1" applyBorder="1" applyProtection="1">
      <protection locked="0"/>
    </xf>
    <xf numFmtId="0" fontId="23" fillId="0" borderId="11" xfId="1" applyNumberFormat="1" applyFont="1" applyBorder="1" applyProtection="1">
      <protection locked="0"/>
    </xf>
    <xf numFmtId="3" fontId="23" fillId="0" borderId="6" xfId="1" applyNumberFormat="1" applyFont="1" applyBorder="1" applyProtection="1">
      <protection locked="0"/>
    </xf>
    <xf numFmtId="0" fontId="23" fillId="0" borderId="11" xfId="10" applyFont="1" applyBorder="1" applyProtection="1"/>
    <xf numFmtId="0" fontId="23" fillId="0" borderId="7" xfId="10" applyFont="1" applyBorder="1" applyProtection="1"/>
    <xf numFmtId="0" fontId="23" fillId="0" borderId="6" xfId="10" applyFont="1" applyBorder="1" applyProtection="1"/>
    <xf numFmtId="0" fontId="23" fillId="0" borderId="11" xfId="10" applyNumberFormat="1" applyFont="1" applyBorder="1" applyAlignment="1" applyProtection="1">
      <alignment horizontal="center"/>
    </xf>
    <xf numFmtId="10" fontId="23" fillId="0" borderId="6" xfId="10" applyNumberFormat="1" applyFont="1" applyBorder="1" applyProtection="1"/>
    <xf numFmtId="10" fontId="23" fillId="0" borderId="11" xfId="10" applyNumberFormat="1" applyFont="1" applyBorder="1" applyProtection="1"/>
    <xf numFmtId="0" fontId="23" fillId="0" borderId="11" xfId="10" applyFont="1" applyBorder="1" applyProtection="1">
      <protection locked="0"/>
    </xf>
    <xf numFmtId="0" fontId="23" fillId="0" borderId="7" xfId="10" applyFont="1" applyBorder="1"/>
    <xf numFmtId="0" fontId="23" fillId="0" borderId="11" xfId="10" applyNumberFormat="1" applyFont="1" applyBorder="1" applyProtection="1"/>
    <xf numFmtId="0" fontId="23" fillId="0" borderId="7" xfId="10" applyNumberFormat="1" applyFont="1" applyBorder="1" applyProtection="1"/>
    <xf numFmtId="0" fontId="23" fillId="0" borderId="11" xfId="10" applyNumberFormat="1" applyFont="1" applyFill="1" applyBorder="1" applyAlignment="1" applyProtection="1">
      <alignment horizontal="center"/>
    </xf>
    <xf numFmtId="167" fontId="23" fillId="0" borderId="6" xfId="10" applyNumberFormat="1" applyFont="1" applyBorder="1" applyAlignment="1" applyProtection="1">
      <alignment horizontal="center"/>
    </xf>
    <xf numFmtId="167" fontId="23" fillId="5" borderId="7" xfId="10" applyNumberFormat="1" applyFont="1" applyFill="1" applyBorder="1" applyAlignment="1">
      <alignment horizontal="center"/>
    </xf>
    <xf numFmtId="0" fontId="23" fillId="0" borderId="11" xfId="10" applyNumberFormat="1" applyFont="1" applyBorder="1" applyProtection="1">
      <protection locked="0"/>
    </xf>
    <xf numFmtId="167" fontId="23" fillId="0" borderId="6" xfId="10" applyNumberFormat="1" applyFont="1" applyBorder="1" applyAlignment="1" applyProtection="1">
      <protection locked="0"/>
    </xf>
    <xf numFmtId="0" fontId="23" fillId="0" borderId="11" xfId="10" applyNumberFormat="1" applyFont="1" applyBorder="1"/>
    <xf numFmtId="0" fontId="23" fillId="0" borderId="7" xfId="10" applyNumberFormat="1" applyFont="1" applyBorder="1"/>
    <xf numFmtId="0" fontId="26" fillId="0" borderId="11" xfId="10" applyFont="1" applyBorder="1"/>
    <xf numFmtId="0" fontId="8" fillId="0" borderId="6" xfId="10" applyNumberFormat="1" applyFont="1" applyFill="1" applyBorder="1" applyProtection="1"/>
    <xf numFmtId="0" fontId="8" fillId="0" borderId="11" xfId="10" applyNumberFormat="1" applyFont="1" applyFill="1" applyBorder="1" applyProtection="1"/>
    <xf numFmtId="0" fontId="23" fillId="0" borderId="11" xfId="0" applyNumberFormat="1" applyFont="1" applyBorder="1" applyProtection="1"/>
    <xf numFmtId="0" fontId="23" fillId="0" borderId="7" xfId="0" applyNumberFormat="1" applyFont="1" applyBorder="1" applyProtection="1"/>
    <xf numFmtId="166" fontId="23" fillId="0" borderId="11" xfId="0" applyNumberFormat="1" applyFont="1" applyBorder="1"/>
    <xf numFmtId="167" fontId="8" fillId="0" borderId="11" xfId="0" applyNumberFormat="1" applyFont="1" applyBorder="1"/>
    <xf numFmtId="0" fontId="23" fillId="0" borderId="11" xfId="0" applyFont="1" applyBorder="1"/>
    <xf numFmtId="166" fontId="23" fillId="0" borderId="7" xfId="0" applyNumberFormat="1" applyFont="1" applyBorder="1"/>
    <xf numFmtId="166" fontId="23" fillId="0" borderId="0" xfId="0" applyNumberFormat="1" applyFont="1" applyBorder="1"/>
    <xf numFmtId="0" fontId="23" fillId="0" borderId="12" xfId="10" applyNumberFormat="1" applyFont="1" applyBorder="1" applyProtection="1"/>
    <xf numFmtId="0" fontId="8" fillId="0" borderId="13" xfId="10" applyNumberFormat="1" applyFont="1" applyBorder="1" applyProtection="1"/>
    <xf numFmtId="0" fontId="23" fillId="0" borderId="12" xfId="1" applyNumberFormat="1" applyFont="1" applyFill="1" applyBorder="1" applyProtection="1">
      <protection locked="0"/>
    </xf>
    <xf numFmtId="0" fontId="23" fillId="0" borderId="0" xfId="1" applyNumberFormat="1" applyFont="1" applyBorder="1" applyProtection="1">
      <protection locked="0"/>
    </xf>
    <xf numFmtId="3" fontId="23" fillId="0" borderId="12" xfId="1" applyNumberFormat="1" applyFont="1" applyBorder="1" applyProtection="1">
      <protection locked="0"/>
    </xf>
    <xf numFmtId="0" fontId="8" fillId="0" borderId="0" xfId="10" applyFont="1" applyFill="1" applyBorder="1" applyProtection="1"/>
    <xf numFmtId="0" fontId="8" fillId="0" borderId="14" xfId="10" applyFont="1" applyFill="1" applyBorder="1" applyProtection="1"/>
    <xf numFmtId="0" fontId="8" fillId="0" borderId="12" xfId="10" applyFont="1" applyFill="1" applyBorder="1" applyProtection="1"/>
    <xf numFmtId="10" fontId="8" fillId="0" borderId="12" xfId="10" applyNumberFormat="1" applyFont="1" applyFill="1" applyBorder="1" applyProtection="1"/>
    <xf numFmtId="10" fontId="8" fillId="0" borderId="0" xfId="10" applyNumberFormat="1" applyFont="1" applyBorder="1" applyProtection="1"/>
    <xf numFmtId="164" fontId="26" fillId="0" borderId="0" xfId="10" applyNumberFormat="1" applyFont="1" applyBorder="1" applyProtection="1"/>
    <xf numFmtId="0" fontId="23" fillId="0" borderId="14" xfId="10" applyFont="1" applyBorder="1"/>
    <xf numFmtId="0" fontId="23" fillId="0" borderId="14" xfId="10" applyNumberFormat="1" applyFont="1" applyBorder="1" applyProtection="1"/>
    <xf numFmtId="167" fontId="8" fillId="0" borderId="12" xfId="10" applyNumberFormat="1" applyFont="1" applyFill="1" applyBorder="1" applyAlignment="1" applyProtection="1">
      <alignment horizontal="center"/>
    </xf>
    <xf numFmtId="167" fontId="8" fillId="5" borderId="14" xfId="10" applyNumberFormat="1" applyFont="1" applyFill="1" applyBorder="1" applyAlignment="1">
      <alignment horizontal="center"/>
    </xf>
    <xf numFmtId="0" fontId="8" fillId="0" borderId="12" xfId="10" applyNumberFormat="1" applyFont="1" applyFill="1" applyBorder="1" applyProtection="1"/>
    <xf numFmtId="167" fontId="8" fillId="0" borderId="12" xfId="10" applyNumberFormat="1" applyFont="1" applyFill="1" applyBorder="1" applyAlignment="1" applyProtection="1">
      <protection locked="0"/>
    </xf>
    <xf numFmtId="0" fontId="23" fillId="0" borderId="14" xfId="10" applyNumberFormat="1" applyFont="1" applyBorder="1"/>
    <xf numFmtId="0" fontId="8" fillId="0" borderId="0" xfId="10" applyNumberFormat="1" applyFont="1" applyFill="1" applyBorder="1" applyProtection="1"/>
    <xf numFmtId="0" fontId="23" fillId="0" borderId="14" xfId="0" applyNumberFormat="1" applyFont="1" applyBorder="1" applyProtection="1"/>
    <xf numFmtId="167" fontId="8" fillId="0" borderId="0" xfId="0" applyNumberFormat="1" applyFont="1" applyBorder="1"/>
    <xf numFmtId="166" fontId="23" fillId="0" borderId="14" xfId="0" applyNumberFormat="1" applyFont="1" applyBorder="1"/>
    <xf numFmtId="0" fontId="8" fillId="0" borderId="12" xfId="10" applyNumberFormat="1" applyFont="1" applyBorder="1" applyProtection="1"/>
    <xf numFmtId="0" fontId="8" fillId="0" borderId="12" xfId="1" applyNumberFormat="1" applyFont="1" applyBorder="1" applyProtection="1">
      <protection locked="0"/>
    </xf>
    <xf numFmtId="0" fontId="8" fillId="0" borderId="0" xfId="1" applyNumberFormat="1" applyFont="1" applyBorder="1" applyProtection="1">
      <protection locked="0"/>
    </xf>
    <xf numFmtId="3" fontId="8" fillId="0" borderId="12" xfId="1" applyNumberFormat="1" applyFont="1" applyBorder="1" applyProtection="1">
      <protection locked="0"/>
    </xf>
    <xf numFmtId="0" fontId="8" fillId="0" borderId="0" xfId="10" applyFont="1" applyBorder="1" applyProtection="1"/>
    <xf numFmtId="0" fontId="8" fillId="0" borderId="14" xfId="10" applyFont="1" applyBorder="1" applyProtection="1"/>
    <xf numFmtId="0" fontId="8" fillId="0" borderId="12" xfId="10" applyFont="1" applyBorder="1" applyProtection="1"/>
    <xf numFmtId="0" fontId="8" fillId="0" borderId="0" xfId="10" applyNumberFormat="1" applyFont="1" applyBorder="1" applyAlignment="1" applyProtection="1">
      <alignment horizontal="center"/>
    </xf>
    <xf numFmtId="10" fontId="8" fillId="0" borderId="12" xfId="10" applyNumberFormat="1" applyFont="1" applyBorder="1" applyProtection="1"/>
    <xf numFmtId="10" fontId="1" fillId="5" borderId="0" xfId="11" applyNumberFormat="1" applyFont="1" applyFill="1" applyBorder="1" applyProtection="1"/>
    <xf numFmtId="10" fontId="8" fillId="0" borderId="0" xfId="10" applyNumberFormat="1" applyFont="1" applyBorder="1" applyProtection="1">
      <protection locked="0"/>
    </xf>
    <xf numFmtId="10" fontId="8" fillId="0" borderId="14" xfId="10" applyNumberFormat="1" applyFont="1" applyBorder="1" applyProtection="1"/>
    <xf numFmtId="0" fontId="8" fillId="0" borderId="0" xfId="10" applyNumberFormat="1" applyFont="1" applyBorder="1" applyProtection="1"/>
    <xf numFmtId="0" fontId="8" fillId="0" borderId="14" xfId="10" applyNumberFormat="1" applyFont="1" applyBorder="1" applyProtection="1"/>
    <xf numFmtId="167" fontId="8" fillId="0" borderId="12" xfId="10" applyNumberFormat="1" applyFont="1" applyBorder="1" applyAlignment="1" applyProtection="1">
      <alignment horizontal="center"/>
    </xf>
    <xf numFmtId="0" fontId="8" fillId="0" borderId="0" xfId="10" applyNumberFormat="1" applyFont="1" applyBorder="1" applyProtection="1">
      <protection locked="0"/>
    </xf>
    <xf numFmtId="0" fontId="8" fillId="0" borderId="0" xfId="10" applyNumberFormat="1" applyFont="1" applyBorder="1"/>
    <xf numFmtId="0" fontId="8" fillId="0" borderId="14" xfId="10" applyNumberFormat="1" applyFont="1" applyBorder="1"/>
    <xf numFmtId="0" fontId="8" fillId="0" borderId="0" xfId="0" applyNumberFormat="1" applyFont="1" applyBorder="1" applyProtection="1"/>
    <xf numFmtId="0" fontId="8" fillId="0" borderId="14" xfId="0" applyNumberFormat="1" applyFont="1" applyBorder="1" applyProtection="1"/>
    <xf numFmtId="166" fontId="8" fillId="0" borderId="0" xfId="0" applyNumberFormat="1" applyFont="1" applyBorder="1"/>
    <xf numFmtId="0" fontId="8" fillId="0" borderId="0" xfId="0" applyFont="1" applyBorder="1"/>
    <xf numFmtId="166" fontId="8" fillId="0" borderId="14" xfId="0" applyNumberFormat="1" applyFont="1" applyBorder="1"/>
    <xf numFmtId="0" fontId="8" fillId="9" borderId="0" xfId="0" applyFont="1" applyFill="1" applyBorder="1"/>
    <xf numFmtId="37" fontId="8" fillId="0" borderId="0" xfId="0" applyNumberFormat="1" applyFont="1" applyBorder="1" applyProtection="1"/>
    <xf numFmtId="5" fontId="8" fillId="0" borderId="0" xfId="0" applyNumberFormat="1" applyFont="1" applyBorder="1" applyProtection="1"/>
    <xf numFmtId="0" fontId="8" fillId="0" borderId="0" xfId="0" applyFont="1"/>
    <xf numFmtId="0" fontId="23" fillId="0" borderId="12" xfId="1" applyNumberFormat="1" applyFont="1" applyBorder="1" applyProtection="1">
      <protection locked="0"/>
    </xf>
    <xf numFmtId="0" fontId="23" fillId="0" borderId="14" xfId="1" applyNumberFormat="1" applyFont="1" applyBorder="1" applyProtection="1">
      <protection locked="0"/>
    </xf>
    <xf numFmtId="0" fontId="1" fillId="0" borderId="0" xfId="10" applyNumberFormat="1" applyFont="1" applyBorder="1" applyAlignment="1" applyProtection="1">
      <alignment horizontal="center"/>
      <protection locked="0"/>
    </xf>
    <xf numFmtId="0" fontId="8" fillId="0" borderId="0" xfId="10" applyFont="1" applyBorder="1" applyAlignment="1">
      <alignment horizontal="center"/>
    </xf>
    <xf numFmtId="0" fontId="23" fillId="0" borderId="12" xfId="10" applyNumberFormat="1" applyFont="1" applyBorder="1"/>
    <xf numFmtId="0" fontId="8" fillId="0" borderId="0" xfId="10" applyNumberFormat="1" applyFont="1" applyBorder="1" applyAlignment="1" applyProtection="1">
      <alignment horizontal="center"/>
      <protection locked="0"/>
    </xf>
    <xf numFmtId="10" fontId="8" fillId="0" borderId="0" xfId="11" applyNumberFormat="1" applyFont="1" applyFill="1" applyBorder="1" applyProtection="1"/>
    <xf numFmtId="10" fontId="8" fillId="0" borderId="14" xfId="11" applyNumberFormat="1" applyFont="1" applyBorder="1" applyProtection="1"/>
    <xf numFmtId="0" fontId="26" fillId="0" borderId="0" xfId="10" applyFont="1" applyBorder="1" applyAlignment="1">
      <alignment horizontal="center"/>
    </xf>
    <xf numFmtId="0" fontId="8" fillId="5" borderId="0" xfId="10" applyNumberFormat="1" applyFont="1" applyFill="1" applyBorder="1" applyProtection="1"/>
    <xf numFmtId="0" fontId="23" fillId="0" borderId="0" xfId="0" applyNumberFormat="1" applyFont="1" applyBorder="1"/>
    <xf numFmtId="10" fontId="23" fillId="9" borderId="0" xfId="0" applyNumberFormat="1" applyFont="1" applyFill="1" applyBorder="1"/>
    <xf numFmtId="0" fontId="23" fillId="9" borderId="0" xfId="0" applyNumberFormat="1" applyFont="1" applyFill="1" applyBorder="1"/>
    <xf numFmtId="173" fontId="23" fillId="0" borderId="0" xfId="0" applyNumberFormat="1" applyFont="1" applyBorder="1" applyProtection="1"/>
    <xf numFmtId="10" fontId="8" fillId="5" borderId="0" xfId="11" applyNumberFormat="1" applyFont="1" applyFill="1" applyBorder="1" applyProtection="1"/>
    <xf numFmtId="0" fontId="8" fillId="0" borderId="12" xfId="10" applyNumberFormat="1" applyFont="1" applyBorder="1"/>
    <xf numFmtId="10" fontId="8" fillId="0" borderId="0" xfId="11" applyNumberFormat="1" applyFont="1" applyBorder="1"/>
    <xf numFmtId="0" fontId="8" fillId="0" borderId="0" xfId="0" applyNumberFormat="1" applyFont="1" applyBorder="1"/>
    <xf numFmtId="0" fontId="8" fillId="9" borderId="0" xfId="0" applyNumberFormat="1" applyFont="1" applyFill="1" applyBorder="1"/>
    <xf numFmtId="173" fontId="8" fillId="0" borderId="0" xfId="0" applyNumberFormat="1" applyFont="1" applyBorder="1" applyProtection="1"/>
    <xf numFmtId="0" fontId="8" fillId="7" borderId="12" xfId="1" applyNumberFormat="1" applyFont="1" applyFill="1" applyBorder="1" applyProtection="1">
      <protection locked="0"/>
    </xf>
    <xf numFmtId="10" fontId="31" fillId="5" borderId="0" xfId="11" applyNumberFormat="1" applyFont="1" applyFill="1" applyBorder="1" applyProtection="1"/>
    <xf numFmtId="0" fontId="31" fillId="0" borderId="12" xfId="10" applyNumberFormat="1" applyFont="1" applyBorder="1" applyProtection="1"/>
    <xf numFmtId="0" fontId="8" fillId="0" borderId="13" xfId="10" applyNumberFormat="1" applyFont="1" applyFill="1" applyBorder="1" applyProtection="1"/>
    <xf numFmtId="0" fontId="8" fillId="0" borderId="12" xfId="1" applyNumberFormat="1" applyFont="1" applyFill="1" applyBorder="1" applyProtection="1">
      <protection locked="0"/>
    </xf>
    <xf numFmtId="0" fontId="8" fillId="0" borderId="0" xfId="1" applyNumberFormat="1" applyFont="1" applyFill="1" applyBorder="1" applyProtection="1">
      <protection locked="0"/>
    </xf>
    <xf numFmtId="0" fontId="8" fillId="0" borderId="0" xfId="10" applyNumberFormat="1" applyFont="1" applyFill="1" applyBorder="1" applyAlignment="1" applyProtection="1">
      <alignment horizontal="center"/>
      <protection locked="0"/>
    </xf>
    <xf numFmtId="10" fontId="31" fillId="0" borderId="0" xfId="11" applyNumberFormat="1" applyFont="1" applyFill="1" applyBorder="1" applyProtection="1"/>
    <xf numFmtId="10" fontId="8" fillId="0" borderId="0" xfId="10" applyNumberFormat="1" applyFont="1" applyFill="1" applyBorder="1" applyProtection="1"/>
    <xf numFmtId="0" fontId="8" fillId="0" borderId="14" xfId="11" applyNumberFormat="1" applyFont="1" applyFill="1" applyBorder="1" applyProtection="1"/>
    <xf numFmtId="0" fontId="8" fillId="0" borderId="14" xfId="10" applyNumberFormat="1" applyFont="1" applyFill="1" applyBorder="1" applyProtection="1"/>
    <xf numFmtId="0" fontId="8" fillId="0" borderId="0" xfId="10" applyNumberFormat="1" applyFont="1" applyFill="1" applyBorder="1" applyAlignment="1" applyProtection="1">
      <alignment horizontal="center"/>
    </xf>
    <xf numFmtId="167" fontId="8" fillId="0" borderId="14" xfId="10" applyNumberFormat="1" applyFont="1" applyFill="1" applyBorder="1" applyAlignment="1">
      <alignment horizontal="center"/>
    </xf>
    <xf numFmtId="0" fontId="12" fillId="0" borderId="12" xfId="10" applyNumberFormat="1" applyFont="1" applyFill="1" applyBorder="1" applyProtection="1"/>
    <xf numFmtId="0" fontId="8" fillId="0" borderId="0" xfId="10" applyNumberFormat="1" applyFont="1" applyFill="1" applyBorder="1" applyProtection="1">
      <protection locked="0"/>
    </xf>
    <xf numFmtId="0" fontId="8" fillId="0" borderId="12" xfId="10" applyNumberFormat="1" applyFont="1" applyFill="1" applyBorder="1"/>
    <xf numFmtId="0" fontId="8" fillId="0" borderId="0" xfId="10" applyNumberFormat="1" applyFont="1" applyFill="1" applyBorder="1"/>
    <xf numFmtId="0" fontId="8" fillId="0" borderId="14" xfId="10" applyNumberFormat="1" applyFont="1" applyFill="1" applyBorder="1"/>
    <xf numFmtId="0" fontId="8" fillId="0" borderId="0" xfId="10" applyFont="1" applyFill="1" applyBorder="1" applyAlignment="1">
      <alignment horizontal="center"/>
    </xf>
    <xf numFmtId="10" fontId="23" fillId="0" borderId="0" xfId="11" applyNumberFormat="1" applyFont="1" applyBorder="1"/>
    <xf numFmtId="167" fontId="8" fillId="0" borderId="12" xfId="10" applyNumberFormat="1" applyFont="1" applyFill="1" applyBorder="1" applyProtection="1"/>
    <xf numFmtId="0" fontId="1" fillId="0" borderId="0" xfId="10" applyNumberFormat="1" applyFont="1" applyFill="1" applyBorder="1" applyAlignment="1" applyProtection="1">
      <alignment horizontal="center"/>
      <protection locked="0"/>
    </xf>
    <xf numFmtId="10" fontId="8" fillId="9" borderId="0" xfId="11" applyNumberFormat="1" applyFont="1" applyFill="1" applyBorder="1"/>
    <xf numFmtId="0" fontId="27" fillId="0" borderId="13" xfId="10" applyNumberFormat="1" applyFont="1" applyBorder="1" applyProtection="1"/>
    <xf numFmtId="0" fontId="8" fillId="0" borderId="12" xfId="1" applyNumberFormat="1" applyFont="1" applyFill="1" applyBorder="1" applyAlignment="1" applyProtection="1">
      <alignment horizontal="right"/>
      <protection locked="0"/>
    </xf>
    <xf numFmtId="167" fontId="8" fillId="0" borderId="12" xfId="10" applyNumberFormat="1" applyFont="1" applyBorder="1" applyProtection="1"/>
    <xf numFmtId="0" fontId="27" fillId="0" borderId="14" xfId="11" applyNumberFormat="1" applyFont="1" applyBorder="1" applyProtection="1"/>
    <xf numFmtId="167" fontId="28" fillId="0" borderId="12" xfId="10" applyNumberFormat="1" applyFont="1" applyBorder="1" applyAlignment="1" applyProtection="1">
      <alignment horizontal="center"/>
    </xf>
    <xf numFmtId="167" fontId="8" fillId="0" borderId="3" xfId="10" applyNumberFormat="1" applyFont="1" applyFill="1" applyBorder="1" applyAlignment="1">
      <alignment horizontal="center"/>
    </xf>
    <xf numFmtId="0" fontId="27" fillId="0" borderId="12" xfId="10" applyNumberFormat="1" applyFont="1" applyBorder="1" applyProtection="1"/>
    <xf numFmtId="0" fontId="25" fillId="5" borderId="12" xfId="1" applyNumberFormat="1" applyFont="1" applyFill="1" applyBorder="1" applyAlignment="1" applyProtection="1">
      <alignment horizontal="center"/>
      <protection locked="0"/>
    </xf>
    <xf numFmtId="0" fontId="27" fillId="0" borderId="12" xfId="10" applyFont="1" applyBorder="1" applyProtection="1"/>
    <xf numFmtId="0" fontId="27" fillId="0" borderId="0" xfId="10" applyFont="1" applyBorder="1" applyProtection="1"/>
    <xf numFmtId="0" fontId="27" fillId="0" borderId="14" xfId="10" applyFont="1" applyBorder="1" applyProtection="1"/>
    <xf numFmtId="167" fontId="27" fillId="0" borderId="12" xfId="10" applyNumberFormat="1" applyFont="1" applyBorder="1" applyProtection="1"/>
    <xf numFmtId="0" fontId="25" fillId="9" borderId="0" xfId="10" applyNumberFormat="1" applyFont="1" applyFill="1" applyBorder="1" applyAlignment="1" applyProtection="1">
      <alignment horizontal="center"/>
      <protection locked="0"/>
    </xf>
    <xf numFmtId="10" fontId="26" fillId="0" borderId="12" xfId="10" applyNumberFormat="1" applyFont="1" applyBorder="1" applyProtection="1"/>
    <xf numFmtId="10" fontId="22" fillId="5" borderId="0" xfId="11" applyNumberFormat="1" applyFont="1" applyFill="1" applyBorder="1" applyProtection="1"/>
    <xf numFmtId="167" fontId="25" fillId="5" borderId="3" xfId="10" applyNumberFormat="1" applyFont="1" applyFill="1" applyBorder="1" applyAlignment="1">
      <alignment horizontal="center"/>
    </xf>
    <xf numFmtId="0" fontId="13" fillId="10" borderId="12" xfId="10" applyNumberFormat="1" applyFont="1" applyFill="1" applyBorder="1" applyProtection="1"/>
    <xf numFmtId="169" fontId="23" fillId="0" borderId="14" xfId="0" applyNumberFormat="1" applyFont="1" applyBorder="1" applyProtection="1"/>
    <xf numFmtId="10" fontId="25" fillId="9" borderId="0" xfId="11" applyNumberFormat="1" applyFont="1" applyFill="1" applyBorder="1"/>
    <xf numFmtId="167" fontId="28" fillId="5" borderId="14" xfId="10" applyNumberFormat="1" applyFont="1" applyFill="1" applyBorder="1" applyAlignment="1">
      <alignment horizontal="center"/>
    </xf>
    <xf numFmtId="0" fontId="13" fillId="11" borderId="12" xfId="10" applyNumberFormat="1" applyFont="1" applyFill="1" applyBorder="1" applyProtection="1"/>
    <xf numFmtId="0" fontId="22" fillId="5" borderId="12" xfId="1" applyNumberFormat="1" applyFont="1" applyFill="1" applyBorder="1" applyAlignment="1" applyProtection="1">
      <alignment horizontal="center"/>
      <protection locked="0"/>
    </xf>
    <xf numFmtId="0" fontId="25" fillId="8" borderId="0" xfId="10" applyNumberFormat="1" applyFont="1" applyFill="1" applyBorder="1" applyAlignment="1" applyProtection="1">
      <alignment horizontal="center"/>
      <protection locked="0"/>
    </xf>
    <xf numFmtId="167" fontId="25" fillId="5" borderId="14" xfId="10" applyNumberFormat="1" applyFont="1" applyFill="1" applyBorder="1" applyAlignment="1">
      <alignment horizontal="center"/>
    </xf>
    <xf numFmtId="0" fontId="8" fillId="0" borderId="12" xfId="10" applyNumberFormat="1" applyFont="1" applyBorder="1" applyProtection="1">
      <protection locked="0"/>
    </xf>
    <xf numFmtId="10" fontId="23" fillId="9" borderId="0" xfId="11" applyNumberFormat="1" applyFont="1" applyFill="1" applyBorder="1"/>
    <xf numFmtId="0" fontId="22" fillId="0" borderId="12" xfId="1" applyNumberFormat="1" applyFont="1" applyBorder="1" applyAlignment="1" applyProtection="1">
      <alignment horizontal="center"/>
      <protection locked="0"/>
    </xf>
    <xf numFmtId="0" fontId="23" fillId="0" borderId="0" xfId="10" quotePrefix="1" applyNumberFormat="1" applyFont="1" applyBorder="1" applyAlignment="1" applyProtection="1">
      <alignment horizontal="center"/>
    </xf>
    <xf numFmtId="0" fontId="25" fillId="0" borderId="0" xfId="10" applyNumberFormat="1" applyFont="1" applyBorder="1" applyAlignment="1" applyProtection="1">
      <alignment horizontal="center"/>
      <protection locked="0"/>
    </xf>
    <xf numFmtId="10" fontId="8" fillId="11" borderId="0" xfId="11" applyNumberFormat="1" applyFont="1" applyFill="1" applyBorder="1"/>
    <xf numFmtId="0" fontId="25" fillId="0" borderId="12" xfId="1" applyNumberFormat="1" applyFont="1" applyBorder="1" applyAlignment="1" applyProtection="1">
      <alignment horizontal="center"/>
      <protection locked="0"/>
    </xf>
    <xf numFmtId="10" fontId="27" fillId="0" borderId="14" xfId="11" applyNumberFormat="1" applyFont="1" applyBorder="1" applyProtection="1"/>
    <xf numFmtId="0" fontId="31" fillId="0" borderId="0" xfId="10" applyNumberFormat="1" applyFont="1" applyBorder="1" applyAlignment="1" applyProtection="1">
      <alignment horizontal="center"/>
      <protection locked="0"/>
    </xf>
    <xf numFmtId="0" fontId="30" fillId="5" borderId="12" xfId="1" applyNumberFormat="1" applyFont="1" applyFill="1" applyBorder="1" applyProtection="1"/>
    <xf numFmtId="0" fontId="1" fillId="0" borderId="12" xfId="1" applyNumberFormat="1" applyFont="1" applyBorder="1" applyProtection="1"/>
    <xf numFmtId="0" fontId="30" fillId="0" borderId="12" xfId="1" applyNumberFormat="1" applyFont="1" applyBorder="1" applyProtection="1"/>
    <xf numFmtId="0" fontId="1" fillId="0" borderId="8" xfId="1" applyNumberFormat="1" applyFont="1" applyBorder="1" applyProtection="1"/>
    <xf numFmtId="0" fontId="27" fillId="0" borderId="8" xfId="10" applyFont="1" applyBorder="1" applyProtection="1"/>
    <xf numFmtId="0" fontId="27" fillId="0" borderId="4" xfId="10" applyFont="1" applyBorder="1" applyProtection="1"/>
    <xf numFmtId="0" fontId="27" fillId="0" borderId="9" xfId="10" applyFont="1" applyBorder="1" applyProtection="1"/>
    <xf numFmtId="0" fontId="8" fillId="0" borderId="15" xfId="10" applyNumberFormat="1" applyFont="1" applyBorder="1" applyAlignment="1" applyProtection="1">
      <alignment horizontal="center"/>
      <protection locked="0"/>
    </xf>
    <xf numFmtId="10" fontId="27" fillId="0" borderId="9" xfId="11" applyNumberFormat="1" applyFont="1" applyBorder="1" applyProtection="1"/>
    <xf numFmtId="0" fontId="23" fillId="0" borderId="4" xfId="10" applyNumberFormat="1" applyFont="1" applyBorder="1" applyProtection="1"/>
    <xf numFmtId="0" fontId="23" fillId="0" borderId="9" xfId="10" applyNumberFormat="1" applyFont="1" applyBorder="1" applyProtection="1"/>
    <xf numFmtId="0" fontId="23" fillId="0" borderId="4" xfId="10" applyFont="1" applyBorder="1"/>
    <xf numFmtId="167" fontId="28" fillId="0" borderId="8" xfId="10" applyNumberFormat="1" applyFont="1" applyBorder="1" applyAlignment="1" applyProtection="1">
      <alignment horizontal="center"/>
    </xf>
    <xf numFmtId="167" fontId="28" fillId="5" borderId="9" xfId="10" applyNumberFormat="1" applyFont="1" applyFill="1" applyBorder="1" applyAlignment="1">
      <alignment horizontal="center"/>
    </xf>
    <xf numFmtId="0" fontId="23" fillId="0" borderId="4" xfId="10" applyNumberFormat="1" applyFont="1" applyBorder="1" applyProtection="1">
      <protection locked="0"/>
    </xf>
    <xf numFmtId="0" fontId="23" fillId="0" borderId="8" xfId="10" applyNumberFormat="1" applyFont="1" applyBorder="1"/>
    <xf numFmtId="0" fontId="23" fillId="0" borderId="4" xfId="10" applyNumberFormat="1" applyFont="1" applyBorder="1"/>
    <xf numFmtId="0" fontId="23" fillId="0" borderId="9" xfId="10" applyNumberFormat="1" applyFont="1" applyBorder="1"/>
    <xf numFmtId="0" fontId="26" fillId="0" borderId="4" xfId="10" applyFont="1" applyBorder="1" applyAlignment="1">
      <alignment horizontal="center"/>
    </xf>
    <xf numFmtId="166" fontId="23" fillId="0" borderId="4" xfId="0" applyNumberFormat="1" applyFont="1" applyBorder="1"/>
    <xf numFmtId="167" fontId="8" fillId="0" borderId="4" xfId="0" applyNumberFormat="1" applyFont="1" applyBorder="1"/>
    <xf numFmtId="0" fontId="23" fillId="0" borderId="4" xfId="0" applyFont="1" applyBorder="1"/>
    <xf numFmtId="166" fontId="23" fillId="0" borderId="9" xfId="0" applyNumberFormat="1" applyFont="1" applyBorder="1"/>
    <xf numFmtId="0" fontId="23" fillId="0" borderId="0" xfId="9" applyFont="1"/>
    <xf numFmtId="0" fontId="23" fillId="0" borderId="0" xfId="1" applyNumberFormat="1" applyFont="1" applyBorder="1" applyProtection="1"/>
    <xf numFmtId="0" fontId="23" fillId="0" borderId="0" xfId="0" applyFont="1" applyBorder="1" applyProtection="1"/>
    <xf numFmtId="0" fontId="23" fillId="5" borderId="0" xfId="0" applyNumberFormat="1" applyFont="1" applyFill="1" applyBorder="1" applyProtection="1">
      <protection locked="0"/>
    </xf>
    <xf numFmtId="0" fontId="26" fillId="0" borderId="0" xfId="0" applyFont="1" applyBorder="1"/>
    <xf numFmtId="17" fontId="23" fillId="0" borderId="0" xfId="0" applyNumberFormat="1" applyFont="1" applyBorder="1" applyProtection="1">
      <protection locked="0"/>
    </xf>
    <xf numFmtId="0" fontId="23" fillId="0" borderId="0" xfId="1" applyNumberFormat="1" applyFont="1" applyBorder="1"/>
    <xf numFmtId="0" fontId="27" fillId="0" borderId="15" xfId="10" applyNumberFormat="1" applyFont="1" applyBorder="1" applyProtection="1"/>
    <xf numFmtId="0" fontId="27" fillId="0" borderId="8" xfId="10" applyNumberFormat="1" applyFont="1" applyBorder="1" applyProtection="1"/>
    <xf numFmtId="0" fontId="27" fillId="0" borderId="4" xfId="10" applyNumberFormat="1" applyFont="1" applyBorder="1" applyProtection="1"/>
    <xf numFmtId="0" fontId="23" fillId="0" borderId="4" xfId="0" applyNumberFormat="1" applyFont="1" applyBorder="1" applyProtection="1"/>
    <xf numFmtId="0" fontId="23" fillId="0" borderId="9" xfId="0" applyNumberFormat="1" applyFont="1" applyBorder="1" applyProtection="1"/>
    <xf numFmtId="17" fontId="23" fillId="0" borderId="0" xfId="0" applyNumberFormat="1" applyFont="1" applyBorder="1"/>
    <xf numFmtId="0" fontId="23" fillId="0" borderId="0" xfId="9" applyNumberFormat="1" applyFont="1"/>
    <xf numFmtId="0" fontId="23" fillId="0" borderId="16" xfId="9" applyNumberFormat="1" applyFont="1" applyBorder="1"/>
    <xf numFmtId="17" fontId="23" fillId="0" borderId="0" xfId="0" applyNumberFormat="1" applyFont="1"/>
    <xf numFmtId="0" fontId="23" fillId="5" borderId="0" xfId="0" applyFont="1" applyFill="1"/>
    <xf numFmtId="0" fontId="26" fillId="0" borderId="0" xfId="0" applyFont="1"/>
    <xf numFmtId="10" fontId="23" fillId="0" borderId="0" xfId="11" applyNumberFormat="1" applyFont="1"/>
    <xf numFmtId="0" fontId="23" fillId="9" borderId="0" xfId="0" applyFont="1" applyFill="1"/>
    <xf numFmtId="17" fontId="24" fillId="0" borderId="12" xfId="10" applyNumberFormat="1" applyFont="1" applyBorder="1" applyProtection="1"/>
    <xf numFmtId="17" fontId="23" fillId="0" borderId="12" xfId="10" applyNumberFormat="1" applyFont="1" applyBorder="1" applyProtection="1"/>
    <xf numFmtId="17" fontId="23" fillId="0" borderId="8" xfId="10" applyNumberFormat="1" applyFont="1" applyBorder="1" applyProtection="1"/>
    <xf numFmtId="174" fontId="33" fillId="0" borderId="4" xfId="0" applyNumberFormat="1" applyFont="1" applyBorder="1" applyAlignment="1">
      <alignment horizontal="centerContinuous"/>
    </xf>
    <xf numFmtId="167" fontId="12" fillId="0" borderId="0" xfId="0" applyNumberFormat="1" applyFont="1" applyAlignment="1">
      <alignment horizontal="center"/>
    </xf>
    <xf numFmtId="167" fontId="11" fillId="0" borderId="0" xfId="0" applyNumberFormat="1" applyFont="1" applyFill="1" applyAlignment="1">
      <alignment horizontal="center"/>
    </xf>
    <xf numFmtId="0" fontId="11" fillId="0" borderId="0" xfId="0" applyFont="1" applyFill="1"/>
    <xf numFmtId="167" fontId="34" fillId="0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7" xfId="0" applyFill="1" applyBorder="1"/>
    <xf numFmtId="167" fontId="0" fillId="0" borderId="17" xfId="0" applyNumberFormat="1" applyFill="1" applyBorder="1" applyAlignment="1">
      <alignment horizontal="center"/>
    </xf>
    <xf numFmtId="10" fontId="0" fillId="0" borderId="17" xfId="0" applyNumberFormat="1" applyFill="1" applyBorder="1" applyAlignment="1">
      <alignment horizontal="center"/>
    </xf>
    <xf numFmtId="166" fontId="0" fillId="0" borderId="17" xfId="0" applyNumberFormat="1" applyFill="1" applyBorder="1" applyAlignment="1">
      <alignment horizontal="center"/>
    </xf>
    <xf numFmtId="167" fontId="12" fillId="0" borderId="17" xfId="0" applyNumberFormat="1" applyFont="1" applyFill="1" applyBorder="1" applyAlignment="1">
      <alignment horizontal="center"/>
    </xf>
    <xf numFmtId="166" fontId="2" fillId="0" borderId="18" xfId="0" applyNumberFormat="1" applyFont="1" applyFill="1" applyBorder="1" applyAlignment="1">
      <alignment horizontal="center"/>
    </xf>
    <xf numFmtId="166" fontId="2" fillId="0" borderId="19" xfId="0" applyNumberFormat="1" applyFont="1" applyFill="1" applyBorder="1" applyAlignment="1">
      <alignment horizontal="center"/>
    </xf>
    <xf numFmtId="167" fontId="11" fillId="0" borderId="17" xfId="0" applyNumberFormat="1" applyFont="1" applyFill="1" applyBorder="1" applyAlignment="1">
      <alignment horizontal="center"/>
    </xf>
    <xf numFmtId="16" fontId="11" fillId="0" borderId="0" xfId="0" applyNumberFormat="1" applyFont="1"/>
    <xf numFmtId="17" fontId="11" fillId="0" borderId="0" xfId="0" applyNumberFormat="1" applyFont="1" applyAlignment="1">
      <alignment horizontal="left"/>
    </xf>
    <xf numFmtId="2" fontId="0" fillId="0" borderId="0" xfId="0" applyNumberFormat="1" applyAlignment="1">
      <alignment horizontal="center"/>
    </xf>
    <xf numFmtId="169" fontId="11" fillId="0" borderId="0" xfId="0" applyNumberFormat="1" applyFont="1"/>
    <xf numFmtId="0" fontId="0" fillId="0" borderId="17" xfId="0" applyBorder="1"/>
    <xf numFmtId="2" fontId="0" fillId="0" borderId="17" xfId="0" applyNumberFormat="1" applyBorder="1" applyAlignment="1">
      <alignment horizontal="center"/>
    </xf>
    <xf numFmtId="166" fontId="2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166" fontId="2" fillId="0" borderId="17" xfId="0" applyNumberFormat="1" applyFont="1" applyFill="1" applyBorder="1" applyAlignment="1">
      <alignment horizontal="center"/>
    </xf>
    <xf numFmtId="17" fontId="11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0" fontId="35" fillId="0" borderId="0" xfId="0" applyFont="1"/>
    <xf numFmtId="9" fontId="0" fillId="0" borderId="0" xfId="0" applyNumberFormat="1" applyAlignment="1">
      <alignment horizontal="center"/>
    </xf>
    <xf numFmtId="0" fontId="35" fillId="0" borderId="0" xfId="0" applyFont="1" applyAlignment="1">
      <alignment horizontal="center"/>
    </xf>
    <xf numFmtId="2" fontId="13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" fontId="0" fillId="0" borderId="0" xfId="0" applyNumberFormat="1" applyFill="1"/>
    <xf numFmtId="0" fontId="0" fillId="0" borderId="0" xfId="0" applyBorder="1" applyAlignment="1">
      <alignment textRotation="48"/>
    </xf>
    <xf numFmtId="165" fontId="12" fillId="0" borderId="0" xfId="0" applyNumberFormat="1" applyFont="1" applyFill="1" applyAlignment="1">
      <alignment horizontal="right"/>
    </xf>
    <xf numFmtId="165" fontId="0" fillId="0" borderId="0" xfId="0" applyNumberFormat="1"/>
    <xf numFmtId="0" fontId="0" fillId="0" borderId="0" xfId="0" applyAlignment="1">
      <alignment horizontal="right"/>
    </xf>
    <xf numFmtId="0" fontId="0" fillId="5" borderId="0" xfId="0" applyFill="1"/>
    <xf numFmtId="0" fontId="18" fillId="0" borderId="0" xfId="0" applyFont="1" applyFill="1" applyAlignment="1">
      <alignment horizontal="centerContinuous"/>
    </xf>
    <xf numFmtId="10" fontId="0" fillId="0" borderId="2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21" xfId="0" applyNumberFormat="1" applyFill="1" applyBorder="1" applyAlignment="1">
      <alignment horizontal="center"/>
    </xf>
    <xf numFmtId="10" fontId="0" fillId="0" borderId="22" xfId="0" applyNumberFormat="1" applyFill="1" applyBorder="1" applyAlignment="1">
      <alignment horizontal="center"/>
    </xf>
    <xf numFmtId="167" fontId="0" fillId="0" borderId="23" xfId="0" applyNumberFormat="1" applyFill="1" applyBorder="1" applyAlignment="1">
      <alignment horizontal="center"/>
    </xf>
    <xf numFmtId="166" fontId="0" fillId="0" borderId="23" xfId="0" applyNumberFormat="1" applyFill="1" applyBorder="1" applyAlignment="1">
      <alignment horizontal="center"/>
    </xf>
    <xf numFmtId="166" fontId="0" fillId="0" borderId="24" xfId="0" applyNumberFormat="1" applyFill="1" applyBorder="1" applyAlignment="1">
      <alignment horizontal="center"/>
    </xf>
    <xf numFmtId="167" fontId="0" fillId="2" borderId="0" xfId="0" applyNumberFormat="1" applyFill="1" applyBorder="1" applyAlignment="1">
      <alignment horizontal="center"/>
    </xf>
    <xf numFmtId="167" fontId="0" fillId="2" borderId="23" xfId="0" applyNumberFormat="1" applyFill="1" applyBorder="1" applyAlignment="1">
      <alignment horizontal="center"/>
    </xf>
    <xf numFmtId="0" fontId="3" fillId="0" borderId="2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167" fontId="12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19" fillId="0" borderId="0" xfId="0" applyFont="1" applyBorder="1"/>
    <xf numFmtId="174" fontId="33" fillId="0" borderId="0" xfId="0" applyNumberFormat="1" applyFont="1" applyBorder="1" applyAlignment="1">
      <alignment horizontal="centerContinuous"/>
    </xf>
    <xf numFmtId="0" fontId="0" fillId="0" borderId="0" xfId="0" applyFill="1" applyBorder="1"/>
    <xf numFmtId="0" fontId="3" fillId="0" borderId="25" xfId="0" applyFont="1" applyBorder="1" applyAlignment="1">
      <alignment wrapText="1"/>
    </xf>
    <xf numFmtId="166" fontId="0" fillId="0" borderId="20" xfId="0" applyNumberFormat="1" applyFill="1" applyBorder="1" applyAlignment="1">
      <alignment horizontal="center"/>
    </xf>
    <xf numFmtId="166" fontId="0" fillId="0" borderId="22" xfId="0" applyNumberForma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Continuous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</cellXfs>
  <cellStyles count="13">
    <cellStyle name="Comma" xfId="1" builtinId="3"/>
    <cellStyle name="Currency" xfId="2" builtinId="4"/>
    <cellStyle name="Grey" xfId="3"/>
    <cellStyle name="Header1" xfId="4"/>
    <cellStyle name="Header2" xfId="5"/>
    <cellStyle name="Input [yellow]" xfId="6"/>
    <cellStyle name="NewFill" xfId="7"/>
    <cellStyle name="Normal" xfId="0" builtinId="0"/>
    <cellStyle name="Normal - Style1" xfId="8"/>
    <cellStyle name="Normal_m1" xfId="9"/>
    <cellStyle name="Normal_m1_1" xfId="10"/>
    <cellStyle name="Percent" xfId="11" builtinId="5"/>
    <cellStyle name="Percent [2]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</xdr:row>
          <xdr:rowOff>9525</xdr:rowOff>
        </xdr:from>
        <xdr:to>
          <xdr:col>6</xdr:col>
          <xdr:colOff>57150</xdr:colOff>
          <xdr:row>3</xdr:row>
          <xdr:rowOff>133350</xdr:rowOff>
        </xdr:to>
        <xdr:sp macro="" textlink="">
          <xdr:nvSpPr>
            <xdr:cNvPr id="1118" name="Button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Get Mids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</xdr:row>
      <xdr:rowOff>85725</xdr:rowOff>
    </xdr:from>
    <xdr:to>
      <xdr:col>3</xdr:col>
      <xdr:colOff>76200</xdr:colOff>
      <xdr:row>2</xdr:row>
      <xdr:rowOff>19050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 flipH="1">
          <a:off x="2638425" y="285750"/>
          <a:ext cx="895350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cal-fs1\secure\Operations\Lavorato\Op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cal-fs1\secure\Operations\NOVA\N-UPDATE\1995-96\NUPD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KHOLST/INTRA/Prompt/Deals_Jul2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1998-99/1999/July00/TERM_072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"/>
      <sheetName val="Oct7"/>
      <sheetName val="Oct8"/>
      <sheetName val="OCT14"/>
      <sheetName val="Jul 1"/>
      <sheetName val="Jul 3"/>
      <sheetName val="Jul 9"/>
      <sheetName val="Apr21"/>
      <sheetName val="Apr22"/>
      <sheetName val="Apr 23"/>
      <sheetName val="April 1"/>
      <sheetName val="April2"/>
      <sheetName val="Apr9"/>
      <sheetName val="Feb 5"/>
      <sheetName val="Jan 1"/>
      <sheetName val="Dec 31"/>
      <sheetName val="Xmas Eve"/>
      <sheetName val="Merry Xmas John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stg.cht"/>
      <sheetName val="Sheet1"/>
      <sheetName val="Stg info"/>
      <sheetName val="stg comparison"/>
      <sheetName val="N-update"/>
      <sheetName val="data"/>
      <sheetName val="Plant outages"/>
      <sheetName val="Border Outages"/>
      <sheetName val="TCPLOu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ls"/>
    </sheetNames>
    <sheetDataSet>
      <sheetData sheetId="0">
        <row r="4">
          <cell r="I4">
            <v>36008</v>
          </cell>
        </row>
        <row r="5">
          <cell r="I5">
            <v>36039</v>
          </cell>
        </row>
        <row r="6">
          <cell r="G6">
            <v>35977</v>
          </cell>
          <cell r="I6">
            <v>36069</v>
          </cell>
        </row>
        <row r="7">
          <cell r="I7">
            <v>36100</v>
          </cell>
        </row>
        <row r="8">
          <cell r="I8">
            <v>36130</v>
          </cell>
        </row>
        <row r="9">
          <cell r="I9">
            <v>36161</v>
          </cell>
        </row>
        <row r="10">
          <cell r="I10">
            <v>36192</v>
          </cell>
        </row>
        <row r="11">
          <cell r="I11">
            <v>36220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Pos"/>
      <sheetName val="SmallPOS"/>
      <sheetName val="Compare"/>
      <sheetName val="POS YESTERDAY"/>
      <sheetName val="POS"/>
      <sheetName val="POS CHANGE"/>
      <sheetName val="Index-Tolls Positions"/>
      <sheetName val="WOJO"/>
      <sheetName val="Spreads"/>
      <sheetName val="Swaps"/>
      <sheetName val="EOL Hedges"/>
      <sheetName val="p0"/>
      <sheetName val="p1"/>
      <sheetName val="p_chgs"/>
      <sheetName val="pl_book"/>
      <sheetName val="pl"/>
      <sheetName val="m0"/>
      <sheetName val="m1"/>
      <sheetName val="m_chg"/>
      <sheetName val="Input"/>
      <sheetName val="basis_upload"/>
      <sheetName val="index_upload"/>
      <sheetName val="tolls_upload"/>
      <sheetName val="Curve"/>
      <sheetName val="Codes"/>
      <sheetName val="prn"/>
      <sheetName val="PrnDat"/>
      <sheetName val="opts"/>
      <sheetName val="optDat"/>
      <sheetName val="index"/>
      <sheetName val="Tables"/>
      <sheetName val="Pivot"/>
      <sheetName val="sb Houston"/>
      <sheetName val="Houston "/>
      <sheetName val="Summary"/>
      <sheetName val="EOL"/>
      <sheetName val="EOLdat"/>
      <sheetName val="EolIndex"/>
      <sheetName val="EolIndexDat"/>
      <sheetName val="OP Options"/>
      <sheetName val="OpOptDat"/>
      <sheetName val="Prop Swaps"/>
      <sheetName val="PropSwpDat"/>
      <sheetName val="Prop Opts"/>
      <sheetName val="PropOpDat"/>
      <sheetName val="OP Swaps"/>
      <sheetName val="OpSwapDat"/>
      <sheetName val="EOL Opts"/>
      <sheetName val="EOLOptDat"/>
      <sheetName val="Basis Macro"/>
      <sheetName val="Index Macro"/>
      <sheetName val="Curve Load Macro"/>
      <sheetName val="Setup Macro"/>
      <sheetName val="PrintSwaps 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/>
      <sheetData sheetId="19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/>
      <sheetData sheetId="39" refreshError="1"/>
      <sheetData sheetId="40"/>
      <sheetData sheetId="41" refreshError="1"/>
      <sheetData sheetId="42"/>
      <sheetData sheetId="43"/>
      <sheetData sheetId="44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 refreshError="1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G383"/>
  <sheetViews>
    <sheetView workbookViewId="0">
      <pane xSplit="1" topLeftCell="I1" activePane="topRight" state="frozen"/>
      <selection pane="topRight" sqref="A1:IV65536"/>
    </sheetView>
  </sheetViews>
  <sheetFormatPr defaultRowHeight="12.75" x14ac:dyDescent="0.2"/>
  <cols>
    <col min="1" max="1" width="10.140625" style="78" customWidth="1"/>
    <col min="2" max="2" width="8.28515625" style="78" customWidth="1"/>
    <col min="3" max="3" width="10.28515625" style="78" customWidth="1"/>
    <col min="4" max="4" width="9" style="78" customWidth="1"/>
    <col min="5" max="5" width="8.28515625" style="78" customWidth="1"/>
    <col min="6" max="6" width="5.7109375" style="78" customWidth="1"/>
    <col min="7" max="7" width="7.42578125" style="78" customWidth="1"/>
    <col min="8" max="8" width="7.28515625" style="78" customWidth="1"/>
    <col min="9" max="9" width="6.85546875" style="78" customWidth="1"/>
    <col min="10" max="11" width="8.140625" style="78" customWidth="1"/>
    <col min="12" max="12" width="7.28515625" style="78" customWidth="1"/>
    <col min="13" max="13" width="7.42578125" style="78" customWidth="1"/>
    <col min="14" max="14" width="6" style="78" customWidth="1"/>
    <col min="15" max="15" width="6.85546875" style="78" customWidth="1"/>
    <col min="16" max="16" width="9" style="78" customWidth="1"/>
    <col min="17" max="17" width="7.42578125" style="78" customWidth="1"/>
    <col min="18" max="18" width="12.42578125" style="64" customWidth="1"/>
    <col min="19" max="19" width="8.5703125" style="78" customWidth="1"/>
    <col min="20" max="20" width="9.140625" style="78"/>
    <col min="21" max="21" width="9.42578125" style="78" customWidth="1"/>
    <col min="22" max="22" width="9.7109375" style="78" customWidth="1"/>
    <col min="23" max="23" width="8.85546875" style="78" customWidth="1"/>
    <col min="24" max="24" width="7.140625" style="78" customWidth="1"/>
    <col min="25" max="26" width="9.140625" style="78"/>
    <col min="27" max="27" width="10" style="349" customWidth="1"/>
    <col min="28" max="28" width="10" style="78" customWidth="1"/>
    <col min="29" max="32" width="9.140625" style="78"/>
    <col min="33" max="33" width="7.85546875" style="350" customWidth="1"/>
    <col min="34" max="34" width="10.5703125" style="78" customWidth="1"/>
    <col min="35" max="35" width="12.140625" style="78" customWidth="1"/>
    <col min="36" max="36" width="10.5703125" style="78" customWidth="1"/>
    <col min="37" max="37" width="12.5703125" style="78" customWidth="1"/>
    <col min="38" max="38" width="6.28515625" style="78" customWidth="1"/>
    <col min="39" max="39" width="10.7109375" style="78" customWidth="1"/>
    <col min="40" max="44" width="9.140625" style="78"/>
    <col min="45" max="45" width="4.7109375" style="78" customWidth="1"/>
    <col min="46" max="46" width="9.140625" style="351"/>
    <col min="47" max="47" width="4.5703125" style="78" customWidth="1"/>
    <col min="48" max="48" width="9.140625" style="78"/>
    <col min="49" max="50" width="4.7109375" style="78" customWidth="1"/>
    <col min="51" max="51" width="9.140625" style="78"/>
    <col min="52" max="54" width="10" style="352" customWidth="1"/>
    <col min="55" max="16384" width="9.140625" style="78"/>
  </cols>
  <sheetData>
    <row r="1" spans="1:85" ht="13.5" thickBot="1" x14ac:dyDescent="0.25">
      <c r="A1" s="56">
        <v>37069</v>
      </c>
      <c r="B1" s="57" t="s">
        <v>175</v>
      </c>
      <c r="C1" s="58"/>
      <c r="D1" s="59"/>
      <c r="E1" s="60"/>
      <c r="F1" s="61"/>
      <c r="G1" s="59"/>
      <c r="H1" s="59"/>
      <c r="I1" s="62"/>
      <c r="J1" s="63" t="s">
        <v>176</v>
      </c>
      <c r="K1" s="59"/>
      <c r="L1" s="59"/>
      <c r="M1" s="61"/>
      <c r="N1" s="60"/>
      <c r="O1" s="62"/>
      <c r="P1" s="60"/>
      <c r="Q1" s="62"/>
      <c r="S1" s="65" t="s">
        <v>177</v>
      </c>
      <c r="T1" s="66">
        <v>7.15</v>
      </c>
      <c r="U1" s="61"/>
      <c r="V1" s="59"/>
      <c r="W1" s="60"/>
      <c r="X1" s="67"/>
      <c r="Y1" s="59"/>
      <c r="Z1" s="62"/>
      <c r="AA1" s="68"/>
      <c r="AB1" s="62"/>
      <c r="AC1" s="60"/>
      <c r="AD1" s="61"/>
      <c r="AE1" s="61">
        <v>1.4450000000000001</v>
      </c>
      <c r="AF1" s="59">
        <v>1.37</v>
      </c>
      <c r="AG1" s="69"/>
      <c r="AH1" s="70"/>
      <c r="AI1" s="71">
        <v>3.180000000000005E-2</v>
      </c>
      <c r="AJ1" s="59"/>
      <c r="AK1" s="59"/>
      <c r="AL1" s="59"/>
      <c r="AM1" s="72"/>
      <c r="AN1" s="72"/>
      <c r="AO1" s="72"/>
      <c r="AP1" s="72"/>
      <c r="AQ1" s="72"/>
      <c r="AR1" s="72"/>
      <c r="AS1" s="72"/>
      <c r="AT1" s="72"/>
      <c r="AU1" s="72"/>
      <c r="AV1" s="73" t="s">
        <v>319</v>
      </c>
      <c r="AW1" s="74" t="s">
        <v>178</v>
      </c>
      <c r="AX1" s="74"/>
      <c r="AY1" s="74"/>
      <c r="AZ1" s="75"/>
      <c r="BA1" s="75"/>
      <c r="BB1" s="75"/>
      <c r="BC1" s="72"/>
      <c r="BD1" s="72"/>
      <c r="BE1" s="72"/>
      <c r="BF1" s="72"/>
      <c r="BG1" s="72"/>
      <c r="BH1" s="72"/>
      <c r="BI1" s="72"/>
      <c r="BJ1" s="72"/>
      <c r="BK1" s="72"/>
      <c r="BL1" s="76"/>
      <c r="BM1" s="77"/>
      <c r="BN1" s="77"/>
      <c r="BO1" s="77"/>
      <c r="BP1" s="77"/>
      <c r="BQ1" s="77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</row>
    <row r="2" spans="1:85" x14ac:dyDescent="0.2">
      <c r="A2" s="79"/>
      <c r="B2" s="79"/>
      <c r="C2" s="80"/>
      <c r="D2" s="59"/>
      <c r="E2" s="60"/>
      <c r="F2" s="61"/>
      <c r="G2" s="59"/>
      <c r="H2" s="59"/>
      <c r="I2" s="62"/>
      <c r="J2" s="81" t="s">
        <v>179</v>
      </c>
      <c r="K2" s="59"/>
      <c r="L2" s="59"/>
      <c r="M2" s="61"/>
      <c r="N2" s="59"/>
      <c r="O2" s="82"/>
      <c r="P2" s="83" t="s">
        <v>180</v>
      </c>
      <c r="Q2" s="84">
        <v>0.46449999999999997</v>
      </c>
      <c r="S2" s="59"/>
      <c r="T2" s="85" t="s">
        <v>181</v>
      </c>
      <c r="U2" s="61"/>
      <c r="V2" s="59">
        <v>-2.5000000000000001E-3</v>
      </c>
      <c r="W2" s="60"/>
      <c r="X2" s="67"/>
      <c r="Y2" s="59">
        <v>2.9787499999999998</v>
      </c>
      <c r="Z2" s="62">
        <v>2.9837500000000001</v>
      </c>
      <c r="AA2" s="86"/>
      <c r="AB2" s="62">
        <v>1.4999999999999999E-2</v>
      </c>
      <c r="AC2" s="60"/>
      <c r="AD2" s="87"/>
      <c r="AE2" s="61">
        <v>4.5250000000000004</v>
      </c>
      <c r="AF2" s="59">
        <v>4.5549999999999997</v>
      </c>
      <c r="AG2" s="69"/>
      <c r="AH2" s="88"/>
      <c r="AI2" s="71">
        <v>1.9000000000000128E-2</v>
      </c>
      <c r="AJ2" s="59"/>
      <c r="AK2" s="59"/>
      <c r="AL2" s="89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5"/>
      <c r="BA2" s="75"/>
      <c r="BB2" s="75"/>
      <c r="BC2" s="72"/>
      <c r="BD2" s="72"/>
      <c r="BE2" s="72"/>
      <c r="BF2" s="72"/>
      <c r="BG2" s="72"/>
      <c r="BH2" s="72"/>
      <c r="BI2" s="72"/>
      <c r="BJ2" s="72"/>
      <c r="BK2" s="72"/>
      <c r="BL2" s="77"/>
      <c r="BM2" s="90"/>
      <c r="BN2" s="91"/>
      <c r="BO2" s="91"/>
      <c r="BP2" s="91"/>
      <c r="BQ2" s="91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</row>
    <row r="3" spans="1:85" ht="12.75" customHeight="1" x14ac:dyDescent="0.2">
      <c r="A3" s="79"/>
      <c r="B3" s="79"/>
      <c r="C3" s="79"/>
      <c r="D3" s="59"/>
      <c r="E3" s="59"/>
      <c r="F3" s="62"/>
      <c r="G3" s="59"/>
      <c r="H3" s="92"/>
      <c r="I3" s="62"/>
      <c r="J3" s="93" t="s">
        <v>182</v>
      </c>
      <c r="K3" s="59"/>
      <c r="L3" s="59"/>
      <c r="M3" s="94"/>
      <c r="N3" s="59"/>
      <c r="O3" s="72"/>
      <c r="P3" s="95" t="s">
        <v>183</v>
      </c>
      <c r="Q3" s="96">
        <v>0.37928571428571428</v>
      </c>
      <c r="S3" s="92" t="s">
        <v>184</v>
      </c>
      <c r="T3" s="97">
        <v>-0.52749999999999997</v>
      </c>
      <c r="U3" s="98">
        <v>37012</v>
      </c>
      <c r="V3" s="59" t="s">
        <v>185</v>
      </c>
      <c r="W3" s="60"/>
      <c r="X3" s="67"/>
      <c r="Y3" s="99"/>
      <c r="Z3" s="62"/>
      <c r="AA3" s="100"/>
      <c r="AB3" s="61">
        <v>-2.3525906128550256E-2</v>
      </c>
      <c r="AC3" s="60"/>
      <c r="AD3" s="61"/>
      <c r="AE3" s="62">
        <v>5.0250000000000004</v>
      </c>
      <c r="AF3" s="59">
        <v>5.0549999999999997</v>
      </c>
      <c r="AG3" s="69"/>
      <c r="AH3" s="101"/>
      <c r="AI3" s="71">
        <v>1.2299999999999756E-2</v>
      </c>
      <c r="AJ3"/>
      <c r="AK3">
        <v>-13946.346508791621</v>
      </c>
      <c r="AL3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5"/>
      <c r="BA3" s="102"/>
      <c r="BB3" s="102"/>
      <c r="BC3" s="72"/>
      <c r="BD3" s="72"/>
      <c r="BE3" s="72"/>
      <c r="BF3" s="72"/>
      <c r="BG3" s="72"/>
      <c r="BH3" s="72"/>
      <c r="BI3" s="72"/>
      <c r="BJ3" s="72"/>
      <c r="BK3" s="72"/>
      <c r="BL3" s="77"/>
      <c r="BM3" s="90"/>
      <c r="BN3" s="91"/>
      <c r="BO3" s="91"/>
      <c r="BP3" s="91"/>
      <c r="BQ3" s="91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</row>
    <row r="4" spans="1:85" x14ac:dyDescent="0.2">
      <c r="A4" s="103" t="s">
        <v>186</v>
      </c>
      <c r="B4" s="104"/>
      <c r="C4" s="105" t="s">
        <v>187</v>
      </c>
      <c r="D4" s="106"/>
      <c r="E4" s="106"/>
      <c r="F4" s="104"/>
      <c r="G4" s="106"/>
      <c r="H4" s="106"/>
      <c r="I4" s="104"/>
      <c r="J4" s="106"/>
      <c r="K4" s="106"/>
      <c r="L4" s="106"/>
      <c r="M4" s="104"/>
      <c r="N4" s="106"/>
      <c r="O4" s="72"/>
      <c r="P4"/>
      <c r="Q4" s="107"/>
      <c r="S4" s="92" t="s">
        <v>188</v>
      </c>
      <c r="T4" s="108">
        <v>0</v>
      </c>
      <c r="U4" s="104"/>
      <c r="V4" s="106"/>
      <c r="W4" s="106"/>
      <c r="X4" s="67"/>
      <c r="Y4" s="106">
        <v>150</v>
      </c>
      <c r="Z4" s="104"/>
      <c r="AA4" s="109"/>
      <c r="AB4" s="104"/>
      <c r="AC4" s="106"/>
      <c r="AD4" s="104"/>
      <c r="AE4" s="104">
        <v>1.3049999999999999</v>
      </c>
      <c r="AF4" s="106">
        <v>1.32</v>
      </c>
      <c r="AG4" s="69"/>
      <c r="AH4" s="106"/>
      <c r="AI4" s="104"/>
      <c r="AJ4" s="106"/>
      <c r="AK4" s="106"/>
      <c r="AL4" s="106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>
        <v>0.25</v>
      </c>
      <c r="AZ4" s="75"/>
      <c r="BA4" s="102"/>
      <c r="BB4" s="102"/>
      <c r="BC4" s="72"/>
      <c r="BD4" s="72"/>
      <c r="BE4" s="72"/>
      <c r="BF4" s="72"/>
      <c r="BG4" s="72"/>
      <c r="BH4" s="72"/>
      <c r="BI4" s="72"/>
      <c r="BJ4" s="72"/>
      <c r="BK4" s="72"/>
      <c r="BL4" s="77"/>
      <c r="BM4" s="90"/>
      <c r="BN4" s="91"/>
      <c r="BO4" s="91"/>
      <c r="BP4" s="91"/>
      <c r="BQ4" s="91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</row>
    <row r="5" spans="1:85" x14ac:dyDescent="0.2">
      <c r="A5" s="103" t="s">
        <v>189</v>
      </c>
      <c r="B5" s="61"/>
      <c r="C5" s="110">
        <v>0.20979999999999999</v>
      </c>
      <c r="D5" s="111"/>
      <c r="E5" s="60"/>
      <c r="F5" s="61"/>
      <c r="G5" s="111"/>
      <c r="H5" s="59"/>
      <c r="I5" s="112" t="s">
        <v>190</v>
      </c>
      <c r="J5" s="60"/>
      <c r="K5" s="111">
        <v>1.6E-2</v>
      </c>
      <c r="L5" s="113"/>
      <c r="M5" s="114" t="s">
        <v>191</v>
      </c>
      <c r="N5" s="115"/>
      <c r="O5" s="116">
        <v>0.4345</v>
      </c>
      <c r="P5" s="117" t="s">
        <v>192</v>
      </c>
      <c r="Q5" s="118">
        <v>-1.4999999999999999E-2</v>
      </c>
      <c r="S5" s="119" t="s">
        <v>193</v>
      </c>
      <c r="T5" s="120">
        <v>0.83800000000000008</v>
      </c>
      <c r="U5" s="61"/>
      <c r="V5" s="113" t="s">
        <v>194</v>
      </c>
      <c r="W5" s="60"/>
      <c r="X5" s="67">
        <v>38442</v>
      </c>
      <c r="Y5" s="121">
        <v>38292</v>
      </c>
      <c r="Z5" s="62"/>
      <c r="AA5" s="122">
        <v>3.27</v>
      </c>
      <c r="AB5" s="123" t="s">
        <v>194</v>
      </c>
      <c r="AC5" s="124" t="s">
        <v>195</v>
      </c>
      <c r="AD5" s="67">
        <v>2.4449999999999998</v>
      </c>
      <c r="AE5" s="62">
        <v>0.2</v>
      </c>
      <c r="AF5" s="59">
        <v>0.2</v>
      </c>
      <c r="AG5" s="69"/>
      <c r="AH5" s="70"/>
      <c r="AI5" s="62"/>
      <c r="AJ5" s="59"/>
      <c r="AK5" s="59"/>
      <c r="AL5" s="89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5"/>
      <c r="BA5" s="75"/>
      <c r="BB5" s="75"/>
      <c r="BC5" s="72"/>
      <c r="BD5" s="72"/>
      <c r="BE5" s="72"/>
      <c r="BF5" s="72"/>
      <c r="BG5" s="72"/>
      <c r="BH5" s="125"/>
      <c r="BI5" s="72"/>
      <c r="BJ5" s="72"/>
      <c r="BK5" s="72"/>
      <c r="BL5" s="77"/>
      <c r="BM5" s="90"/>
      <c r="BN5" s="91"/>
      <c r="BO5" s="91"/>
      <c r="BP5" s="91"/>
      <c r="BQ5" s="91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</row>
    <row r="6" spans="1:85" x14ac:dyDescent="0.2">
      <c r="A6" s="62"/>
      <c r="B6" s="126"/>
      <c r="C6" s="127">
        <v>0.01</v>
      </c>
      <c r="D6"/>
      <c r="E6"/>
      <c r="F6" s="128"/>
      <c r="G6" s="92"/>
      <c r="H6" s="92"/>
      <c r="I6" s="119"/>
      <c r="J6" s="129"/>
      <c r="K6" s="92"/>
      <c r="L6" s="92"/>
      <c r="M6" s="119"/>
      <c r="N6" s="92"/>
      <c r="O6" s="119">
        <v>0.27800000000000002</v>
      </c>
      <c r="P6" s="130" t="s">
        <v>196</v>
      </c>
      <c r="Q6" s="131">
        <v>-7.4999999999999997E-3</v>
      </c>
      <c r="S6" s="92" t="s">
        <v>197</v>
      </c>
      <c r="T6" s="132">
        <v>0.54</v>
      </c>
      <c r="U6" s="61"/>
      <c r="V6" s="59"/>
      <c r="W6" s="60"/>
      <c r="X6" s="67"/>
      <c r="Y6" s="92"/>
      <c r="Z6" s="119"/>
      <c r="AA6" s="100"/>
      <c r="AB6" s="133">
        <v>-0.36021669227454278</v>
      </c>
      <c r="AC6" s="121"/>
      <c r="AD6" s="67"/>
      <c r="AE6" s="62"/>
      <c r="AF6" s="59"/>
      <c r="AG6" s="69"/>
      <c r="AH6" s="59" t="s">
        <v>281</v>
      </c>
      <c r="AI6" s="62"/>
      <c r="AJ6" s="59"/>
      <c r="AK6" s="59"/>
      <c r="AL6" s="89"/>
      <c r="AM6" s="72"/>
      <c r="AN6" s="72"/>
      <c r="AO6" s="72"/>
      <c r="AP6" s="72"/>
      <c r="AQ6" s="72"/>
      <c r="AR6" s="72"/>
      <c r="AS6" s="72"/>
      <c r="AT6" s="72"/>
      <c r="AU6" s="72"/>
      <c r="AV6" s="134" t="s">
        <v>198</v>
      </c>
      <c r="AW6" s="72"/>
      <c r="AX6" s="72"/>
      <c r="AY6" s="72"/>
      <c r="AZ6" s="75"/>
      <c r="BA6" s="135"/>
      <c r="BB6" s="135"/>
      <c r="BC6" s="72"/>
      <c r="BD6" s="72"/>
      <c r="BE6" s="72"/>
      <c r="BF6" s="72"/>
      <c r="BG6" s="72"/>
      <c r="BH6" s="72"/>
      <c r="BI6" s="72"/>
      <c r="BJ6" s="72"/>
      <c r="BK6" s="72"/>
      <c r="BL6" s="77"/>
      <c r="BM6" s="90"/>
      <c r="BN6" s="91"/>
      <c r="BO6" s="91"/>
      <c r="BP6" s="91"/>
      <c r="BQ6" s="91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</row>
    <row r="7" spans="1:85" x14ac:dyDescent="0.2">
      <c r="A7" s="62" t="s">
        <v>199</v>
      </c>
      <c r="B7" s="123" t="s">
        <v>200</v>
      </c>
      <c r="C7" s="123" t="s">
        <v>201</v>
      </c>
      <c r="D7" s="113" t="s">
        <v>202</v>
      </c>
      <c r="E7" s="113" t="s">
        <v>203</v>
      </c>
      <c r="F7" s="123" t="s">
        <v>204</v>
      </c>
      <c r="G7" s="113" t="s">
        <v>205</v>
      </c>
      <c r="H7" s="113" t="s">
        <v>206</v>
      </c>
      <c r="I7" s="123" t="s">
        <v>207</v>
      </c>
      <c r="J7" s="113" t="s">
        <v>208</v>
      </c>
      <c r="K7" s="113" t="s">
        <v>209</v>
      </c>
      <c r="L7" s="113" t="s">
        <v>210</v>
      </c>
      <c r="M7" s="123" t="s">
        <v>211</v>
      </c>
      <c r="N7" s="113" t="s">
        <v>212</v>
      </c>
      <c r="O7" s="123" t="s">
        <v>213</v>
      </c>
      <c r="P7" s="113" t="s">
        <v>214</v>
      </c>
      <c r="Q7" s="123" t="s">
        <v>215</v>
      </c>
      <c r="R7" s="136" t="s">
        <v>216</v>
      </c>
      <c r="S7" s="137" t="s">
        <v>217</v>
      </c>
      <c r="T7" s="113" t="s">
        <v>218</v>
      </c>
      <c r="U7" s="123" t="s">
        <v>219</v>
      </c>
      <c r="V7" s="113" t="s">
        <v>220</v>
      </c>
      <c r="W7" s="113" t="s">
        <v>221</v>
      </c>
      <c r="X7" s="123" t="s">
        <v>222</v>
      </c>
      <c r="Y7" s="67"/>
      <c r="Z7" s="123" t="s">
        <v>223</v>
      </c>
      <c r="AA7" s="138" t="s">
        <v>224</v>
      </c>
      <c r="AB7" s="123" t="s">
        <v>225</v>
      </c>
      <c r="AC7" s="113" t="s">
        <v>226</v>
      </c>
      <c r="AD7" s="123" t="s">
        <v>227</v>
      </c>
      <c r="AE7" s="123" t="s">
        <v>228</v>
      </c>
      <c r="AF7" s="113" t="s">
        <v>229</v>
      </c>
      <c r="AG7" s="123" t="s">
        <v>230</v>
      </c>
      <c r="AH7" s="139" t="s">
        <v>231</v>
      </c>
      <c r="AI7" s="123" t="s">
        <v>72</v>
      </c>
      <c r="AJ7" s="113" t="s">
        <v>232</v>
      </c>
      <c r="AK7" s="113" t="s">
        <v>233</v>
      </c>
      <c r="AL7" s="113" t="s">
        <v>234</v>
      </c>
      <c r="AM7" s="123" t="s">
        <v>235</v>
      </c>
      <c r="AN7" s="140" t="s">
        <v>236</v>
      </c>
      <c r="AO7" s="72" t="s">
        <v>237</v>
      </c>
      <c r="AP7" s="72"/>
      <c r="AQ7" s="72" t="s">
        <v>238</v>
      </c>
      <c r="AR7" s="72" t="s">
        <v>239</v>
      </c>
      <c r="AS7" s="72"/>
      <c r="AT7" s="72" t="s">
        <v>215</v>
      </c>
      <c r="AU7" s="72"/>
      <c r="AV7" s="134" t="s">
        <v>240</v>
      </c>
      <c r="AW7" s="72"/>
      <c r="AX7" s="141" t="s">
        <v>241</v>
      </c>
      <c r="AY7" s="141"/>
      <c r="AZ7" s="142" t="s">
        <v>242</v>
      </c>
      <c r="BA7" s="142" t="s">
        <v>243</v>
      </c>
      <c r="BB7" s="142" t="s">
        <v>244</v>
      </c>
      <c r="BC7" s="72"/>
      <c r="BD7" s="72"/>
      <c r="BE7" s="72"/>
      <c r="BF7" s="72"/>
      <c r="BG7" s="72"/>
      <c r="BH7" s="125"/>
      <c r="BI7" s="141"/>
      <c r="BJ7" s="72"/>
      <c r="BK7" s="72"/>
      <c r="BL7" s="77"/>
      <c r="BM7" s="90"/>
      <c r="BN7" s="91"/>
      <c r="BO7" s="91"/>
      <c r="BP7" s="91"/>
      <c r="BQ7" s="91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</row>
    <row r="8" spans="1:85" x14ac:dyDescent="0.2">
      <c r="A8" s="62">
        <v>1</v>
      </c>
      <c r="B8" s="61">
        <v>2</v>
      </c>
      <c r="C8" s="61">
        <v>3</v>
      </c>
      <c r="D8" s="60"/>
      <c r="E8" s="59"/>
      <c r="F8" s="62"/>
      <c r="G8" s="60"/>
      <c r="H8" s="60"/>
      <c r="I8" s="61"/>
      <c r="J8" s="60"/>
      <c r="K8" s="60"/>
      <c r="L8" s="59"/>
      <c r="M8" s="61"/>
      <c r="N8" s="60">
        <v>0.56666666666666676</v>
      </c>
      <c r="O8" s="61">
        <v>0.34</v>
      </c>
      <c r="P8" s="60">
        <v>-4.9999999999999933E-2</v>
      </c>
      <c r="Q8" s="123"/>
      <c r="R8" s="143" t="s">
        <v>245</v>
      </c>
      <c r="S8" s="144">
        <v>0.05</v>
      </c>
      <c r="T8" s="59"/>
      <c r="U8" s="94"/>
      <c r="V8" s="60"/>
      <c r="W8" s="60"/>
      <c r="X8" s="61"/>
      <c r="Y8" s="60"/>
      <c r="Z8" s="61">
        <v>0.11541666666666665</v>
      </c>
      <c r="AA8" s="100">
        <v>0.2</v>
      </c>
      <c r="AB8" s="145"/>
      <c r="AC8" s="59"/>
      <c r="AD8" s="62"/>
      <c r="AE8" s="62"/>
      <c r="AF8" s="59"/>
      <c r="AG8" s="62"/>
      <c r="AH8" s="146"/>
      <c r="AI8" s="61"/>
      <c r="AJ8" s="60"/>
      <c r="AK8" s="59"/>
      <c r="AL8" s="60"/>
      <c r="AM8" s="147"/>
      <c r="AN8" s="141"/>
      <c r="AO8" s="148" t="s">
        <v>246</v>
      </c>
      <c r="AP8" s="141"/>
      <c r="AQ8" s="141" t="s">
        <v>198</v>
      </c>
      <c r="AR8" s="141" t="s">
        <v>171</v>
      </c>
      <c r="AS8" s="141"/>
      <c r="AT8" s="141"/>
      <c r="AU8" s="141"/>
      <c r="AV8" s="141"/>
      <c r="AW8" s="141"/>
      <c r="AX8" s="141"/>
      <c r="AY8" s="141"/>
      <c r="AZ8" s="75"/>
      <c r="BA8" s="75"/>
      <c r="BB8" s="75"/>
      <c r="BC8" s="72"/>
      <c r="BD8" s="72"/>
      <c r="BE8" s="72"/>
      <c r="BF8" s="72"/>
      <c r="BG8" s="72"/>
      <c r="BH8" s="125"/>
      <c r="BI8" s="125"/>
      <c r="BJ8" s="141"/>
      <c r="BK8" s="72"/>
      <c r="BL8" s="125"/>
      <c r="BM8" s="77"/>
      <c r="BN8" s="90"/>
      <c r="BO8" s="91"/>
      <c r="BP8" s="91"/>
      <c r="BQ8" s="91"/>
      <c r="BR8" s="91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</row>
    <row r="9" spans="1:85" x14ac:dyDescent="0.2">
      <c r="A9" s="62"/>
      <c r="B9" s="62">
        <v>-2.75E-2</v>
      </c>
      <c r="C9" s="61">
        <v>0.01</v>
      </c>
      <c r="D9" s="111"/>
      <c r="E9" s="59"/>
      <c r="F9" s="62"/>
      <c r="G9" s="112"/>
      <c r="H9" s="112"/>
      <c r="I9" s="112"/>
      <c r="J9" s="61"/>
      <c r="K9" s="112"/>
      <c r="L9" s="111"/>
      <c r="M9" s="61"/>
      <c r="N9" s="61"/>
      <c r="O9" s="62">
        <v>0.73599999999999999</v>
      </c>
      <c r="P9" s="149">
        <v>0.68600000000000005</v>
      </c>
      <c r="Q9" s="62"/>
      <c r="R9" s="150" t="s">
        <v>247</v>
      </c>
      <c r="S9" s="144">
        <v>0</v>
      </c>
      <c r="T9" s="59"/>
      <c r="U9" s="62"/>
      <c r="V9" s="59"/>
      <c r="W9" s="62"/>
      <c r="X9" s="62"/>
      <c r="Y9" s="116"/>
      <c r="Z9" s="61"/>
      <c r="AA9" s="100">
        <v>-5.0000000000000001E-3</v>
      </c>
      <c r="AB9" s="145">
        <v>3.1900399999999998</v>
      </c>
      <c r="AC9" s="62"/>
      <c r="AD9" s="62"/>
      <c r="AE9" s="62"/>
      <c r="AF9" s="62"/>
      <c r="AG9" s="62"/>
      <c r="AH9" s="69"/>
      <c r="AI9" s="62"/>
      <c r="AJ9" s="62"/>
      <c r="AK9" s="62"/>
      <c r="AL9" s="62"/>
      <c r="AM9" s="147"/>
      <c r="AN9" s="72"/>
      <c r="AO9" s="128"/>
      <c r="AP9" s="72"/>
      <c r="AQ9" s="141" t="s">
        <v>239</v>
      </c>
      <c r="AR9" s="141" t="s">
        <v>248</v>
      </c>
      <c r="AS9" s="72"/>
      <c r="AT9" s="72"/>
      <c r="AU9" s="72"/>
      <c r="AV9" s="72"/>
      <c r="AW9" s="72"/>
      <c r="AX9" s="72"/>
      <c r="AY9" s="72"/>
      <c r="AZ9" s="75"/>
      <c r="BA9" s="75"/>
      <c r="BB9" s="75"/>
      <c r="BC9" s="72"/>
      <c r="BD9" s="72"/>
      <c r="BE9" s="72"/>
      <c r="BF9" s="141"/>
      <c r="BG9" s="72"/>
      <c r="BH9" s="151"/>
      <c r="BI9" s="152"/>
      <c r="BJ9" s="141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</row>
    <row r="10" spans="1:85" hidden="1" x14ac:dyDescent="0.2">
      <c r="A10" s="153">
        <v>36220</v>
      </c>
      <c r="B10" s="154">
        <v>1.6659999999999999</v>
      </c>
      <c r="C10" s="155">
        <v>-0.10965045498908688</v>
      </c>
      <c r="D10" s="156">
        <v>-9.5785425634869359E-2</v>
      </c>
      <c r="E10" s="156">
        <v>-7.4987881603543416E-2</v>
      </c>
      <c r="F10" s="157">
        <v>0</v>
      </c>
      <c r="G10" s="158">
        <v>0.109</v>
      </c>
      <c r="H10" s="158">
        <v>0.109</v>
      </c>
      <c r="I10" s="159">
        <v>0.11900000000000001</v>
      </c>
      <c r="J10" s="158">
        <v>4.4000000000000004E-2</v>
      </c>
      <c r="K10" s="158">
        <v>6.4000000000000001E-2</v>
      </c>
      <c r="L10" s="158">
        <v>0.29400000000000004</v>
      </c>
      <c r="M10" s="160">
        <v>-0.156</v>
      </c>
      <c r="N10" s="158">
        <v>0</v>
      </c>
      <c r="O10" s="159">
        <v>-4.6000000000000006E-2</v>
      </c>
      <c r="P10" s="161">
        <v>-0.16599999999999993</v>
      </c>
      <c r="Q10" s="162">
        <v>0.15</v>
      </c>
      <c r="S10" s="163">
        <v>0.5</v>
      </c>
      <c r="T10" s="164"/>
      <c r="U10" s="165"/>
      <c r="V10" s="166">
        <v>1.556349545010913</v>
      </c>
      <c r="W10" s="166">
        <v>1.5702145743651306</v>
      </c>
      <c r="X10" s="167">
        <v>1.5910121183964565</v>
      </c>
      <c r="Y10" s="168">
        <v>2.8182428571428573</v>
      </c>
      <c r="Z10" s="169">
        <v>0.02</v>
      </c>
      <c r="AA10" s="170">
        <v>0.05</v>
      </c>
      <c r="AB10" s="153">
        <v>2.2450000000000001</v>
      </c>
      <c r="AC10" s="171">
        <v>2.2650000000000001</v>
      </c>
      <c r="AD10" s="167">
        <v>2.2949999999999999</v>
      </c>
      <c r="AE10" s="172">
        <v>1.5</v>
      </c>
      <c r="AF10" s="173">
        <v>1.51</v>
      </c>
      <c r="AG10" s="174">
        <v>1.62</v>
      </c>
      <c r="AH10" s="175"/>
      <c r="AI10" s="176">
        <v>1.5082500000000003</v>
      </c>
      <c r="AJ10" s="177">
        <v>4.821125465018701E-2</v>
      </c>
      <c r="AK10" s="177">
        <v>5.3977282405923005E-2</v>
      </c>
      <c r="AL10" s="178">
        <v>1.1170983653538531</v>
      </c>
      <c r="AM10" s="179">
        <v>1.1317934210429108</v>
      </c>
      <c r="AN10" s="180">
        <v>0</v>
      </c>
      <c r="AO10" s="181">
        <v>0.12</v>
      </c>
      <c r="AP10" s="182"/>
      <c r="AQ10" s="180">
        <v>-1.6310384551632686</v>
      </c>
      <c r="AR10" s="183">
        <v>-1.5213880001741817</v>
      </c>
      <c r="AS10" s="72"/>
      <c r="AT10" s="72"/>
      <c r="AU10" s="72"/>
      <c r="AV10" s="184">
        <v>0</v>
      </c>
      <c r="AW10" s="72"/>
      <c r="AX10" s="90"/>
      <c r="AY10" s="90"/>
      <c r="AZ10" s="75"/>
      <c r="BA10" s="75"/>
      <c r="BB10" s="75"/>
      <c r="BC10" s="151"/>
      <c r="BD10" s="90"/>
      <c r="BE10" s="72"/>
      <c r="BF10" s="151"/>
      <c r="BG10" s="72"/>
      <c r="BH10" s="125"/>
      <c r="BI10" s="125"/>
      <c r="BJ10" s="72"/>
      <c r="BK10" s="125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</row>
    <row r="11" spans="1:85" hidden="1" x14ac:dyDescent="0.2">
      <c r="A11" s="185">
        <v>36251</v>
      </c>
      <c r="B11" s="186">
        <v>1.8520000000000001</v>
      </c>
      <c r="C11" s="187">
        <v>-0.27171384777961216</v>
      </c>
      <c r="D11" s="188">
        <v>-0.13186551572471061</v>
      </c>
      <c r="E11" s="188">
        <v>-0.41156217983451415</v>
      </c>
      <c r="F11" s="189">
        <v>0</v>
      </c>
      <c r="G11" s="190">
        <v>0.13300000000000001</v>
      </c>
      <c r="H11" s="190">
        <v>0.128</v>
      </c>
      <c r="I11" s="191">
        <v>0.128</v>
      </c>
      <c r="J11" s="190">
        <v>5.7999999999999996E-2</v>
      </c>
      <c r="K11" s="190">
        <v>0.13550000000000001</v>
      </c>
      <c r="L11" s="190">
        <v>0.29799999999999999</v>
      </c>
      <c r="M11" s="192">
        <v>-0.312</v>
      </c>
      <c r="N11" s="158">
        <v>0</v>
      </c>
      <c r="O11" s="191">
        <v>-0.20199999999999999</v>
      </c>
      <c r="P11" s="116">
        <v>-0.33200000000000029</v>
      </c>
      <c r="Q11" s="193">
        <v>0.13</v>
      </c>
      <c r="R11" s="64">
        <v>0</v>
      </c>
      <c r="S11" s="194">
        <v>0.45750000000000002</v>
      </c>
      <c r="T11" s="195"/>
      <c r="U11" s="196"/>
      <c r="V11" s="61">
        <v>1.5802861522203882</v>
      </c>
      <c r="W11" s="61">
        <v>1.7201344842752897</v>
      </c>
      <c r="X11" s="197">
        <v>1.4404378201654862</v>
      </c>
      <c r="Y11" s="123"/>
      <c r="Z11" s="198">
        <v>0.2</v>
      </c>
      <c r="AA11" s="199">
        <v>-0.2</v>
      </c>
      <c r="AB11" s="200">
        <v>2.2576999999999998</v>
      </c>
      <c r="AC11" s="145">
        <v>2.46</v>
      </c>
      <c r="AD11" s="197">
        <v>2.06</v>
      </c>
      <c r="AE11" s="201">
        <v>1.51</v>
      </c>
      <c r="AF11" s="133">
        <v>1.5420000000000003</v>
      </c>
      <c r="AG11" s="202">
        <v>1.6420000000000003</v>
      </c>
      <c r="AH11" s="69"/>
      <c r="AI11" s="200">
        <v>1.44665</v>
      </c>
      <c r="AJ11" s="203">
        <v>4.820808572015501E-2</v>
      </c>
      <c r="AK11" s="203">
        <v>5.1410255700000011E-2</v>
      </c>
      <c r="AL11" s="90">
        <v>1</v>
      </c>
      <c r="AM11" s="204">
        <v>1</v>
      </c>
      <c r="AN11" s="184">
        <v>0</v>
      </c>
      <c r="AO11" s="205">
        <v>0.124</v>
      </c>
      <c r="AP11" s="72"/>
      <c r="AQ11" s="184">
        <v>-1.9978009884906509</v>
      </c>
      <c r="AR11" s="206">
        <v>-1.7260871407110387</v>
      </c>
      <c r="AS11" s="72"/>
      <c r="AT11" s="72"/>
      <c r="AU11" s="72"/>
      <c r="AV11" s="184">
        <v>5.0000000000000001E-3</v>
      </c>
      <c r="AW11" s="107"/>
      <c r="AX11" s="67"/>
      <c r="AY11" s="90"/>
      <c r="AZ11" s="75"/>
      <c r="BA11" s="75"/>
      <c r="BB11" s="75"/>
      <c r="BC11" s="151"/>
      <c r="BD11" s="90"/>
      <c r="BE11" s="72"/>
      <c r="BF11" s="151"/>
      <c r="BG11" s="72"/>
      <c r="BH11" s="125"/>
      <c r="BI11" s="125"/>
      <c r="BJ11" s="72"/>
      <c r="BK11" s="151"/>
      <c r="BL11" s="72"/>
      <c r="BM11" s="72"/>
      <c r="BN11" s="90"/>
      <c r="BO11" s="90"/>
      <c r="BP11" s="125"/>
      <c r="BQ11" s="72"/>
      <c r="BR11" s="125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</row>
    <row r="12" spans="1:85" s="233" customFormat="1" hidden="1" x14ac:dyDescent="0.2">
      <c r="A12" s="207">
        <v>36281</v>
      </c>
      <c r="B12" s="186">
        <v>2.3480000000000003</v>
      </c>
      <c r="C12" s="208">
        <v>-0.45576916608520102</v>
      </c>
      <c r="D12" s="209">
        <v>-0.41930999780167899</v>
      </c>
      <c r="E12" s="209">
        <v>-0.5469170867940063</v>
      </c>
      <c r="F12" s="210">
        <v>0</v>
      </c>
      <c r="G12" s="211">
        <v>0.09</v>
      </c>
      <c r="H12" s="211">
        <v>0.115</v>
      </c>
      <c r="I12" s="212">
        <v>0.1</v>
      </c>
      <c r="J12" s="211">
        <v>3.2000000000000001E-2</v>
      </c>
      <c r="K12" s="211">
        <v>7.2000000000000008E-2</v>
      </c>
      <c r="L12" s="211">
        <v>0.21199999999999999</v>
      </c>
      <c r="M12" s="213">
        <v>-0.34800000000000003</v>
      </c>
      <c r="N12" s="158">
        <v>0</v>
      </c>
      <c r="O12" s="212">
        <v>-0.25800000000000001</v>
      </c>
      <c r="P12" s="214">
        <v>-0.39800000000000035</v>
      </c>
      <c r="Q12" s="215">
        <v>0.17</v>
      </c>
      <c r="R12" s="216">
        <v>0.01</v>
      </c>
      <c r="S12" s="194">
        <v>0.55567500000000003</v>
      </c>
      <c r="T12" s="217"/>
      <c r="U12" s="218">
        <v>0.59750000000000003</v>
      </c>
      <c r="V12" s="219">
        <v>1.8922308339147993</v>
      </c>
      <c r="W12" s="219">
        <v>1.9286900021983213</v>
      </c>
      <c r="X12" s="220">
        <v>1.801082913205994</v>
      </c>
      <c r="Y12" s="214"/>
      <c r="Z12" s="221">
        <v>0.05</v>
      </c>
      <c r="AA12" s="199">
        <v>-0.125</v>
      </c>
      <c r="AB12" s="200">
        <v>2.5950000000000002</v>
      </c>
      <c r="AC12" s="222">
        <v>2.645</v>
      </c>
      <c r="AD12" s="220">
        <v>2.4700000000000002</v>
      </c>
      <c r="AE12" s="201">
        <v>1.95</v>
      </c>
      <c r="AF12" s="223">
        <v>2</v>
      </c>
      <c r="AG12" s="224">
        <v>2.09</v>
      </c>
      <c r="AH12" s="69"/>
      <c r="AI12" s="207">
        <v>1.4742500000000001</v>
      </c>
      <c r="AJ12" s="219">
        <v>4.6997604201600006E-2</v>
      </c>
      <c r="AK12" s="219">
        <v>5.0578951468342015E-2</v>
      </c>
      <c r="AL12" s="225">
        <v>1.0044502850986414</v>
      </c>
      <c r="AM12" s="226">
        <v>1.0044502850986414</v>
      </c>
      <c r="AN12" s="227">
        <v>0</v>
      </c>
      <c r="AO12" s="205">
        <v>0.12</v>
      </c>
      <c r="AP12" s="228"/>
      <c r="AQ12" s="227">
        <v>-0.45576916608520102</v>
      </c>
      <c r="AR12" s="229">
        <v>0</v>
      </c>
      <c r="AS12" s="228"/>
      <c r="AT12" s="228"/>
      <c r="AU12" s="228"/>
      <c r="AV12" s="184">
        <v>0</v>
      </c>
      <c r="AW12" s="107"/>
      <c r="AX12" s="67"/>
      <c r="AY12" s="225"/>
      <c r="AZ12" s="230"/>
      <c r="BA12" s="230"/>
      <c r="BB12" s="230"/>
      <c r="BC12" s="231"/>
      <c r="BD12" s="225"/>
      <c r="BE12" s="228"/>
      <c r="BF12" s="231"/>
      <c r="BG12" s="228"/>
      <c r="BH12" s="232"/>
      <c r="BI12" s="232"/>
      <c r="BJ12" s="232"/>
      <c r="BK12" s="231"/>
      <c r="BL12" s="228"/>
      <c r="BM12" s="228"/>
      <c r="BN12" s="225"/>
      <c r="BO12" s="225"/>
      <c r="BP12" s="232"/>
      <c r="BQ12" s="228"/>
      <c r="BR12" s="232"/>
      <c r="BS12" s="228"/>
      <c r="BT12" s="228"/>
      <c r="BU12" s="228"/>
      <c r="BV12" s="228"/>
      <c r="BW12" s="228"/>
      <c r="BX12" s="228"/>
      <c r="BY12" s="228"/>
      <c r="BZ12" s="228"/>
      <c r="CA12" s="228"/>
      <c r="CB12" s="228"/>
      <c r="CC12" s="228"/>
      <c r="CD12" s="228"/>
      <c r="CE12" s="228"/>
      <c r="CF12" s="228"/>
      <c r="CG12" s="228"/>
    </row>
    <row r="13" spans="1:85" hidden="1" x14ac:dyDescent="0.2">
      <c r="A13" s="185">
        <v>36312</v>
      </c>
      <c r="B13" s="186">
        <v>2.226</v>
      </c>
      <c r="C13" s="234">
        <v>-0.26560170852554243</v>
      </c>
      <c r="D13" s="188">
        <v>-0.24758334187596098</v>
      </c>
      <c r="E13" s="235">
        <v>-0.35569354177344947</v>
      </c>
      <c r="F13" s="213">
        <v>9.9000000000000005E-2</v>
      </c>
      <c r="G13" s="211">
        <v>8.199999999999999E-2</v>
      </c>
      <c r="H13" s="211">
        <v>0.10700000000000001</v>
      </c>
      <c r="I13" s="212">
        <v>8.4000000000000005E-2</v>
      </c>
      <c r="J13" s="211">
        <v>0.05</v>
      </c>
      <c r="K13" s="211">
        <v>8.4000000000000005E-2</v>
      </c>
      <c r="L13" s="211">
        <v>0.19400000000000003</v>
      </c>
      <c r="M13" s="213">
        <v>-0.28499999999999998</v>
      </c>
      <c r="N13" s="158">
        <v>0</v>
      </c>
      <c r="O13" s="212">
        <v>-0.15</v>
      </c>
      <c r="P13" s="214">
        <v>-0.316</v>
      </c>
      <c r="Q13" s="215">
        <v>0.2</v>
      </c>
      <c r="S13" s="194">
        <v>0</v>
      </c>
      <c r="T13" s="194"/>
      <c r="U13" s="218">
        <v>0.38</v>
      </c>
      <c r="V13" s="61">
        <v>1.9603982914744575</v>
      </c>
      <c r="W13" s="61">
        <v>1.978416658124039</v>
      </c>
      <c r="X13" s="197">
        <v>1.8703064582265505</v>
      </c>
      <c r="Y13" s="116"/>
      <c r="Z13" s="221">
        <v>2.5000000000000001E-2</v>
      </c>
      <c r="AA13" s="199">
        <v>-0.125</v>
      </c>
      <c r="AB13" s="200">
        <v>2.72</v>
      </c>
      <c r="AC13" s="145">
        <v>2.7450000000000001</v>
      </c>
      <c r="AD13" s="197">
        <v>2.5950000000000002</v>
      </c>
      <c r="AE13" s="201">
        <v>1.91</v>
      </c>
      <c r="AF13" s="133">
        <v>1.9410000000000001</v>
      </c>
      <c r="AG13" s="202">
        <v>2.0760000000000001</v>
      </c>
      <c r="AH13" s="69"/>
      <c r="AI13" s="207">
        <v>1.4632500000000002</v>
      </c>
      <c r="AJ13" s="86">
        <v>4.6501354316044019E-2</v>
      </c>
      <c r="AK13" s="86">
        <v>5.0221837532552015E-2</v>
      </c>
      <c r="AL13" s="90">
        <v>1.0999593046489899</v>
      </c>
      <c r="AM13" s="204">
        <v>1.1082719835843169</v>
      </c>
      <c r="AN13" s="184">
        <v>0</v>
      </c>
      <c r="AO13" s="205">
        <v>0.124</v>
      </c>
      <c r="AP13" s="72"/>
      <c r="AQ13" s="184">
        <v>-2.3160918332479072</v>
      </c>
      <c r="AR13" s="206">
        <v>-2.0504901247223648</v>
      </c>
      <c r="AS13" s="72"/>
      <c r="AT13" s="72"/>
      <c r="AU13" s="72"/>
      <c r="AV13" s="184">
        <v>0</v>
      </c>
      <c r="AW13" s="107"/>
      <c r="AX13" s="67"/>
      <c r="AY13" s="90">
        <v>1.25</v>
      </c>
      <c r="AZ13" s="75"/>
      <c r="BA13" s="75"/>
      <c r="BB13" s="75"/>
      <c r="BC13" s="151"/>
      <c r="BD13" s="90"/>
      <c r="BE13" s="72"/>
      <c r="BF13" s="151"/>
      <c r="BG13" s="72"/>
      <c r="BH13" s="125"/>
      <c r="BI13" s="125"/>
      <c r="BJ13" s="72"/>
      <c r="BK13" s="151"/>
      <c r="BL13" s="72"/>
      <c r="BM13" s="72"/>
      <c r="BN13" s="90"/>
      <c r="BO13" s="90"/>
      <c r="BP13" s="125"/>
      <c r="BQ13" s="72"/>
      <c r="BR13" s="125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</row>
    <row r="14" spans="1:85" hidden="1" x14ac:dyDescent="0.2">
      <c r="A14" s="185">
        <v>36342</v>
      </c>
      <c r="B14" s="186">
        <v>2.262</v>
      </c>
      <c r="C14" s="234">
        <v>-0.24389400270072592</v>
      </c>
      <c r="D14" s="188">
        <v>-0.22587519915341092</v>
      </c>
      <c r="E14" s="235">
        <v>-0.38083690966031947</v>
      </c>
      <c r="F14" s="213">
        <v>8.7999999999999995E-2</v>
      </c>
      <c r="G14" s="211">
        <v>5.8000000000000003E-2</v>
      </c>
      <c r="H14" s="211">
        <v>0.10800000000000001</v>
      </c>
      <c r="I14" s="212">
        <v>0.10299999999999999</v>
      </c>
      <c r="J14" s="211">
        <v>6.3E-2</v>
      </c>
      <c r="K14" s="211">
        <v>8.3000000000000004E-2</v>
      </c>
      <c r="L14" s="211">
        <v>0.25800000000000001</v>
      </c>
      <c r="M14" s="213">
        <v>-0.27200000000000002</v>
      </c>
      <c r="N14" s="158">
        <v>0</v>
      </c>
      <c r="O14" s="212">
        <v>-8.6999999999999994E-2</v>
      </c>
      <c r="P14" s="214">
        <v>-0.32200000000000001</v>
      </c>
      <c r="Q14" s="215">
        <v>0.08</v>
      </c>
      <c r="S14" s="194">
        <v>0.372</v>
      </c>
      <c r="T14" s="194"/>
      <c r="U14" s="218">
        <v>0.4</v>
      </c>
      <c r="V14" s="61">
        <v>2.0181059972992741</v>
      </c>
      <c r="W14" s="61">
        <v>2.0361248008465891</v>
      </c>
      <c r="X14" s="197">
        <v>1.8811630903396805</v>
      </c>
      <c r="Y14" s="116" t="s">
        <v>249</v>
      </c>
      <c r="Z14" s="221">
        <v>2.5000000000000001E-2</v>
      </c>
      <c r="AA14" s="199">
        <v>-0.19</v>
      </c>
      <c r="AB14" s="200">
        <v>2.8</v>
      </c>
      <c r="AC14" s="145">
        <v>2.8250000000000002</v>
      </c>
      <c r="AD14" s="197">
        <v>2.61</v>
      </c>
      <c r="AE14" s="201">
        <v>1.94</v>
      </c>
      <c r="AF14" s="133">
        <v>1.99</v>
      </c>
      <c r="AG14" s="202">
        <v>2.1749999999999998</v>
      </c>
      <c r="AH14" s="69"/>
      <c r="AI14" s="207">
        <v>1.5042500000000001</v>
      </c>
      <c r="AJ14" s="86">
        <v>4.7496795000000001E-2</v>
      </c>
      <c r="AK14" s="86">
        <v>5.6583459000000003E-2</v>
      </c>
      <c r="AL14" s="90">
        <v>1.0979374198366438</v>
      </c>
      <c r="AM14" s="204">
        <v>1.1174630252818054</v>
      </c>
      <c r="AN14" s="184">
        <v>0</v>
      </c>
      <c r="AO14" s="205">
        <v>0.12</v>
      </c>
      <c r="AP14" s="72"/>
      <c r="AQ14" s="184">
        <v>-2.395207146418481</v>
      </c>
      <c r="AR14" s="206">
        <v>0</v>
      </c>
      <c r="AS14" s="72"/>
      <c r="AT14" s="72"/>
      <c r="AU14" s="72"/>
      <c r="AV14" s="184">
        <v>0</v>
      </c>
      <c r="AW14" s="107"/>
      <c r="AX14" s="67"/>
      <c r="AY14" s="90">
        <v>1.25</v>
      </c>
      <c r="AZ14" s="75"/>
      <c r="BA14" s="75"/>
      <c r="BB14" s="75"/>
      <c r="BC14" s="151"/>
      <c r="BD14" s="90"/>
      <c r="BE14" s="72"/>
      <c r="BF14" s="151"/>
      <c r="BG14" s="72"/>
      <c r="BH14" s="125"/>
      <c r="BI14" s="125"/>
      <c r="BJ14" s="72"/>
      <c r="BK14" s="151"/>
      <c r="BL14" s="72"/>
      <c r="BM14" s="72"/>
      <c r="BN14" s="90"/>
      <c r="BO14" s="90"/>
      <c r="BP14" s="125"/>
      <c r="BQ14" s="72"/>
      <c r="BR14" s="125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</row>
    <row r="15" spans="1:85" hidden="1" x14ac:dyDescent="0.2">
      <c r="A15" s="185">
        <v>36373</v>
      </c>
      <c r="B15" s="186">
        <v>2.6010000000000004</v>
      </c>
      <c r="C15" s="234">
        <v>-0.6273861062367625</v>
      </c>
      <c r="D15" s="188">
        <v>-0.60985845176284381</v>
      </c>
      <c r="E15" s="235">
        <v>-0.45210956149757608</v>
      </c>
      <c r="F15" s="213">
        <v>3.9E-2</v>
      </c>
      <c r="G15" s="211">
        <v>9.0000000000000011E-3</v>
      </c>
      <c r="H15" s="211">
        <v>6.4000000000000001E-2</v>
      </c>
      <c r="I15" s="212">
        <v>2.4E-2</v>
      </c>
      <c r="J15" s="211">
        <v>8.4000000000000005E-2</v>
      </c>
      <c r="K15" s="211">
        <v>0.10400000000000001</v>
      </c>
      <c r="L15" s="211">
        <v>0.33</v>
      </c>
      <c r="M15" s="213">
        <v>-0.42499999999999999</v>
      </c>
      <c r="N15" s="158">
        <v>0</v>
      </c>
      <c r="O15" s="212">
        <v>-0.27500000000000002</v>
      </c>
      <c r="P15" s="116">
        <v>-0.39100000000000001</v>
      </c>
      <c r="Q15" s="215">
        <v>0.18</v>
      </c>
      <c r="S15" s="194">
        <v>0.69750000000000001</v>
      </c>
      <c r="T15" s="194"/>
      <c r="U15" s="218">
        <v>0.75</v>
      </c>
      <c r="V15" s="61">
        <v>1.9736138937632379</v>
      </c>
      <c r="W15" s="61">
        <v>1.9911415482371566</v>
      </c>
      <c r="X15" s="197">
        <v>2.1488904385024243</v>
      </c>
      <c r="Y15" s="236">
        <v>4.9802500000000007</v>
      </c>
      <c r="Z15" s="221">
        <v>2.5000000000000001E-2</v>
      </c>
      <c r="AA15" s="199">
        <v>0.25</v>
      </c>
      <c r="AB15" s="200">
        <v>2.8149999999999999</v>
      </c>
      <c r="AC15" s="145">
        <v>2.84</v>
      </c>
      <c r="AD15" s="197">
        <v>3.0649999999999999</v>
      </c>
      <c r="AE15" s="201">
        <v>2.21</v>
      </c>
      <c r="AF15" s="133">
        <v>2.1760000000000006</v>
      </c>
      <c r="AG15" s="202">
        <v>2.3260000000000005</v>
      </c>
      <c r="AH15" s="237">
        <v>-0.35</v>
      </c>
      <c r="AI15" s="207">
        <v>1.4932500000000002</v>
      </c>
      <c r="AJ15" s="86">
        <v>4.8412219944185007E-2</v>
      </c>
      <c r="AK15" s="86">
        <v>5.2667831385669016E-2</v>
      </c>
      <c r="AL15" s="90">
        <v>0.99973810098864824</v>
      </c>
      <c r="AM15" s="204">
        <v>0.99971537907275354</v>
      </c>
      <c r="AN15" s="184">
        <v>1.9000000000000003E-2</v>
      </c>
      <c r="AO15" s="205">
        <v>0.12</v>
      </c>
      <c r="AP15" s="72"/>
      <c r="AQ15" s="184">
        <v>-0.63089163713154628</v>
      </c>
      <c r="AR15" s="206">
        <v>-3.5055308947837815E-3</v>
      </c>
      <c r="AS15" s="72"/>
      <c r="AT15" s="72"/>
      <c r="AU15" s="72"/>
      <c r="AV15" s="184">
        <v>0</v>
      </c>
      <c r="AW15" s="107"/>
      <c r="AX15" s="67"/>
      <c r="AY15" s="90">
        <v>1.25</v>
      </c>
      <c r="AZ15" s="75"/>
      <c r="BA15" s="75"/>
      <c r="BB15" s="75"/>
      <c r="BC15" s="151"/>
      <c r="BD15" s="90"/>
      <c r="BE15" s="72"/>
      <c r="BF15" s="151"/>
      <c r="BG15" s="72"/>
      <c r="BH15" s="125"/>
      <c r="BI15" s="125"/>
      <c r="BJ15" s="72"/>
      <c r="BK15" s="151"/>
      <c r="BL15" s="72"/>
      <c r="BM15" s="72"/>
      <c r="BN15" s="90"/>
      <c r="BO15" s="90"/>
      <c r="BP15" s="125"/>
      <c r="BQ15" s="72"/>
      <c r="BR15" s="125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</row>
    <row r="16" spans="1:85" hidden="1" x14ac:dyDescent="0.2">
      <c r="A16" s="185">
        <v>36404</v>
      </c>
      <c r="B16" s="186">
        <v>2.9119999999999999</v>
      </c>
      <c r="C16" s="234">
        <v>-0.56011258103858497</v>
      </c>
      <c r="D16" s="188">
        <v>-0.54245576858391953</v>
      </c>
      <c r="E16" s="235">
        <v>-0.48242260623805722</v>
      </c>
      <c r="F16" s="213">
        <v>0.05</v>
      </c>
      <c r="G16" s="211">
        <v>0.03</v>
      </c>
      <c r="H16" s="211">
        <v>0.09</v>
      </c>
      <c r="I16" s="212">
        <v>0.05</v>
      </c>
      <c r="J16" s="211">
        <v>2.2499999999999999E-2</v>
      </c>
      <c r="K16" s="211">
        <v>4.7500000000000001E-2</v>
      </c>
      <c r="L16" s="211">
        <v>0.218</v>
      </c>
      <c r="M16" s="213">
        <v>-0.35499999999999998</v>
      </c>
      <c r="N16" s="211">
        <v>5.0000000000000001E-3</v>
      </c>
      <c r="O16" s="212">
        <v>-0.255</v>
      </c>
      <c r="P16" s="116">
        <v>-0.41199999999999998</v>
      </c>
      <c r="Q16" s="215">
        <v>8.2500000000000004E-2</v>
      </c>
      <c r="R16" s="64">
        <v>0.37</v>
      </c>
      <c r="S16" s="194">
        <v>0.51150000000000007</v>
      </c>
      <c r="T16" s="194"/>
      <c r="U16" s="218">
        <v>0.55000000000000004</v>
      </c>
      <c r="V16" s="61">
        <v>2.351887418961415</v>
      </c>
      <c r="W16" s="61">
        <v>2.3695442314160804</v>
      </c>
      <c r="X16" s="197">
        <v>2.4295773937619427</v>
      </c>
      <c r="Y16" s="236"/>
      <c r="Z16" s="221">
        <v>2.5000000000000001E-2</v>
      </c>
      <c r="AA16" s="199">
        <v>0.02</v>
      </c>
      <c r="AB16" s="200">
        <v>3.33</v>
      </c>
      <c r="AC16" s="145">
        <v>3.355</v>
      </c>
      <c r="AD16" s="197">
        <v>3.44</v>
      </c>
      <c r="AE16" s="201">
        <v>2.5</v>
      </c>
      <c r="AF16" s="133">
        <v>2.5569999999999999</v>
      </c>
      <c r="AG16" s="202">
        <v>2.657</v>
      </c>
      <c r="AH16" s="237">
        <v>-0.28499999999999998</v>
      </c>
      <c r="AI16" s="185">
        <v>1.4667000000000001</v>
      </c>
      <c r="AJ16" s="86">
        <v>4.8498679033737002E-2</v>
      </c>
      <c r="AK16" s="86">
        <v>5.7887780980724016E-2</v>
      </c>
      <c r="AL16" s="90">
        <v>1</v>
      </c>
      <c r="AM16" s="204">
        <v>1</v>
      </c>
      <c r="AN16" s="184">
        <v>0.03</v>
      </c>
      <c r="AO16" s="205">
        <v>0.124</v>
      </c>
      <c r="AP16" s="72"/>
      <c r="AQ16" s="184">
        <v>-2.8978745500362675</v>
      </c>
      <c r="AR16" s="206">
        <v>-2.3377619689976825</v>
      </c>
      <c r="AS16" s="72"/>
      <c r="AT16" s="72"/>
      <c r="AU16" s="72"/>
      <c r="AV16" s="184">
        <v>0</v>
      </c>
      <c r="AW16" s="107"/>
      <c r="AX16" s="67"/>
      <c r="AY16" s="90">
        <v>0.26</v>
      </c>
      <c r="AZ16" s="75"/>
      <c r="BA16" s="75"/>
      <c r="BB16" s="75"/>
      <c r="BC16" s="151"/>
      <c r="BD16" s="90"/>
      <c r="BE16" s="72"/>
      <c r="BF16" s="151"/>
      <c r="BG16" s="72"/>
      <c r="BH16" s="125"/>
      <c r="BI16" s="125"/>
      <c r="BJ16" s="72"/>
      <c r="BK16" s="151"/>
      <c r="BL16" s="72"/>
      <c r="BM16" s="72"/>
      <c r="BN16" s="90"/>
      <c r="BO16" s="90"/>
      <c r="BP16" s="125"/>
      <c r="BQ16" s="72"/>
      <c r="BR16" s="125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</row>
    <row r="17" spans="1:85" hidden="1" x14ac:dyDescent="0.2">
      <c r="A17" s="185">
        <v>36434</v>
      </c>
      <c r="B17" s="186">
        <v>2.56</v>
      </c>
      <c r="C17" s="234">
        <v>-0.25182070364556886</v>
      </c>
      <c r="D17" s="188">
        <v>-0.23384422937489591</v>
      </c>
      <c r="E17" s="235">
        <v>-0.24822540879143418</v>
      </c>
      <c r="F17" s="213">
        <v>0.06</v>
      </c>
      <c r="G17" s="211">
        <v>0.04</v>
      </c>
      <c r="H17" s="211">
        <v>7.4999999999999997E-2</v>
      </c>
      <c r="I17" s="212">
        <v>0.05</v>
      </c>
      <c r="J17" s="211">
        <v>0.05</v>
      </c>
      <c r="K17" s="211">
        <v>7.0000000000000007E-2</v>
      </c>
      <c r="L17" s="211">
        <v>0.25</v>
      </c>
      <c r="M17" s="213">
        <v>-0.19</v>
      </c>
      <c r="N17" s="211">
        <v>0.14000000000000001</v>
      </c>
      <c r="O17" s="212">
        <v>-0.01</v>
      </c>
      <c r="P17" s="116">
        <v>-0.17</v>
      </c>
      <c r="Q17" s="215">
        <v>0.09</v>
      </c>
      <c r="R17" s="64">
        <v>0.34</v>
      </c>
      <c r="S17" s="194">
        <v>0.54869999999999997</v>
      </c>
      <c r="T17" s="194"/>
      <c r="U17" s="218">
        <v>0.59</v>
      </c>
      <c r="V17" s="61">
        <v>2.3081792963544312</v>
      </c>
      <c r="W17" s="61">
        <v>2.3261557706251041</v>
      </c>
      <c r="X17" s="197">
        <v>2.3117745912085659</v>
      </c>
      <c r="Y17" s="236">
        <v>4.7823571428571423</v>
      </c>
      <c r="Z17" s="221">
        <v>2.5000000000000001E-2</v>
      </c>
      <c r="AA17" s="199">
        <v>5.0000000000000001E-3</v>
      </c>
      <c r="AB17" s="200">
        <v>3.21</v>
      </c>
      <c r="AC17" s="145">
        <v>3.2349999999999999</v>
      </c>
      <c r="AD17" s="197">
        <v>3.2149999999999999</v>
      </c>
      <c r="AE17" s="201">
        <v>2.39</v>
      </c>
      <c r="AF17" s="133">
        <v>2.37</v>
      </c>
      <c r="AG17" s="202">
        <v>2.5499999999999998</v>
      </c>
      <c r="AH17" s="237">
        <v>-0.21</v>
      </c>
      <c r="AI17" s="185">
        <v>1.4715</v>
      </c>
      <c r="AJ17" s="86">
        <v>4.7652980511766002E-2</v>
      </c>
      <c r="AK17" s="86">
        <v>5.7887780980724016E-2</v>
      </c>
      <c r="AL17" s="90">
        <v>0.9998710715883643</v>
      </c>
      <c r="AM17" s="204">
        <v>0.9998437744102483</v>
      </c>
      <c r="AN17" s="184">
        <v>0.04</v>
      </c>
      <c r="AO17" s="205">
        <v>0.12</v>
      </c>
      <c r="AP17" s="72"/>
      <c r="AQ17" s="184">
        <v>-2.5564047051458654</v>
      </c>
      <c r="AR17" s="206">
        <v>-2.3045840015002965</v>
      </c>
      <c r="AS17" s="72"/>
      <c r="AT17" s="72"/>
      <c r="AU17" s="72"/>
      <c r="AV17" s="184">
        <v>0</v>
      </c>
      <c r="AW17" s="107"/>
      <c r="AX17" s="67"/>
      <c r="AY17" s="90">
        <v>0.26</v>
      </c>
      <c r="AZ17" s="75"/>
      <c r="BA17" s="75"/>
      <c r="BB17" s="75"/>
      <c r="BC17" s="151"/>
      <c r="BD17" s="90"/>
      <c r="BE17" s="72"/>
      <c r="BF17" s="151"/>
      <c r="BG17" s="72"/>
      <c r="BH17" s="125"/>
      <c r="BI17" s="125"/>
      <c r="BJ17" s="72"/>
      <c r="BK17" s="151"/>
      <c r="BL17" s="72"/>
      <c r="BM17" s="72"/>
      <c r="BN17" s="90"/>
      <c r="BO17" s="90"/>
      <c r="BP17" s="125"/>
      <c r="BQ17" s="72"/>
      <c r="BR17" s="125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</row>
    <row r="18" spans="1:85" hidden="1" x14ac:dyDescent="0.2">
      <c r="A18" s="185">
        <v>36465</v>
      </c>
      <c r="B18" s="186">
        <v>3.0920000000000001</v>
      </c>
      <c r="C18" s="234">
        <v>-0.39707068969664761</v>
      </c>
      <c r="D18" s="188">
        <v>-0.27522548151803861</v>
      </c>
      <c r="E18" s="235">
        <v>-0.38990332450967058</v>
      </c>
      <c r="F18" s="213">
        <v>3.8000000000000006E-2</v>
      </c>
      <c r="G18" s="211">
        <v>3.8000000000000006E-2</v>
      </c>
      <c r="H18" s="211">
        <v>6.8000000000000005E-2</v>
      </c>
      <c r="I18" s="212">
        <v>0.23</v>
      </c>
      <c r="J18" s="211">
        <v>0.12</v>
      </c>
      <c r="K18" s="211">
        <v>0.17</v>
      </c>
      <c r="L18" s="211">
        <v>0.47800000000000004</v>
      </c>
      <c r="M18" s="213">
        <v>-0.22</v>
      </c>
      <c r="N18" s="211">
        <v>-0.01</v>
      </c>
      <c r="O18" s="212">
        <v>-0.08</v>
      </c>
      <c r="P18" s="116">
        <v>-0.17199999999999999</v>
      </c>
      <c r="Q18" s="215">
        <v>0.18</v>
      </c>
      <c r="R18" s="64">
        <v>0.27</v>
      </c>
      <c r="S18" s="194">
        <v>0.6</v>
      </c>
      <c r="T18" s="194"/>
      <c r="U18" s="218">
        <v>0.6</v>
      </c>
      <c r="V18" s="61">
        <v>2.6949293103033525</v>
      </c>
      <c r="W18" s="61">
        <v>2.8167745184819615</v>
      </c>
      <c r="X18" s="197">
        <v>2.7020966754903295</v>
      </c>
      <c r="Y18" s="236"/>
      <c r="Z18" s="221">
        <v>0.17</v>
      </c>
      <c r="AA18" s="199">
        <v>0.01</v>
      </c>
      <c r="AB18" s="200">
        <v>3.76</v>
      </c>
      <c r="AC18" s="145">
        <v>3.93</v>
      </c>
      <c r="AD18" s="197">
        <v>3.77</v>
      </c>
      <c r="AE18" s="238">
        <v>2.92</v>
      </c>
      <c r="AF18" s="133">
        <v>2.8719999999999999</v>
      </c>
      <c r="AG18" s="202">
        <v>3.012</v>
      </c>
      <c r="AH18" s="237">
        <v>-0.23</v>
      </c>
      <c r="AI18" s="207">
        <v>1.4737499999999999</v>
      </c>
      <c r="AJ18" s="86">
        <v>4.7187618011464004E-2</v>
      </c>
      <c r="AK18" s="86">
        <v>5.4620350596712018E-2</v>
      </c>
      <c r="AL18" s="90">
        <v>0.99961699694502315</v>
      </c>
      <c r="AM18" s="204">
        <v>0.9995574875706067</v>
      </c>
      <c r="AN18" s="184">
        <v>3.8000000000000006E-2</v>
      </c>
      <c r="AO18" s="205">
        <v>0.124</v>
      </c>
      <c r="AP18" s="72"/>
      <c r="AQ18" s="184">
        <v>-3.0848326348130231</v>
      </c>
      <c r="AR18" s="206">
        <v>-2.6877619451163755</v>
      </c>
      <c r="AS18" s="72"/>
      <c r="AT18" s="72"/>
      <c r="AU18" s="72"/>
      <c r="AV18" s="184">
        <v>5.0000000000000001E-3</v>
      </c>
      <c r="AW18" s="107"/>
      <c r="AX18" s="67"/>
      <c r="AY18" s="90">
        <v>0.26</v>
      </c>
      <c r="AZ18" s="75"/>
      <c r="BA18" s="75"/>
      <c r="BB18" s="75"/>
      <c r="BC18" s="151"/>
      <c r="BD18" s="90"/>
      <c r="BE18" s="72"/>
      <c r="BF18" s="151"/>
      <c r="BG18" s="72"/>
      <c r="BH18" s="125"/>
      <c r="BI18" s="125"/>
      <c r="BJ18" s="72"/>
      <c r="BK18" s="151"/>
      <c r="BL18" s="72"/>
      <c r="BM18" s="72"/>
      <c r="BN18" s="90"/>
      <c r="BO18" s="90"/>
      <c r="BP18" s="125"/>
      <c r="BQ18" s="72"/>
      <c r="BR18" s="125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</row>
    <row r="19" spans="1:85" hidden="1" x14ac:dyDescent="0.2">
      <c r="A19" s="185">
        <v>36495</v>
      </c>
      <c r="B19" s="186">
        <v>2.12</v>
      </c>
      <c r="C19" s="208">
        <v>0.13450000000000001</v>
      </c>
      <c r="D19" s="209">
        <v>-7.3000000000000001E-3</v>
      </c>
      <c r="E19" s="188">
        <v>-0.1129</v>
      </c>
      <c r="F19" s="213">
        <v>0.14000000000000001</v>
      </c>
      <c r="G19" s="211">
        <v>0.16</v>
      </c>
      <c r="H19" s="211">
        <v>0.17</v>
      </c>
      <c r="I19" s="212">
        <v>0.2</v>
      </c>
      <c r="J19" s="211">
        <v>7.0000000000000007E-2</v>
      </c>
      <c r="K19" s="211">
        <v>0.125</v>
      </c>
      <c r="L19" s="211">
        <v>0.53</v>
      </c>
      <c r="M19" s="213">
        <v>-0.03</v>
      </c>
      <c r="N19" s="211">
        <v>0.23499999999999999</v>
      </c>
      <c r="O19" s="212">
        <v>0.19500000000000001</v>
      </c>
      <c r="P19" s="239">
        <v>0.16</v>
      </c>
      <c r="Q19" s="215">
        <v>0.15</v>
      </c>
      <c r="R19" s="240">
        <v>0.3</v>
      </c>
      <c r="S19" s="194">
        <v>0.84750000000000003</v>
      </c>
      <c r="T19" s="194">
        <v>0.85</v>
      </c>
      <c r="U19" s="241">
        <v>0.84750000000000003</v>
      </c>
      <c r="V19" s="61">
        <v>2.2545000000000002</v>
      </c>
      <c r="W19" s="61">
        <v>2.1127000000000002</v>
      </c>
      <c r="X19" s="197">
        <v>2.0071000000000003</v>
      </c>
      <c r="Y19" s="214"/>
      <c r="Z19" s="221">
        <v>-0.19819999999999999</v>
      </c>
      <c r="AA19" s="199">
        <v>-0.34570000000000001</v>
      </c>
      <c r="AB19" s="207">
        <v>3.1501999999999999</v>
      </c>
      <c r="AC19" s="145">
        <v>2.952</v>
      </c>
      <c r="AD19" s="197">
        <v>2.8045</v>
      </c>
      <c r="AE19" s="238">
        <v>2.2799999999999998</v>
      </c>
      <c r="AF19" s="223">
        <v>2.09</v>
      </c>
      <c r="AG19" s="224">
        <v>2.3149999999999999</v>
      </c>
      <c r="AH19" s="242">
        <v>-4.4999999999999998E-2</v>
      </c>
      <c r="AI19" s="185">
        <v>1.4539000000000002</v>
      </c>
      <c r="AJ19" s="243">
        <v>4.9413468787229013E-2</v>
      </c>
      <c r="AK19" s="243">
        <v>5.6583459451999996E-2</v>
      </c>
      <c r="AL19" s="90">
        <v>0.99986636644452664</v>
      </c>
      <c r="AM19" s="204">
        <v>0.99984724555970628</v>
      </c>
      <c r="AN19" s="184">
        <v>0.16</v>
      </c>
      <c r="AO19" s="205">
        <v>0.12</v>
      </c>
      <c r="AP19" s="72"/>
      <c r="AQ19" s="184">
        <v>-2.12</v>
      </c>
      <c r="AR19" s="206">
        <v>-2.2541820390146703</v>
      </c>
      <c r="AS19" s="72"/>
      <c r="AT19" s="72"/>
      <c r="AU19" s="72"/>
      <c r="AV19" s="184">
        <v>5.0000000000000001E-3</v>
      </c>
      <c r="AW19" s="244"/>
      <c r="AX19" s="90"/>
      <c r="AY19" s="107">
        <v>0.26</v>
      </c>
      <c r="AZ19" s="245"/>
      <c r="BA19" s="246"/>
      <c r="BB19" s="246"/>
      <c r="BC19" s="247"/>
      <c r="BD19" s="90"/>
      <c r="BE19" s="72"/>
      <c r="BF19" s="151"/>
      <c r="BG19" s="72"/>
      <c r="BH19" s="125"/>
      <c r="BI19" s="125"/>
      <c r="BJ19" s="72"/>
      <c r="BK19" s="151"/>
      <c r="BL19" s="72"/>
      <c r="BM19" s="72"/>
      <c r="BN19" s="90"/>
      <c r="BO19" s="90"/>
      <c r="BP19" s="125"/>
      <c r="BQ19" s="72"/>
      <c r="BR19" s="125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</row>
    <row r="20" spans="1:85" hidden="1" x14ac:dyDescent="0.2">
      <c r="A20" s="185">
        <v>36526</v>
      </c>
      <c r="B20" s="186">
        <v>2.3440000000000003</v>
      </c>
      <c r="C20" s="208">
        <v>-0.18596049787916114</v>
      </c>
      <c r="D20" s="209">
        <v>-0.12430222638999444</v>
      </c>
      <c r="E20" s="188">
        <v>-0.18596049787916114</v>
      </c>
      <c r="F20" s="213">
        <v>6.5000000000000002E-2</v>
      </c>
      <c r="G20" s="211">
        <v>0.13</v>
      </c>
      <c r="H20" s="211">
        <v>0.13</v>
      </c>
      <c r="I20" s="212">
        <v>0.21</v>
      </c>
      <c r="J20" s="211">
        <v>0.09</v>
      </c>
      <c r="K20" s="211">
        <v>0.06</v>
      </c>
      <c r="L20" s="211">
        <v>1.3559999999999999</v>
      </c>
      <c r="M20" s="213">
        <v>-0.16399999999999998</v>
      </c>
      <c r="N20" s="211">
        <v>3.1000000000000003E-2</v>
      </c>
      <c r="O20" s="212">
        <v>-2.4E-2</v>
      </c>
      <c r="P20" s="239">
        <v>-3.1E-2</v>
      </c>
      <c r="Q20" s="215">
        <v>0.13500000000000001</v>
      </c>
      <c r="R20" s="240">
        <v>0.43</v>
      </c>
      <c r="S20" s="194">
        <v>0.4</v>
      </c>
      <c r="T20" s="194">
        <v>0.9</v>
      </c>
      <c r="U20" s="241">
        <v>0.4</v>
      </c>
      <c r="V20" s="61">
        <v>2.1580395021208392</v>
      </c>
      <c r="W20" s="61">
        <v>2.2196977736100059</v>
      </c>
      <c r="X20" s="197">
        <v>2.1580395021208392</v>
      </c>
      <c r="Y20" s="214"/>
      <c r="Z20" s="221">
        <v>8.5000000000000006E-2</v>
      </c>
      <c r="AA20" s="199">
        <v>0</v>
      </c>
      <c r="AB20" s="207">
        <v>2.9750000000000001</v>
      </c>
      <c r="AC20" s="145">
        <v>3.06</v>
      </c>
      <c r="AD20" s="197">
        <v>2.9750000000000001</v>
      </c>
      <c r="AE20" s="238">
        <v>2.3130000000000002</v>
      </c>
      <c r="AF20" s="223">
        <v>2.1800000000000002</v>
      </c>
      <c r="AG20" s="224">
        <v>2.3199999999999998</v>
      </c>
      <c r="AH20" s="242">
        <v>-0.16399999999999998</v>
      </c>
      <c r="AI20" s="185">
        <v>1.4465000000000001</v>
      </c>
      <c r="AJ20" s="243">
        <v>5.0961877278977011E-2</v>
      </c>
      <c r="AK20" s="243">
        <v>5.6580830843126012E-2</v>
      </c>
      <c r="AL20" s="90">
        <v>0.9997244819212816</v>
      </c>
      <c r="AM20" s="204">
        <v>0.99969452844652973</v>
      </c>
      <c r="AN20" s="184">
        <v>0.13</v>
      </c>
      <c r="AO20" s="205">
        <v>0.12</v>
      </c>
      <c r="AP20" s="72"/>
      <c r="AQ20" s="184">
        <v>-2.3440000000000003</v>
      </c>
      <c r="AR20" s="206">
        <v>-2.1580395021208392</v>
      </c>
      <c r="AS20" s="72"/>
      <c r="AT20" s="72"/>
      <c r="AU20" s="72"/>
      <c r="AV20" s="184">
        <v>5.0000000000000001E-3</v>
      </c>
      <c r="AW20" s="244"/>
      <c r="AX20" s="90"/>
      <c r="AY20" s="107"/>
      <c r="AZ20" s="245"/>
      <c r="BA20" s="246"/>
      <c r="BB20" s="246"/>
      <c r="BC20" s="247"/>
      <c r="BD20" s="90"/>
      <c r="BE20" s="72"/>
      <c r="BF20" s="151"/>
      <c r="BG20" s="72"/>
      <c r="BH20" s="125"/>
      <c r="BI20" s="125"/>
      <c r="BJ20" s="72"/>
      <c r="BK20" s="151"/>
      <c r="BL20" s="72"/>
      <c r="BM20" s="72"/>
      <c r="BN20" s="90"/>
      <c r="BO20" s="90"/>
      <c r="BP20" s="125"/>
      <c r="BQ20" s="72"/>
      <c r="BR20" s="125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</row>
    <row r="21" spans="1:85" hidden="1" x14ac:dyDescent="0.2">
      <c r="A21" s="185">
        <v>36557</v>
      </c>
      <c r="B21" s="186">
        <v>2.61</v>
      </c>
      <c r="C21" s="208">
        <v>-0.47374701958230414</v>
      </c>
      <c r="D21" s="209">
        <v>-0.41177381025278015</v>
      </c>
      <c r="E21" s="188">
        <v>-0.47374701958230414</v>
      </c>
      <c r="F21" s="213">
        <v>0.02</v>
      </c>
      <c r="G21" s="211">
        <v>0.13</v>
      </c>
      <c r="H21" s="211">
        <v>0.13</v>
      </c>
      <c r="I21" s="212">
        <v>0.28000000000000003</v>
      </c>
      <c r="J21" s="211">
        <v>0.08</v>
      </c>
      <c r="K21" s="211">
        <v>0.06</v>
      </c>
      <c r="L21" s="211">
        <v>2.8</v>
      </c>
      <c r="M21" s="213">
        <v>-0.26</v>
      </c>
      <c r="N21" s="211">
        <v>-7.0000000000000007E-2</v>
      </c>
      <c r="O21" s="212">
        <v>-0.12</v>
      </c>
      <c r="P21" s="239">
        <v>-0.25</v>
      </c>
      <c r="Q21" s="215">
        <v>0.1</v>
      </c>
      <c r="R21" s="240">
        <v>0.5</v>
      </c>
      <c r="S21" s="194">
        <v>0.6</v>
      </c>
      <c r="T21" s="194">
        <v>0.78500000000000003</v>
      </c>
      <c r="U21" s="241">
        <v>0.6</v>
      </c>
      <c r="V21" s="61">
        <v>2.1362529804176957</v>
      </c>
      <c r="W21" s="61">
        <v>2.1982261897472197</v>
      </c>
      <c r="X21" s="197">
        <v>2.1362529804176957</v>
      </c>
      <c r="Y21" s="214" t="s">
        <v>250</v>
      </c>
      <c r="Z21" s="221">
        <v>8.5000000000000006E-2</v>
      </c>
      <c r="AA21" s="199">
        <v>0</v>
      </c>
      <c r="AB21" s="207">
        <v>2.93</v>
      </c>
      <c r="AC21" s="145">
        <v>3.0150000000000001</v>
      </c>
      <c r="AD21" s="197">
        <v>2.93</v>
      </c>
      <c r="AE21" s="238">
        <v>2.35</v>
      </c>
      <c r="AF21" s="223">
        <v>2.35</v>
      </c>
      <c r="AG21" s="224">
        <v>2.4900000000000002</v>
      </c>
      <c r="AH21" s="242">
        <v>-0.26</v>
      </c>
      <c r="AI21" s="185">
        <v>1.4515</v>
      </c>
      <c r="AJ21" s="243">
        <v>5.1585864383055E-2</v>
      </c>
      <c r="AK21" s="243">
        <v>5.9845805981007992E-2</v>
      </c>
      <c r="AL21" s="90">
        <v>0.99986056602077245</v>
      </c>
      <c r="AM21" s="204">
        <v>0.99983856773125168</v>
      </c>
      <c r="AN21" s="184">
        <v>0.13</v>
      </c>
      <c r="AO21" s="205">
        <v>0.13300000000000001</v>
      </c>
      <c r="AP21" s="72"/>
      <c r="AQ21" s="184">
        <v>-2.61</v>
      </c>
      <c r="AR21" s="206">
        <v>-2.1362529804176957</v>
      </c>
      <c r="AS21" s="72"/>
      <c r="AT21" s="72"/>
      <c r="AU21" s="72"/>
      <c r="AV21" s="184">
        <v>5.0000000000000001E-3</v>
      </c>
      <c r="AW21" s="244"/>
      <c r="AX21" s="90"/>
      <c r="AY21" s="107"/>
      <c r="AZ21" s="245"/>
      <c r="BA21" s="246"/>
      <c r="BB21" s="246"/>
      <c r="BC21" s="247"/>
      <c r="BD21" s="90"/>
      <c r="BE21" s="72"/>
      <c r="BF21" s="151"/>
      <c r="BG21" s="72"/>
      <c r="BH21" s="125"/>
      <c r="BI21" s="125"/>
      <c r="BJ21" s="72"/>
      <c r="BK21" s="151"/>
      <c r="BL21" s="72"/>
      <c r="BM21" s="72"/>
      <c r="BN21" s="90"/>
      <c r="BO21" s="90"/>
      <c r="BP21" s="125"/>
      <c r="BQ21" s="72"/>
      <c r="BR21" s="125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</row>
    <row r="22" spans="1:85" hidden="1" x14ac:dyDescent="0.2">
      <c r="A22" s="185">
        <v>36586</v>
      </c>
      <c r="B22" s="186">
        <v>2.6030000000000002</v>
      </c>
      <c r="C22" s="208">
        <v>-0.32515722601856112</v>
      </c>
      <c r="D22" s="209">
        <v>-0.2633975335820633</v>
      </c>
      <c r="E22" s="188">
        <v>-0.38328399537056024</v>
      </c>
      <c r="F22" s="213">
        <v>0.17699999999999999</v>
      </c>
      <c r="G22" s="211">
        <v>0.19700000000000001</v>
      </c>
      <c r="H22" s="211">
        <v>0.19700000000000001</v>
      </c>
      <c r="I22" s="212">
        <v>0.217</v>
      </c>
      <c r="J22" s="211">
        <v>5.7000000000000002E-2</v>
      </c>
      <c r="K22" s="211">
        <v>8.7000000000000008E-2</v>
      </c>
      <c r="L22" s="211">
        <v>0.48</v>
      </c>
      <c r="M22" s="213">
        <v>-0.23499999999999999</v>
      </c>
      <c r="N22" s="211">
        <v>-1.8000000000000002E-2</v>
      </c>
      <c r="O22" s="212">
        <v>-0.14000000000000001</v>
      </c>
      <c r="P22" s="239">
        <v>-0.29300000000000015</v>
      </c>
      <c r="Q22" s="215">
        <v>0.13</v>
      </c>
      <c r="R22" s="240">
        <v>0.4</v>
      </c>
      <c r="S22" s="194">
        <v>0.4</v>
      </c>
      <c r="T22" s="194">
        <v>0.52</v>
      </c>
      <c r="U22" s="241">
        <v>0.4</v>
      </c>
      <c r="V22" s="61">
        <v>2.2778427739814391</v>
      </c>
      <c r="W22" s="61">
        <v>2.3396024664179369</v>
      </c>
      <c r="X22" s="197">
        <v>2.21971600462944</v>
      </c>
      <c r="Y22" s="214">
        <v>6.5000000000000002E-2</v>
      </c>
      <c r="Z22" s="221">
        <v>8.5000000000000006E-2</v>
      </c>
      <c r="AA22" s="199">
        <v>-0.08</v>
      </c>
      <c r="AB22" s="207">
        <v>3.1349999999999998</v>
      </c>
      <c r="AC22" s="145">
        <v>3.22</v>
      </c>
      <c r="AD22" s="197">
        <v>3.0550000000000002</v>
      </c>
      <c r="AE22" s="238">
        <v>2.31</v>
      </c>
      <c r="AF22" s="223">
        <v>2.3680000000000003</v>
      </c>
      <c r="AG22" s="224">
        <v>2.4630000000000001</v>
      </c>
      <c r="AH22" s="242">
        <v>-0.215</v>
      </c>
      <c r="AI22" s="185">
        <v>1.4488000000000001</v>
      </c>
      <c r="AJ22" s="243">
        <v>5.1160082072492015E-2</v>
      </c>
      <c r="AK22" s="243">
        <v>5.9192925200601015E-2</v>
      </c>
      <c r="AL22" s="90">
        <v>0.99986170239779781</v>
      </c>
      <c r="AM22" s="204">
        <v>0.99984030328489193</v>
      </c>
      <c r="AN22" s="184">
        <v>0.19700000000000001</v>
      </c>
      <c r="AO22" s="205">
        <v>0.12</v>
      </c>
      <c r="AP22" s="72"/>
      <c r="AQ22" s="184">
        <v>-2.6611267693519984</v>
      </c>
      <c r="AR22" s="206">
        <v>-2.3359695433334373</v>
      </c>
      <c r="AS22" s="72"/>
      <c r="AT22" s="72"/>
      <c r="AU22" s="72"/>
      <c r="AV22" s="184">
        <v>5.0000000000000001E-3</v>
      </c>
      <c r="AW22" s="244"/>
      <c r="AX22" s="90"/>
      <c r="AY22" s="107"/>
      <c r="AZ22" s="245"/>
      <c r="BA22" s="246"/>
      <c r="BB22" s="246"/>
      <c r="BC22" s="247"/>
      <c r="BD22" s="90"/>
      <c r="BE22" s="72"/>
      <c r="BF22" s="151"/>
      <c r="BG22" s="72"/>
      <c r="BH22" s="125"/>
      <c r="BI22" s="125"/>
      <c r="BJ22" s="72"/>
      <c r="BK22" s="151"/>
      <c r="BL22" s="72"/>
      <c r="BM22" s="72"/>
      <c r="BN22" s="90"/>
      <c r="BO22" s="90"/>
      <c r="BP22" s="125"/>
      <c r="BQ22" s="72"/>
      <c r="BR22" s="125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</row>
    <row r="23" spans="1:85" hidden="1" x14ac:dyDescent="0.2">
      <c r="A23" s="185">
        <v>36617</v>
      </c>
      <c r="B23" s="186">
        <v>2.9</v>
      </c>
      <c r="C23" s="208">
        <v>-0.28305408876411109</v>
      </c>
      <c r="D23" s="209">
        <v>-0.1957012349815499</v>
      </c>
      <c r="E23" s="188">
        <v>-0.33837756282639964</v>
      </c>
      <c r="F23" s="213">
        <v>0.16</v>
      </c>
      <c r="G23" s="211">
        <v>0.17</v>
      </c>
      <c r="H23" s="211">
        <v>0.17</v>
      </c>
      <c r="I23" s="212">
        <v>0.18</v>
      </c>
      <c r="J23" s="211">
        <v>0.04</v>
      </c>
      <c r="K23" s="211">
        <v>0.1</v>
      </c>
      <c r="L23" s="211">
        <v>0.22</v>
      </c>
      <c r="M23" s="213">
        <v>-0.19</v>
      </c>
      <c r="N23" s="211">
        <v>0.12</v>
      </c>
      <c r="O23" s="212">
        <v>5.0000000000000001E-3</v>
      </c>
      <c r="P23" s="239">
        <v>-0.17</v>
      </c>
      <c r="Q23" s="215">
        <v>0.11</v>
      </c>
      <c r="R23" s="240">
        <v>0.44639999999999996</v>
      </c>
      <c r="S23" s="194">
        <v>0.45</v>
      </c>
      <c r="T23" s="194">
        <v>0.4</v>
      </c>
      <c r="U23" s="241">
        <v>0.45</v>
      </c>
      <c r="V23" s="61">
        <v>2.6169459112358888</v>
      </c>
      <c r="W23" s="61">
        <v>2.70429876501845</v>
      </c>
      <c r="X23" s="197">
        <v>2.5616224371736003</v>
      </c>
      <c r="Y23" s="214"/>
      <c r="Z23" s="221">
        <v>0.12</v>
      </c>
      <c r="AA23" s="199">
        <v>-7.5999999999999998E-2</v>
      </c>
      <c r="AB23" s="207">
        <v>3.5950000000000002</v>
      </c>
      <c r="AC23" s="145">
        <v>3.7149999999999999</v>
      </c>
      <c r="AD23" s="197">
        <v>3.5190000000000001</v>
      </c>
      <c r="AE23" s="238">
        <v>2.71</v>
      </c>
      <c r="AF23" s="223">
        <v>2.71</v>
      </c>
      <c r="AG23" s="224">
        <v>2.9049999999999998</v>
      </c>
      <c r="AH23" s="242">
        <v>-0.14000000000000001</v>
      </c>
      <c r="AI23" s="207">
        <v>1.4795000000000003</v>
      </c>
      <c r="AJ23" s="243">
        <v>5.4147093725843004E-2</v>
      </c>
      <c r="AK23" s="243">
        <v>6.3102397517172004E-2</v>
      </c>
      <c r="AL23" s="90">
        <v>1</v>
      </c>
      <c r="AM23" s="204">
        <v>1</v>
      </c>
      <c r="AN23" s="184">
        <v>0.17</v>
      </c>
      <c r="AO23" s="205">
        <v>0.124</v>
      </c>
      <c r="AP23" s="72"/>
      <c r="AQ23" s="184">
        <v>-2.9553234740622885</v>
      </c>
      <c r="AR23" s="206">
        <v>-2.6722693852981774</v>
      </c>
      <c r="AS23" s="72"/>
      <c r="AT23" s="72">
        <v>0.33639999999999998</v>
      </c>
      <c r="AU23" s="72"/>
      <c r="AV23" s="184">
        <v>0</v>
      </c>
      <c r="AW23" s="244"/>
      <c r="AX23" s="90"/>
      <c r="AY23" s="107"/>
      <c r="AZ23" s="245"/>
      <c r="BA23" s="246"/>
      <c r="BB23" s="246"/>
      <c r="BC23" s="247"/>
      <c r="BD23" s="90"/>
      <c r="BE23" s="72"/>
      <c r="BF23" s="151"/>
      <c r="BG23" s="72"/>
      <c r="BH23" s="125"/>
      <c r="BI23" s="125"/>
      <c r="BJ23" s="72"/>
      <c r="BK23" s="151"/>
      <c r="BL23" s="72"/>
      <c r="BM23" s="72"/>
      <c r="BN23" s="90"/>
      <c r="BO23" s="90"/>
      <c r="BP23" s="125"/>
      <c r="BQ23" s="72"/>
      <c r="BR23" s="125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</row>
    <row r="24" spans="1:85" s="233" customFormat="1" hidden="1" x14ac:dyDescent="0.2">
      <c r="A24" s="207">
        <v>36647</v>
      </c>
      <c r="B24" s="186">
        <v>3.0890000000000004</v>
      </c>
      <c r="C24" s="208">
        <v>-0.36374993270524936</v>
      </c>
      <c r="D24" s="209">
        <v>-0.34955592193808904</v>
      </c>
      <c r="E24" s="209">
        <v>-0.4843990242261107</v>
      </c>
      <c r="F24" s="213">
        <v>0.16</v>
      </c>
      <c r="G24" s="211">
        <v>0.17</v>
      </c>
      <c r="H24" s="211">
        <v>0.17</v>
      </c>
      <c r="I24" s="212">
        <v>0.18100000000000002</v>
      </c>
      <c r="J24" s="211">
        <v>3.1000000000000003E-2</v>
      </c>
      <c r="K24" s="211">
        <v>0.14099999999999999</v>
      </c>
      <c r="L24" s="211">
        <v>0.32100000000000001</v>
      </c>
      <c r="M24" s="213">
        <v>-0.36899999999999999</v>
      </c>
      <c r="N24" s="211">
        <v>-5.9000000000000004E-2</v>
      </c>
      <c r="O24" s="212">
        <v>-0.14899999999999999</v>
      </c>
      <c r="P24" s="239">
        <v>-0.34899999999999998</v>
      </c>
      <c r="Q24" s="215">
        <v>0.18</v>
      </c>
      <c r="R24" s="248">
        <v>0.23</v>
      </c>
      <c r="S24" s="194">
        <v>0.2</v>
      </c>
      <c r="T24" s="194">
        <v>0.33500000000000002</v>
      </c>
      <c r="U24" s="241">
        <v>0.2</v>
      </c>
      <c r="V24" s="219">
        <v>2.7252500672947511</v>
      </c>
      <c r="W24" s="219">
        <v>2.7394440780619114</v>
      </c>
      <c r="X24" s="220">
        <v>2.6046009757738897</v>
      </c>
      <c r="Y24" s="239"/>
      <c r="Z24" s="221">
        <v>0.02</v>
      </c>
      <c r="AA24" s="199">
        <v>-0.17</v>
      </c>
      <c r="AB24" s="207">
        <v>3.84</v>
      </c>
      <c r="AC24" s="222">
        <v>3.86</v>
      </c>
      <c r="AD24" s="220">
        <v>3.67</v>
      </c>
      <c r="AE24" s="249">
        <v>2.74</v>
      </c>
      <c r="AF24" s="223">
        <v>2.72</v>
      </c>
      <c r="AG24" s="224">
        <v>2.94</v>
      </c>
      <c r="AH24" s="237">
        <v>-0.30900000000000005</v>
      </c>
      <c r="AI24" s="207">
        <v>1.4965000000000002</v>
      </c>
      <c r="AJ24" s="243">
        <v>5.4646687663194027E-2</v>
      </c>
      <c r="AK24" s="243">
        <v>6.1795229083421006E-2</v>
      </c>
      <c r="AL24" s="225">
        <v>1</v>
      </c>
      <c r="AM24" s="226">
        <v>1</v>
      </c>
      <c r="AN24" s="227" t="e">
        <v>#N/A</v>
      </c>
      <c r="AO24" s="205">
        <v>0.12</v>
      </c>
      <c r="AP24" s="228"/>
      <c r="AQ24" s="227">
        <v>-3.2088025726695628</v>
      </c>
      <c r="AR24" s="229">
        <v>-2.8450526399643135</v>
      </c>
      <c r="AS24" s="228"/>
      <c r="AT24" s="250">
        <v>0.05</v>
      </c>
      <c r="AU24" s="228"/>
      <c r="AV24" s="227">
        <v>0</v>
      </c>
      <c r="AW24" s="251"/>
      <c r="AX24" s="225"/>
      <c r="AY24" s="225"/>
      <c r="AZ24" s="230"/>
      <c r="BA24" s="252"/>
      <c r="BB24" s="252"/>
      <c r="BC24" s="253"/>
      <c r="BD24" s="225"/>
      <c r="BE24" s="228"/>
      <c r="BF24" s="231"/>
      <c r="BG24" s="228"/>
      <c r="BH24" s="232"/>
      <c r="BI24" s="232"/>
      <c r="BJ24" s="228"/>
      <c r="BK24" s="231"/>
      <c r="BL24" s="228"/>
      <c r="BM24" s="228"/>
      <c r="BN24" s="225"/>
      <c r="BO24" s="225"/>
      <c r="BP24" s="232"/>
      <c r="BQ24" s="228"/>
      <c r="BR24" s="232"/>
      <c r="BS24" s="228"/>
      <c r="BT24" s="228"/>
      <c r="BU24" s="228"/>
      <c r="BV24" s="228"/>
      <c r="BW24" s="228"/>
      <c r="BX24" s="228"/>
      <c r="BY24" s="228"/>
      <c r="BZ24" s="228"/>
      <c r="CA24" s="228"/>
      <c r="CB24" s="228"/>
      <c r="CC24" s="228"/>
      <c r="CD24" s="228"/>
      <c r="CE24" s="228"/>
      <c r="CF24" s="228"/>
      <c r="CG24" s="228"/>
    </row>
    <row r="25" spans="1:85" s="233" customFormat="1" hidden="1" x14ac:dyDescent="0.2">
      <c r="A25" s="207">
        <v>36678</v>
      </c>
      <c r="B25" s="186">
        <v>4.4060000000000006</v>
      </c>
      <c r="C25" s="254">
        <v>-1.1981070038654518</v>
      </c>
      <c r="D25" s="209">
        <v>-0.9160944327767</v>
      </c>
      <c r="E25" s="209">
        <v>-1.2545095180832022</v>
      </c>
      <c r="F25" s="213">
        <v>9.5000000000000001E-2</v>
      </c>
      <c r="G25" s="211">
        <v>9.5000000000000001E-2</v>
      </c>
      <c r="H25" s="211">
        <v>0.11</v>
      </c>
      <c r="I25" s="212">
        <v>9.5000000000000001E-2</v>
      </c>
      <c r="J25" s="211">
        <v>0.06</v>
      </c>
      <c r="K25" s="211">
        <v>0.13500000000000001</v>
      </c>
      <c r="L25" s="211">
        <v>0.35</v>
      </c>
      <c r="M25" s="213">
        <v>-0.75600000000000012</v>
      </c>
      <c r="N25" s="211">
        <v>-6.6000000000000003E-2</v>
      </c>
      <c r="O25" s="212">
        <v>-0.46600000000000003</v>
      </c>
      <c r="P25" s="239">
        <v>-0.76599999999999957</v>
      </c>
      <c r="Q25" s="215">
        <v>0.15</v>
      </c>
      <c r="R25" s="248">
        <v>0.52500000000000002</v>
      </c>
      <c r="S25" s="194">
        <v>0.45</v>
      </c>
      <c r="T25" s="194">
        <v>0.51500000000000001</v>
      </c>
      <c r="U25" s="241">
        <v>0.45</v>
      </c>
      <c r="V25" s="219">
        <v>3.2078929961345488</v>
      </c>
      <c r="W25" s="219">
        <v>3.4899055672233006</v>
      </c>
      <c r="X25" s="220">
        <v>3.1514904819167984</v>
      </c>
      <c r="Y25" s="214"/>
      <c r="Z25" s="221">
        <v>0.4</v>
      </c>
      <c r="AA25" s="199">
        <v>-0.08</v>
      </c>
      <c r="AB25" s="207">
        <v>4.55</v>
      </c>
      <c r="AC25" s="222">
        <v>4.95</v>
      </c>
      <c r="AD25" s="220">
        <v>4.47</v>
      </c>
      <c r="AE25" s="249">
        <v>3.64</v>
      </c>
      <c r="AF25" s="223">
        <v>3.65</v>
      </c>
      <c r="AG25" s="224">
        <v>3.94</v>
      </c>
      <c r="AH25" s="237">
        <v>-0.51600000000000001</v>
      </c>
      <c r="AI25" s="207">
        <v>1.4795000000000003</v>
      </c>
      <c r="AJ25" s="219">
        <v>5.8638838318261027E-2</v>
      </c>
      <c r="AK25" s="219">
        <v>6.7041095957371996E-2</v>
      </c>
      <c r="AL25" s="225">
        <v>1</v>
      </c>
      <c r="AM25" s="226">
        <v>1</v>
      </c>
      <c r="AN25" s="227">
        <v>9.5000000000000001E-2</v>
      </c>
      <c r="AO25" s="205">
        <v>0.124</v>
      </c>
      <c r="AP25" s="228"/>
      <c r="AQ25" s="227">
        <v>-4.4623789386835897</v>
      </c>
      <c r="AR25" s="229">
        <v>-3.2642719348181379</v>
      </c>
      <c r="AS25" s="228"/>
      <c r="AT25" s="250">
        <v>0.375</v>
      </c>
      <c r="AU25" s="228"/>
      <c r="AV25" s="227">
        <v>0</v>
      </c>
      <c r="AW25" s="251"/>
      <c r="AX25" s="225"/>
      <c r="AY25" s="225"/>
      <c r="AZ25" s="230"/>
      <c r="BA25" s="252"/>
      <c r="BB25" s="252"/>
      <c r="BC25" s="253"/>
      <c r="BD25" s="225"/>
      <c r="BE25" s="228"/>
      <c r="BF25" s="231"/>
      <c r="BG25" s="228"/>
      <c r="BH25" s="232"/>
      <c r="BI25" s="232"/>
      <c r="BJ25" s="228"/>
      <c r="BK25" s="231"/>
      <c r="BL25" s="228"/>
      <c r="BM25" s="228"/>
      <c r="BN25" s="225"/>
      <c r="BO25" s="225"/>
      <c r="BP25" s="232"/>
      <c r="BQ25" s="228"/>
      <c r="BR25" s="232"/>
      <c r="BS25" s="228"/>
      <c r="BT25" s="228"/>
      <c r="BU25" s="228"/>
      <c r="BV25" s="228"/>
      <c r="BW25" s="228"/>
      <c r="BX25" s="228"/>
      <c r="BY25" s="228"/>
      <c r="BZ25" s="228"/>
      <c r="CA25" s="228"/>
      <c r="CB25" s="228"/>
      <c r="CC25" s="228"/>
      <c r="CD25" s="228"/>
      <c r="CE25" s="228"/>
      <c r="CF25" s="228"/>
      <c r="CG25" s="228"/>
    </row>
    <row r="26" spans="1:85" s="233" customFormat="1" hidden="1" x14ac:dyDescent="0.2">
      <c r="A26" s="207">
        <v>36708</v>
      </c>
      <c r="B26" s="186">
        <v>4.3689999999999998</v>
      </c>
      <c r="C26" s="208">
        <v>-0.6421</v>
      </c>
      <c r="D26" s="188">
        <v>-0.5918966803929484</v>
      </c>
      <c r="E26" s="209">
        <v>-0.45850000000000002</v>
      </c>
      <c r="F26" s="213">
        <v>0.06</v>
      </c>
      <c r="G26" s="211">
        <v>0.05</v>
      </c>
      <c r="H26" s="211">
        <v>9.5000000000000001E-2</v>
      </c>
      <c r="I26" s="212">
        <v>8.1000000000000003E-2</v>
      </c>
      <c r="J26" s="211">
        <v>6.0999999999999908E-2</v>
      </c>
      <c r="K26" s="211">
        <v>8.0999999999999905E-2</v>
      </c>
      <c r="L26" s="211">
        <v>0.56100000000000005</v>
      </c>
      <c r="M26" s="213">
        <v>-0.44900000000000001</v>
      </c>
      <c r="N26" s="211">
        <v>0.54100000000000004</v>
      </c>
      <c r="O26" s="212">
        <v>0.10099999999999999</v>
      </c>
      <c r="P26" s="239">
        <v>-0.29899999999999999</v>
      </c>
      <c r="Q26" s="215">
        <v>0.2</v>
      </c>
      <c r="R26" s="255">
        <v>0.6</v>
      </c>
      <c r="S26" s="194">
        <v>0.6</v>
      </c>
      <c r="T26" s="194">
        <v>0.54500000000000004</v>
      </c>
      <c r="U26" s="241">
        <v>0.6</v>
      </c>
      <c r="V26" s="219">
        <v>3.7268999999999997</v>
      </c>
      <c r="W26" s="219">
        <v>3.7220011424732982</v>
      </c>
      <c r="X26" s="220">
        <v>3.9104999999999999</v>
      </c>
      <c r="Y26" s="239"/>
      <c r="Z26" s="221">
        <v>7.8800000000000203E-2</v>
      </c>
      <c r="AA26" s="199">
        <v>0.25819999999999999</v>
      </c>
      <c r="AB26" s="256">
        <v>5.2417999999999996</v>
      </c>
      <c r="AC26" s="145">
        <v>5.3205999999999998</v>
      </c>
      <c r="AD26" s="220">
        <v>5.5</v>
      </c>
      <c r="AE26" s="249">
        <v>4.07</v>
      </c>
      <c r="AF26" s="223">
        <v>3.92</v>
      </c>
      <c r="AG26" s="224">
        <v>4.47</v>
      </c>
      <c r="AH26" s="237">
        <v>-0.24900000000000003</v>
      </c>
      <c r="AI26" s="207">
        <v>1.4862</v>
      </c>
      <c r="AJ26" s="219">
        <v>5.9132950169177016E-2</v>
      </c>
      <c r="AK26" s="219">
        <v>6.7028795515919018E-2</v>
      </c>
      <c r="AL26" s="225">
        <v>1</v>
      </c>
      <c r="AM26" s="226">
        <v>1</v>
      </c>
      <c r="AN26" s="227">
        <v>0.05</v>
      </c>
      <c r="AO26" s="205">
        <v>0.12</v>
      </c>
      <c r="AP26" s="228"/>
      <c r="AQ26" s="227">
        <v>-4.1860876650769123</v>
      </c>
      <c r="AR26" s="229">
        <v>-3.5439876650769122</v>
      </c>
      <c r="AS26" s="228"/>
      <c r="AT26" s="250">
        <v>0.13350000000000001</v>
      </c>
      <c r="AU26" s="228"/>
      <c r="AV26" s="227">
        <v>1.4999999999999999E-2</v>
      </c>
      <c r="AW26" s="251"/>
      <c r="AX26" s="225"/>
      <c r="AY26" s="225"/>
      <c r="AZ26" s="230"/>
      <c r="BA26" s="252"/>
      <c r="BB26" s="252"/>
      <c r="BC26" s="253"/>
      <c r="BD26" s="225"/>
      <c r="BE26" s="228"/>
      <c r="BF26" s="231"/>
      <c r="BG26" s="228"/>
      <c r="BH26" s="232"/>
      <c r="BI26" s="232"/>
      <c r="BJ26" s="228"/>
      <c r="BK26" s="231"/>
      <c r="BL26" s="228"/>
      <c r="BM26" s="228"/>
      <c r="BN26" s="225"/>
      <c r="BO26" s="225"/>
      <c r="BP26" s="232"/>
      <c r="BQ26" s="228"/>
      <c r="BR26" s="232"/>
      <c r="BS26" s="228"/>
      <c r="BT26" s="228"/>
      <c r="BU26" s="228"/>
      <c r="BV26" s="228"/>
      <c r="BW26" s="228"/>
      <c r="BX26" s="228"/>
      <c r="BY26" s="228"/>
      <c r="BZ26" s="228"/>
      <c r="CA26" s="228"/>
      <c r="CB26" s="228"/>
      <c r="CC26" s="228"/>
      <c r="CD26" s="228"/>
      <c r="CE26" s="228"/>
      <c r="CF26" s="228"/>
      <c r="CG26" s="228"/>
    </row>
    <row r="27" spans="1:85" hidden="1" x14ac:dyDescent="0.2">
      <c r="A27" s="200">
        <v>36739</v>
      </c>
      <c r="B27" s="257">
        <v>3.82</v>
      </c>
      <c r="C27" s="258">
        <v>-0.54728320045320089</v>
      </c>
      <c r="D27" s="259">
        <v>-0.53308486292805268</v>
      </c>
      <c r="E27" s="259">
        <v>-0.60407655055379639</v>
      </c>
      <c r="F27" s="192">
        <v>9.5000000000000001E-2</v>
      </c>
      <c r="G27" s="190">
        <v>0.09</v>
      </c>
      <c r="H27" s="190">
        <v>0</v>
      </c>
      <c r="I27" s="191">
        <v>0.1</v>
      </c>
      <c r="J27" s="190">
        <v>7.4999999999999997E-2</v>
      </c>
      <c r="K27" s="190">
        <v>0.115</v>
      </c>
      <c r="L27" s="190">
        <v>0.4</v>
      </c>
      <c r="M27" s="192">
        <v>-0.73</v>
      </c>
      <c r="N27" s="190">
        <v>0.72</v>
      </c>
      <c r="O27" s="191">
        <v>0.14000000000000001</v>
      </c>
      <c r="P27" s="260">
        <v>-0.78</v>
      </c>
      <c r="Q27" s="193">
        <v>0.17</v>
      </c>
      <c r="R27" s="261">
        <v>0.65</v>
      </c>
      <c r="S27" s="262">
        <v>0.65</v>
      </c>
      <c r="T27" s="262">
        <v>0.52500000000000002</v>
      </c>
      <c r="U27" s="263">
        <v>0.65</v>
      </c>
      <c r="V27" s="203">
        <v>3.2727167995467989</v>
      </c>
      <c r="W27" s="203">
        <v>3.2869151370719472</v>
      </c>
      <c r="X27" s="264">
        <v>3.2159234494462035</v>
      </c>
      <c r="Y27" s="265" t="s">
        <v>251</v>
      </c>
      <c r="Z27" s="198">
        <v>0.02</v>
      </c>
      <c r="AA27" s="266">
        <v>-0.08</v>
      </c>
      <c r="AB27" s="267">
        <v>4.6100000000000003</v>
      </c>
      <c r="AC27" s="268">
        <v>4.63</v>
      </c>
      <c r="AD27" s="264">
        <v>4.53</v>
      </c>
      <c r="AE27" s="269">
        <v>3.04</v>
      </c>
      <c r="AF27" s="270">
        <v>3.09</v>
      </c>
      <c r="AG27" s="271">
        <v>3.96</v>
      </c>
      <c r="AH27" s="272">
        <v>-0.32</v>
      </c>
      <c r="AI27" s="207">
        <v>1.4712000000000001</v>
      </c>
      <c r="AJ27" s="219">
        <v>5.9020182001896002E-2</v>
      </c>
      <c r="AK27" s="219">
        <v>6.7041095957371996E-2</v>
      </c>
      <c r="AL27" s="90">
        <v>1.0049489589041096</v>
      </c>
      <c r="AM27" s="204">
        <v>1.0056124078575372</v>
      </c>
      <c r="AN27" s="184">
        <v>0.09</v>
      </c>
      <c r="AO27" s="205">
        <v>0.12</v>
      </c>
      <c r="AP27" s="72"/>
      <c r="AQ27" s="184">
        <v>-3.8773471995649809</v>
      </c>
      <c r="AR27" s="206">
        <v>-3.33006399911178</v>
      </c>
      <c r="AS27" s="72"/>
      <c r="AT27" s="273">
        <v>7.2099999999999997E-2</v>
      </c>
      <c r="AU27" s="72"/>
      <c r="AV27" s="184">
        <v>0.01</v>
      </c>
      <c r="AW27" s="244"/>
      <c r="AX27" s="90"/>
      <c r="AY27" s="90"/>
      <c r="AZ27" s="75"/>
      <c r="BA27" s="246"/>
      <c r="BB27" s="246"/>
      <c r="BC27" s="247"/>
      <c r="BD27" s="90"/>
      <c r="BE27" s="72"/>
      <c r="BF27" s="151"/>
      <c r="BG27" s="72"/>
      <c r="BH27" s="125"/>
      <c r="BI27" s="125"/>
      <c r="BJ27" s="72"/>
      <c r="BK27" s="151"/>
      <c r="BL27" s="72"/>
      <c r="BM27" s="72"/>
      <c r="BN27" s="90"/>
      <c r="BO27" s="90"/>
      <c r="BP27" s="125"/>
      <c r="BQ27" s="72"/>
      <c r="BR27" s="125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  <c r="CE27" s="72"/>
      <c r="CF27" s="72"/>
      <c r="CG27" s="72"/>
    </row>
    <row r="28" spans="1:85" hidden="1" x14ac:dyDescent="0.2">
      <c r="A28" s="200">
        <v>36770</v>
      </c>
      <c r="B28" s="257">
        <v>4.6180000000000003</v>
      </c>
      <c r="C28" s="258">
        <v>-0.98460000000000003</v>
      </c>
      <c r="D28" s="259">
        <v>-0.97485249660997741</v>
      </c>
      <c r="E28" s="259">
        <v>-1.0465679986452137</v>
      </c>
      <c r="F28" s="192">
        <v>0.21199999999999999</v>
      </c>
      <c r="G28" s="190">
        <v>0.20699999999999999</v>
      </c>
      <c r="H28" s="190">
        <v>0.23949999999999999</v>
      </c>
      <c r="I28" s="191">
        <v>0.17</v>
      </c>
      <c r="J28" s="190">
        <v>5.1999990000000003E-2</v>
      </c>
      <c r="K28" s="190">
        <v>0.11200000000000002</v>
      </c>
      <c r="L28" s="190">
        <v>0.32</v>
      </c>
      <c r="M28" s="274">
        <v>-1.208</v>
      </c>
      <c r="N28" s="190">
        <v>2.605</v>
      </c>
      <c r="O28" s="191">
        <v>1.335</v>
      </c>
      <c r="P28" s="260">
        <v>-1.1679999999999999</v>
      </c>
      <c r="Q28" s="193">
        <v>8.5000000000000006E-2</v>
      </c>
      <c r="R28" s="240">
        <v>0.4</v>
      </c>
      <c r="S28" s="262">
        <v>0.4</v>
      </c>
      <c r="T28" s="262">
        <v>0.54</v>
      </c>
      <c r="U28" s="263">
        <v>0.4</v>
      </c>
      <c r="V28" s="203">
        <v>3.6334</v>
      </c>
      <c r="W28" s="203">
        <v>3.6757</v>
      </c>
      <c r="X28" s="264">
        <v>3.3580999999999999</v>
      </c>
      <c r="Y28" s="275">
        <v>5.4134947812994136</v>
      </c>
      <c r="Z28" s="198">
        <v>0.02</v>
      </c>
      <c r="AA28" s="266">
        <v>-0.08</v>
      </c>
      <c r="AB28" s="267">
        <v>5.0743999999999998</v>
      </c>
      <c r="AC28" s="268">
        <v>5.1334999999999997</v>
      </c>
      <c r="AD28" s="264">
        <v>4.6900000000000004</v>
      </c>
      <c r="AE28" s="269">
        <v>3.45</v>
      </c>
      <c r="AF28" s="270">
        <v>3.41</v>
      </c>
      <c r="AG28" s="271">
        <v>5.9530000000000003</v>
      </c>
      <c r="AH28" s="272">
        <v>-1.2050000000000001</v>
      </c>
      <c r="AI28" s="207">
        <v>1.5030000000000001</v>
      </c>
      <c r="AJ28" s="219">
        <v>1</v>
      </c>
      <c r="AK28" s="219">
        <v>1</v>
      </c>
      <c r="AL28" s="90">
        <v>1</v>
      </c>
      <c r="AM28" s="204">
        <v>1</v>
      </c>
      <c r="AN28" s="184">
        <v>0.20699999999999999</v>
      </c>
      <c r="AO28" s="205">
        <v>0.124</v>
      </c>
      <c r="AP28" s="72"/>
      <c r="AQ28" s="184">
        <v>-4.6753484206934166</v>
      </c>
      <c r="AR28" s="206">
        <v>-3.6861528236763923</v>
      </c>
      <c r="AS28" s="72"/>
      <c r="AT28" s="273">
        <v>5.0299999999999997E-2</v>
      </c>
      <c r="AU28" s="72"/>
      <c r="AV28" s="184">
        <v>0.01</v>
      </c>
      <c r="AW28" s="244"/>
      <c r="AX28" s="90"/>
      <c r="AY28" s="90"/>
      <c r="AZ28" s="230">
        <v>0</v>
      </c>
      <c r="BA28" s="246">
        <v>0.3</v>
      </c>
      <c r="BB28" s="246"/>
      <c r="BC28" s="247"/>
      <c r="BD28" s="90"/>
      <c r="BE28" s="72"/>
      <c r="BF28" s="151"/>
      <c r="BG28" s="72"/>
      <c r="BH28" s="125"/>
      <c r="BI28" s="125"/>
      <c r="BJ28" s="72"/>
      <c r="BK28" s="151"/>
      <c r="BL28" s="72"/>
      <c r="BM28" s="72"/>
      <c r="BN28" s="90"/>
      <c r="BO28" s="90"/>
      <c r="BP28" s="125"/>
      <c r="BQ28" s="72"/>
      <c r="BR28" s="125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  <c r="CD28" s="72"/>
      <c r="CE28" s="72"/>
      <c r="CF28" s="72"/>
      <c r="CG28" s="72"/>
    </row>
    <row r="29" spans="1:85" hidden="1" x14ac:dyDescent="0.2">
      <c r="A29" s="200">
        <v>36800</v>
      </c>
      <c r="B29" s="257">
        <v>5.3120000000000003</v>
      </c>
      <c r="C29" s="258">
        <v>-0.72499999999999998</v>
      </c>
      <c r="D29" s="259">
        <v>-0.69140000000000001</v>
      </c>
      <c r="E29" s="259">
        <v>-0.6593</v>
      </c>
      <c r="F29" s="192">
        <v>7.4999999999999997E-2</v>
      </c>
      <c r="G29" s="190">
        <v>7.0000000000000007E-2</v>
      </c>
      <c r="H29" s="190">
        <v>9.5000000000000001E-2</v>
      </c>
      <c r="I29" s="191">
        <v>0.21</v>
      </c>
      <c r="J29" s="190">
        <v>0.11</v>
      </c>
      <c r="K29" s="190">
        <v>0.22</v>
      </c>
      <c r="L29" s="190">
        <v>0.44800000000000006</v>
      </c>
      <c r="M29" s="274">
        <v>-1.022</v>
      </c>
      <c r="N29" s="190">
        <v>0.25800000000000001</v>
      </c>
      <c r="O29" s="191">
        <v>-1.2E-2</v>
      </c>
      <c r="P29" s="260">
        <v>-0.432</v>
      </c>
      <c r="Q29" s="193">
        <v>0.19</v>
      </c>
      <c r="R29" s="240">
        <v>0.45</v>
      </c>
      <c r="S29" s="262">
        <v>0.45</v>
      </c>
      <c r="T29" s="262">
        <v>0.505</v>
      </c>
      <c r="U29" s="263">
        <v>0.45</v>
      </c>
      <c r="V29" s="203">
        <v>4.5869999999999997</v>
      </c>
      <c r="W29" s="203">
        <v>4.6205999999999996</v>
      </c>
      <c r="X29" s="264">
        <v>4.6527000000000003</v>
      </c>
      <c r="Y29" s="275">
        <v>7.0115000000000007</v>
      </c>
      <c r="Z29" s="198">
        <v>0.02</v>
      </c>
      <c r="AA29" s="266">
        <v>-7.0000000000000007E-2</v>
      </c>
      <c r="AB29" s="267">
        <v>6.5652999999999997</v>
      </c>
      <c r="AC29" s="268">
        <v>6.6135000000000002</v>
      </c>
      <c r="AD29" s="264">
        <v>6.6593999999999998</v>
      </c>
      <c r="AE29" s="269">
        <v>4.88</v>
      </c>
      <c r="AF29" s="270">
        <v>4.29</v>
      </c>
      <c r="AG29" s="271">
        <v>5.3</v>
      </c>
      <c r="AH29" s="272">
        <v>-0.78200000000000003</v>
      </c>
      <c r="AI29" s="207">
        <v>1.5220000000000002</v>
      </c>
      <c r="AJ29" s="219">
        <v>1</v>
      </c>
      <c r="AK29" s="219">
        <v>1</v>
      </c>
      <c r="AL29" s="90">
        <v>1</v>
      </c>
      <c r="AM29" s="204">
        <v>1</v>
      </c>
      <c r="AN29" s="184">
        <v>7.0000000000000007E-2</v>
      </c>
      <c r="AO29" s="205">
        <v>0.12</v>
      </c>
      <c r="AP29" s="72"/>
      <c r="AQ29" s="184">
        <v>-5.3608829625215204</v>
      </c>
      <c r="AR29" s="206">
        <v>-4.6469640495273845</v>
      </c>
      <c r="AS29" s="72"/>
      <c r="AT29" s="273">
        <v>3.8399999999999997E-2</v>
      </c>
      <c r="AU29" s="72"/>
      <c r="AV29" s="184">
        <v>0.01</v>
      </c>
      <c r="AW29" s="244"/>
      <c r="AX29" s="90"/>
      <c r="AY29" s="90"/>
      <c r="AZ29" s="276">
        <v>0.505</v>
      </c>
      <c r="BA29" s="276">
        <v>0.505</v>
      </c>
      <c r="BB29" s="252">
        <v>-0.72499999999999998</v>
      </c>
      <c r="BC29" s="247"/>
      <c r="BD29" s="90"/>
      <c r="BE29" s="72"/>
      <c r="BF29" s="151"/>
      <c r="BG29" s="72"/>
      <c r="BH29" s="125"/>
      <c r="BI29" s="125"/>
      <c r="BJ29" s="72"/>
      <c r="BK29" s="151"/>
      <c r="BL29" s="72"/>
      <c r="BM29" s="72"/>
      <c r="BN29" s="90"/>
      <c r="BO29" s="90"/>
      <c r="BP29" s="125"/>
      <c r="BQ29" s="72"/>
      <c r="BR29" s="125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2"/>
      <c r="CF29" s="72"/>
      <c r="CG29" s="72"/>
    </row>
    <row r="30" spans="1:85" x14ac:dyDescent="0.2">
      <c r="A30" s="353">
        <v>36831</v>
      </c>
      <c r="B30" s="277">
        <v>4.5410000000000004</v>
      </c>
      <c r="C30" s="278">
        <v>0.12289999999999957</v>
      </c>
      <c r="D30" s="188">
        <v>-0.17600000000000016</v>
      </c>
      <c r="E30" s="188">
        <v>-0.1590000000000007</v>
      </c>
      <c r="F30" s="213">
        <v>6.9000000000000006E-2</v>
      </c>
      <c r="G30" s="211">
        <v>6.9000000000000006E-2</v>
      </c>
      <c r="H30" s="211">
        <v>0.11900000000000001</v>
      </c>
      <c r="I30" s="212">
        <v>0.29899990000000004</v>
      </c>
      <c r="J30" s="211">
        <v>6.9000000000000006E-2</v>
      </c>
      <c r="K30" s="211">
        <v>0.18900000000000003</v>
      </c>
      <c r="L30" s="211">
        <v>0.55900000000000005</v>
      </c>
      <c r="M30" s="279">
        <v>-0.19100000000000072</v>
      </c>
      <c r="N30" s="211">
        <v>0.63900000000000001</v>
      </c>
      <c r="O30" s="212">
        <v>0.52900000000000003</v>
      </c>
      <c r="P30" s="260">
        <v>0.28899999999999998</v>
      </c>
      <c r="Q30" s="215">
        <v>0.25750000000000001</v>
      </c>
      <c r="R30" s="240">
        <v>0.6</v>
      </c>
      <c r="S30" s="194">
        <v>0.62</v>
      </c>
      <c r="T30" s="107">
        <v>0.53</v>
      </c>
      <c r="U30" s="280">
        <v>0.6</v>
      </c>
      <c r="V30" s="203">
        <v>4.6638999999999999</v>
      </c>
      <c r="W30" s="61">
        <v>4.3650000000000002</v>
      </c>
      <c r="X30" s="197">
        <v>4.3819999999999997</v>
      </c>
      <c r="Y30" s="236">
        <v>5.1835324015133919</v>
      </c>
      <c r="Z30" s="281">
        <v>0.04</v>
      </c>
      <c r="AA30" s="282">
        <v>-0.8</v>
      </c>
      <c r="AB30" s="267">
        <v>6.7480000000000002</v>
      </c>
      <c r="AC30" s="145">
        <v>6.3155000000000001</v>
      </c>
      <c r="AD30" s="197">
        <v>6.34</v>
      </c>
      <c r="AE30" s="238">
        <v>4.83</v>
      </c>
      <c r="AF30" s="133">
        <v>4.3499999999999996</v>
      </c>
      <c r="AG30" s="202">
        <v>5.07</v>
      </c>
      <c r="AH30" s="272">
        <v>-0.13100000000000001</v>
      </c>
      <c r="AI30" s="283">
        <v>1.5343</v>
      </c>
      <c r="AJ30" s="219">
        <v>1</v>
      </c>
      <c r="AK30" s="219">
        <v>1</v>
      </c>
      <c r="AL30" s="90">
        <v>1</v>
      </c>
      <c r="AM30" s="204">
        <v>1</v>
      </c>
      <c r="AN30" s="184">
        <v>8.900000000000001E-2</v>
      </c>
      <c r="AO30" s="205">
        <v>0.124</v>
      </c>
      <c r="AP30" s="72"/>
      <c r="AQ30" s="184">
        <v>-5.09207250163292</v>
      </c>
      <c r="AR30" s="206">
        <v>-5.2026910516002616</v>
      </c>
      <c r="AS30" s="72"/>
      <c r="AT30" s="273">
        <v>3.0800000000000001E-2</v>
      </c>
      <c r="AU30" s="72"/>
      <c r="AV30" s="184">
        <v>7.4999999999999997E-3</v>
      </c>
      <c r="AW30" s="244"/>
      <c r="AX30" s="90"/>
      <c r="AY30" s="90"/>
      <c r="AZ30" s="276">
        <v>0.73</v>
      </c>
      <c r="BA30" s="276">
        <v>0.72499999999999998</v>
      </c>
      <c r="BB30" s="252">
        <v>0.12289999999999957</v>
      </c>
      <c r="BC30" s="247"/>
      <c r="BD30" s="90"/>
      <c r="BE30" s="72"/>
      <c r="BF30" s="151"/>
      <c r="BG30" s="72"/>
      <c r="BH30" s="125"/>
      <c r="BI30" s="125"/>
      <c r="BJ30" s="72"/>
      <c r="BK30" s="151"/>
      <c r="BL30" s="72"/>
      <c r="BM30" s="72"/>
      <c r="BN30" s="90"/>
      <c r="BO30" s="90"/>
      <c r="BP30" s="125"/>
      <c r="BQ30" s="72"/>
      <c r="BR30" s="125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2"/>
      <c r="CF30" s="72"/>
      <c r="CG30" s="72"/>
    </row>
    <row r="31" spans="1:85" x14ac:dyDescent="0.2">
      <c r="A31" s="354">
        <v>36861</v>
      </c>
      <c r="B31" s="277">
        <v>6.016</v>
      </c>
      <c r="C31" s="284">
        <v>-0.66412953064275015</v>
      </c>
      <c r="D31" s="188">
        <v>-0.6637181225710016</v>
      </c>
      <c r="E31" s="188">
        <v>-5.8766158445440198E-3</v>
      </c>
      <c r="F31" s="285">
        <v>0.23400000000000001</v>
      </c>
      <c r="G31" s="286">
        <v>0.32400000000000001</v>
      </c>
      <c r="H31" s="286">
        <v>0.35399999999999998</v>
      </c>
      <c r="I31" s="287">
        <v>0.32400000000000001</v>
      </c>
      <c r="J31" s="286">
        <v>0.13400000000000001</v>
      </c>
      <c r="K31" s="286">
        <v>7.3999990000000002E-2</v>
      </c>
      <c r="L31" s="286">
        <v>1.1240000000000001</v>
      </c>
      <c r="M31" s="288">
        <v>-6.0000000000002274E-3</v>
      </c>
      <c r="N31" s="286">
        <v>8.0640000000000001</v>
      </c>
      <c r="O31" s="287">
        <v>8.0239999999999991</v>
      </c>
      <c r="P31" s="289">
        <v>7.6739999999999995</v>
      </c>
      <c r="Q31" s="290">
        <v>0.30499999999999999</v>
      </c>
      <c r="R31" s="291">
        <v>0.83</v>
      </c>
      <c r="S31" s="194">
        <v>0.88</v>
      </c>
      <c r="T31" s="107">
        <v>0.95</v>
      </c>
      <c r="U31" s="280">
        <v>0.83</v>
      </c>
      <c r="V31" s="61">
        <v>5.3518999999999997</v>
      </c>
      <c r="W31" s="61">
        <v>5.3522999999999996</v>
      </c>
      <c r="X31" s="197">
        <v>6.0101000000000004</v>
      </c>
      <c r="Y31" s="116" t="s">
        <v>252</v>
      </c>
      <c r="Z31" s="281">
        <v>2.5000000000000001E-2</v>
      </c>
      <c r="AA31" s="292">
        <v>1.1499999999999999</v>
      </c>
      <c r="AB31" s="293">
        <v>7.8052000000000001</v>
      </c>
      <c r="AC31" s="145">
        <v>7.8057999999999996</v>
      </c>
      <c r="AD31" s="197">
        <v>8.7652000000000001</v>
      </c>
      <c r="AE31" s="238">
        <v>13.69</v>
      </c>
      <c r="AF31" s="133">
        <v>6.01</v>
      </c>
      <c r="AG31" s="202">
        <v>14.04</v>
      </c>
      <c r="AH31" s="242">
        <v>-1.6E-2</v>
      </c>
      <c r="AI31" s="283">
        <v>1.5008999999999999</v>
      </c>
      <c r="AJ31" s="88">
        <v>1</v>
      </c>
      <c r="AK31" s="88">
        <v>1</v>
      </c>
      <c r="AL31" s="90">
        <v>1</v>
      </c>
      <c r="AM31" s="294">
        <v>1</v>
      </c>
      <c r="AN31" s="184">
        <v>0.34399999999999997</v>
      </c>
      <c r="AO31" s="205">
        <v>0.12</v>
      </c>
      <c r="AP31" s="72"/>
      <c r="AQ31" s="184">
        <v>-5.2299940051847056</v>
      </c>
      <c r="AR31" s="206">
        <v>-4.5658644745419554</v>
      </c>
      <c r="AS31" s="72"/>
      <c r="AT31" s="273">
        <v>2.6100000000000002E-2</v>
      </c>
      <c r="AU31" s="72"/>
      <c r="AV31" s="184">
        <v>2.5000000000000001E-3</v>
      </c>
      <c r="AW31" s="244"/>
      <c r="AX31" s="90">
        <v>0</v>
      </c>
      <c r="AY31" s="90"/>
      <c r="AZ31" s="295">
        <v>1.0449999999999999</v>
      </c>
      <c r="BA31" s="295">
        <v>3.355</v>
      </c>
      <c r="BB31" s="252">
        <v>-0.66412953064275015</v>
      </c>
      <c r="BC31" s="295"/>
      <c r="BD31" s="90"/>
      <c r="BE31" s="72"/>
      <c r="BF31" s="151"/>
      <c r="BG31" s="72"/>
      <c r="BH31" s="125"/>
      <c r="BI31" s="125"/>
      <c r="BJ31" s="72"/>
      <c r="BK31" s="151"/>
      <c r="BL31" s="72"/>
      <c r="BM31" s="72"/>
      <c r="BN31" s="90"/>
      <c r="BO31" s="90"/>
      <c r="BP31" s="125"/>
      <c r="BQ31" s="72"/>
      <c r="BR31" s="125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  <c r="CF31" s="72"/>
      <c r="CG31" s="72"/>
    </row>
    <row r="32" spans="1:85" x14ac:dyDescent="0.2">
      <c r="A32" s="354">
        <v>36892</v>
      </c>
      <c r="B32" s="277">
        <v>9.98</v>
      </c>
      <c r="C32" s="284">
        <v>-0.87620000000000076</v>
      </c>
      <c r="D32" s="188">
        <v>-0.88320000000000043</v>
      </c>
      <c r="E32" s="188">
        <v>7.5929999999999609E-2</v>
      </c>
      <c r="F32" s="285">
        <v>0.42</v>
      </c>
      <c r="G32" s="286">
        <v>0.82</v>
      </c>
      <c r="H32" s="286">
        <v>0.82</v>
      </c>
      <c r="I32" s="287">
        <v>1.1100000000000001</v>
      </c>
      <c r="J32" s="286">
        <v>0.94999990000000001</v>
      </c>
      <c r="K32" s="286">
        <v>-0.06</v>
      </c>
      <c r="L32" s="286">
        <v>9.35</v>
      </c>
      <c r="M32" s="285">
        <v>-1.22</v>
      </c>
      <c r="N32" s="286">
        <v>6.41</v>
      </c>
      <c r="O32" s="287">
        <v>4.1100000000000003</v>
      </c>
      <c r="P32" s="289">
        <v>4.22</v>
      </c>
      <c r="Q32" s="290">
        <v>0.6</v>
      </c>
      <c r="R32" s="291">
        <v>0.9</v>
      </c>
      <c r="S32" s="194">
        <v>0.95</v>
      </c>
      <c r="T32" s="107">
        <v>1.43</v>
      </c>
      <c r="U32" s="280">
        <v>0.9</v>
      </c>
      <c r="V32" s="61">
        <v>9.1037999999999997</v>
      </c>
      <c r="W32" s="61">
        <v>9.0968</v>
      </c>
      <c r="X32" s="197">
        <v>10.05593</v>
      </c>
      <c r="Y32" s="236"/>
      <c r="Z32" s="281">
        <v>2.5000000000000001E-2</v>
      </c>
      <c r="AA32" s="296">
        <v>2.0049999999999999</v>
      </c>
      <c r="AB32" s="297">
        <v>12.911199999999999</v>
      </c>
      <c r="AC32" s="145">
        <v>12.901199999999999</v>
      </c>
      <c r="AD32" s="197">
        <v>14.266299999999999</v>
      </c>
      <c r="AE32" s="238">
        <v>14.2</v>
      </c>
      <c r="AF32" s="133">
        <v>8.76</v>
      </c>
      <c r="AG32" s="202">
        <v>14.09</v>
      </c>
      <c r="AH32" s="242">
        <v>-1.1779999999999999</v>
      </c>
      <c r="AI32" s="283">
        <v>1.4975000000000001</v>
      </c>
      <c r="AJ32" s="88">
        <v>1</v>
      </c>
      <c r="AK32" s="88">
        <v>1</v>
      </c>
      <c r="AL32" s="90">
        <v>1</v>
      </c>
      <c r="AM32" s="204">
        <v>1</v>
      </c>
      <c r="AN32" s="184">
        <v>0.84</v>
      </c>
      <c r="AO32" s="205">
        <v>0.12</v>
      </c>
      <c r="AP32" s="72"/>
      <c r="AQ32" s="184">
        <v>-8.5668455022388557</v>
      </c>
      <c r="AR32" s="206">
        <v>-7.6906455022388549</v>
      </c>
      <c r="AS32" s="72"/>
      <c r="AT32" s="273">
        <v>2.2700000000000001E-2</v>
      </c>
      <c r="AU32" s="72"/>
      <c r="AV32" s="184">
        <v>7.4999999999999997E-3</v>
      </c>
      <c r="AW32" s="244"/>
      <c r="AX32" s="90">
        <v>0.622</v>
      </c>
      <c r="AY32" s="90"/>
      <c r="AZ32" s="295">
        <v>1.0449999999999999</v>
      </c>
      <c r="BA32" s="295">
        <v>3.3849999999999998</v>
      </c>
      <c r="BB32" s="252">
        <v>-0.87620000000000076</v>
      </c>
      <c r="BC32" s="247"/>
      <c r="BD32" s="90"/>
      <c r="BE32" s="72"/>
      <c r="BF32" s="151"/>
      <c r="BG32" s="72"/>
      <c r="BH32" s="125"/>
      <c r="BI32" s="125"/>
      <c r="BJ32" s="72"/>
      <c r="BK32" s="151"/>
      <c r="BL32" s="72"/>
      <c r="BM32" s="72"/>
      <c r="BN32" s="90"/>
      <c r="BO32" s="90"/>
      <c r="BP32" s="125"/>
      <c r="BQ32" s="72"/>
      <c r="BR32" s="125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2"/>
      <c r="CE32" s="72"/>
      <c r="CF32" s="72"/>
      <c r="CG32" s="72"/>
    </row>
    <row r="33" spans="1:85" x14ac:dyDescent="0.2">
      <c r="A33" s="354">
        <v>36923</v>
      </c>
      <c r="B33" s="277">
        <v>6.293000000000001</v>
      </c>
      <c r="C33" s="284">
        <v>1.0900000000000001</v>
      </c>
      <c r="D33" s="188">
        <v>1.0884</v>
      </c>
      <c r="E33" s="188">
        <v>0.4965</v>
      </c>
      <c r="F33" s="285">
        <v>0.25</v>
      </c>
      <c r="G33" s="286">
        <v>0.28999999999999998</v>
      </c>
      <c r="H33" s="286">
        <v>0.39</v>
      </c>
      <c r="I33" s="287">
        <v>0.41</v>
      </c>
      <c r="J33" s="286">
        <v>0.2269999</v>
      </c>
      <c r="K33" s="286">
        <v>0.2</v>
      </c>
      <c r="L33" s="286">
        <v>1.7270000000000003</v>
      </c>
      <c r="M33" s="285">
        <v>0.29699999999999999</v>
      </c>
      <c r="N33" s="286">
        <v>6.2169999999999996</v>
      </c>
      <c r="O33" s="287">
        <v>3.7170000000000001</v>
      </c>
      <c r="P33" s="289">
        <v>0.65700000000000003</v>
      </c>
      <c r="Q33" s="290">
        <v>0.63</v>
      </c>
      <c r="R33" s="291">
        <v>0.98</v>
      </c>
      <c r="S33" s="194">
        <v>1.03</v>
      </c>
      <c r="T33" s="107">
        <v>1.1000000000000001</v>
      </c>
      <c r="U33" s="280">
        <v>0.98</v>
      </c>
      <c r="V33" s="61">
        <v>7.3830000000000009</v>
      </c>
      <c r="W33" s="61">
        <v>7.3814000000000011</v>
      </c>
      <c r="X33" s="197">
        <v>6.7895000000000012</v>
      </c>
      <c r="Y33" s="116" t="s">
        <v>250</v>
      </c>
      <c r="Z33" s="281">
        <v>0</v>
      </c>
      <c r="AA33" s="296">
        <v>-2.4300000000000002</v>
      </c>
      <c r="AB33" s="297">
        <v>10.467000000000001</v>
      </c>
      <c r="AC33" s="145">
        <v>10.458600000000001</v>
      </c>
      <c r="AD33" s="197">
        <v>9.6199999999999992</v>
      </c>
      <c r="AE33" s="238">
        <v>6.95</v>
      </c>
      <c r="AF33" s="133">
        <v>6.59</v>
      </c>
      <c r="AG33" s="202">
        <v>10.01</v>
      </c>
      <c r="AH33" s="242">
        <v>-5.2999999999999999E-2</v>
      </c>
      <c r="AI33" s="283">
        <v>1.5351999999999999</v>
      </c>
      <c r="AJ33" s="88">
        <v>1</v>
      </c>
      <c r="AK33" s="88">
        <v>1</v>
      </c>
      <c r="AL33" s="90">
        <v>1</v>
      </c>
      <c r="AM33" s="204">
        <v>1</v>
      </c>
      <c r="AN33" s="184">
        <v>0.31</v>
      </c>
      <c r="AO33" s="205">
        <v>0.13300000000000001</v>
      </c>
      <c r="AP33" s="72"/>
      <c r="AQ33" s="184">
        <v>-8.0073049367850704</v>
      </c>
      <c r="AR33" s="206">
        <v>-9.107248678841394</v>
      </c>
      <c r="AS33" s="72"/>
      <c r="AT33" s="273">
        <v>1.9800000000000002E-2</v>
      </c>
      <c r="AU33" s="72"/>
      <c r="AV33" s="184">
        <v>1.2500000000000001E-2</v>
      </c>
      <c r="AW33" s="244"/>
      <c r="AX33" s="90">
        <v>1.7000000000000001E-2</v>
      </c>
      <c r="AY33" s="90"/>
      <c r="AZ33" s="295">
        <v>1.0149999999999999</v>
      </c>
      <c r="BA33" s="295">
        <v>3.3849999999999998</v>
      </c>
      <c r="BB33" s="252">
        <v>1.0999437420563245</v>
      </c>
      <c r="BC33" s="247"/>
      <c r="BD33" s="90"/>
      <c r="BE33" s="72"/>
      <c r="BF33" s="151"/>
      <c r="BG33" s="72"/>
      <c r="BH33" s="125"/>
      <c r="BI33" s="125"/>
      <c r="BJ33" s="72"/>
      <c r="BK33" s="151"/>
      <c r="BL33" s="72"/>
      <c r="BM33" s="72"/>
      <c r="BN33" s="90"/>
      <c r="BO33" s="90"/>
      <c r="BP33" s="125"/>
      <c r="BQ33" s="72"/>
      <c r="BR33" s="125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72"/>
      <c r="CF33" s="72"/>
      <c r="CG33" s="72"/>
    </row>
    <row r="34" spans="1:85" x14ac:dyDescent="0.2">
      <c r="A34" s="354">
        <v>36951</v>
      </c>
      <c r="B34" s="277">
        <v>4.9980000000000002</v>
      </c>
      <c r="C34" s="284">
        <v>0.20979999999999999</v>
      </c>
      <c r="D34" s="188">
        <v>0.19489999999999999</v>
      </c>
      <c r="E34" s="188">
        <v>-1.37E-2</v>
      </c>
      <c r="F34" s="285">
        <v>0.33</v>
      </c>
      <c r="G34" s="286">
        <v>0.34</v>
      </c>
      <c r="H34" s="286">
        <v>0.39</v>
      </c>
      <c r="I34" s="287">
        <v>0.39</v>
      </c>
      <c r="J34" s="286">
        <v>0.24</v>
      </c>
      <c r="K34" s="286">
        <v>0.27</v>
      </c>
      <c r="L34" s="286">
        <v>0.63200000000000001</v>
      </c>
      <c r="M34" s="285">
        <v>-0.11799999999999999</v>
      </c>
      <c r="N34" s="286">
        <v>7.532</v>
      </c>
      <c r="O34" s="287">
        <v>3.3620000000000001</v>
      </c>
      <c r="P34" s="289">
        <v>0.21199999999999999</v>
      </c>
      <c r="Q34" s="290">
        <v>0.53</v>
      </c>
      <c r="R34" s="291">
        <v>0.88</v>
      </c>
      <c r="S34" s="194">
        <v>0.93</v>
      </c>
      <c r="T34" s="107">
        <v>0.98499999999999999</v>
      </c>
      <c r="U34" s="280">
        <v>0.88</v>
      </c>
      <c r="V34" s="61">
        <v>5.2077999999999998</v>
      </c>
      <c r="W34" s="61">
        <v>5.1928999999999998</v>
      </c>
      <c r="X34" s="197">
        <v>4.9843000000000002</v>
      </c>
      <c r="Y34" s="236"/>
      <c r="Z34" s="281">
        <v>0</v>
      </c>
      <c r="AA34" s="296">
        <v>-0.32750000000000001</v>
      </c>
      <c r="AB34" s="297">
        <v>7.6300999999999997</v>
      </c>
      <c r="AC34" s="145">
        <v>7.6082999999999998</v>
      </c>
      <c r="AD34" s="197">
        <v>7.3026999999999997</v>
      </c>
      <c r="AE34" s="238">
        <v>5.21</v>
      </c>
      <c r="AF34" s="133">
        <v>4.88</v>
      </c>
      <c r="AG34" s="202">
        <v>8.36</v>
      </c>
      <c r="AH34" s="242">
        <v>-0.16800000000000001</v>
      </c>
      <c r="AI34" s="283">
        <v>1.5755999999999999</v>
      </c>
      <c r="AJ34" s="88">
        <v>1</v>
      </c>
      <c r="AK34" s="88">
        <v>1</v>
      </c>
      <c r="AL34" s="90">
        <v>1</v>
      </c>
      <c r="AM34" s="204">
        <v>1</v>
      </c>
      <c r="AN34" s="184">
        <v>0.36</v>
      </c>
      <c r="AO34" s="205">
        <v>0.12</v>
      </c>
      <c r="AP34" s="72"/>
      <c r="AQ34" s="184">
        <v>-4.7933263682235738</v>
      </c>
      <c r="AR34" s="206">
        <v>-5.0031263682235743</v>
      </c>
      <c r="AS34" s="72"/>
      <c r="AT34" s="273">
        <v>1.78E-2</v>
      </c>
      <c r="AU34" s="72"/>
      <c r="AV34" s="184">
        <v>0</v>
      </c>
      <c r="AW34" s="244"/>
      <c r="AX34" s="90">
        <v>0.17199999999999999</v>
      </c>
      <c r="AY34" s="90"/>
      <c r="AZ34" s="295">
        <v>0.8</v>
      </c>
      <c r="BA34" s="295">
        <v>1</v>
      </c>
      <c r="BB34" s="252">
        <v>0.20979999999999999</v>
      </c>
      <c r="BC34" s="247"/>
      <c r="BD34" s="90"/>
      <c r="BE34" s="72"/>
      <c r="BF34" s="151"/>
      <c r="BG34" s="72"/>
      <c r="BH34" s="125"/>
      <c r="BI34" s="125"/>
      <c r="BJ34" s="72"/>
      <c r="BK34" s="151"/>
      <c r="BL34" s="72"/>
      <c r="BM34" s="72"/>
      <c r="BN34" s="90"/>
      <c r="BO34" s="90"/>
      <c r="BP34" s="125"/>
      <c r="BQ34" s="72"/>
      <c r="BR34" s="125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2"/>
      <c r="CF34" s="72"/>
      <c r="CG34" s="72"/>
    </row>
    <row r="35" spans="1:85" x14ac:dyDescent="0.2">
      <c r="A35" s="354">
        <v>36982</v>
      </c>
      <c r="B35" s="277">
        <v>5.3840000000000003</v>
      </c>
      <c r="C35" s="298">
        <v>-0.29140000000000033</v>
      </c>
      <c r="D35" s="188">
        <v>-0.30860000000000021</v>
      </c>
      <c r="E35" s="188">
        <v>-0.22110000000000074</v>
      </c>
      <c r="F35" s="285">
        <v>0.37599990000000005</v>
      </c>
      <c r="G35" s="286">
        <v>0.37599990000000005</v>
      </c>
      <c r="H35" s="286">
        <v>0.39599990000000007</v>
      </c>
      <c r="I35" s="287">
        <v>0.38599990000000006</v>
      </c>
      <c r="J35" s="286">
        <v>0.21599989999999999</v>
      </c>
      <c r="K35" s="286">
        <v>0.27600000000000002</v>
      </c>
      <c r="L35" s="286">
        <v>0.47600000000000003</v>
      </c>
      <c r="M35" s="285">
        <v>-0.81400000000000006</v>
      </c>
      <c r="N35" s="286">
        <v>7.1260000000000003</v>
      </c>
      <c r="O35" s="287">
        <v>2.016</v>
      </c>
      <c r="P35" s="299">
        <v>-1.4000000000000234E-2</v>
      </c>
      <c r="Q35" s="290">
        <v>0.40250000000000002</v>
      </c>
      <c r="R35" s="291">
        <v>0.59499999999999997</v>
      </c>
      <c r="S35" s="194">
        <v>0.59499999999999997</v>
      </c>
      <c r="T35" s="107">
        <v>0.5</v>
      </c>
      <c r="U35" s="280">
        <v>0.59499999999999997</v>
      </c>
      <c r="V35" s="61">
        <v>5.0926</v>
      </c>
      <c r="W35" s="61">
        <v>5.0754000000000001</v>
      </c>
      <c r="X35" s="197">
        <v>5.1628999999999996</v>
      </c>
      <c r="Y35" s="62"/>
      <c r="Z35" s="281">
        <v>0</v>
      </c>
      <c r="AA35" s="300">
        <v>0.10489999999999977</v>
      </c>
      <c r="AB35" s="301">
        <v>7.6013000000000002</v>
      </c>
      <c r="AC35" s="145">
        <v>7.5757000000000003</v>
      </c>
      <c r="AD35" s="197">
        <v>7.7061999999999999</v>
      </c>
      <c r="AE35" s="238">
        <v>5.37</v>
      </c>
      <c r="AF35" s="133">
        <v>4.57</v>
      </c>
      <c r="AG35" s="202">
        <v>7.4</v>
      </c>
      <c r="AH35" s="242">
        <v>-0.70400000000000007</v>
      </c>
      <c r="AI35" s="283">
        <v>1.5367999999999999</v>
      </c>
      <c r="AJ35" s="88">
        <v>1</v>
      </c>
      <c r="AK35" s="88">
        <v>1</v>
      </c>
      <c r="AL35" s="90">
        <v>1</v>
      </c>
      <c r="AM35" s="204">
        <v>1</v>
      </c>
      <c r="AN35" s="184">
        <v>0.37599990000000005</v>
      </c>
      <c r="AO35" s="205">
        <v>0.124</v>
      </c>
      <c r="AP35" s="72"/>
      <c r="AQ35" s="184">
        <v>-5.3120133306220723</v>
      </c>
      <c r="AR35" s="206">
        <v>-5.0206133306220719</v>
      </c>
      <c r="AS35" s="72"/>
      <c r="AT35" s="273">
        <v>0.01</v>
      </c>
      <c r="AU35" s="72"/>
      <c r="AV35" s="184">
        <v>2.5000000000000001E-3</v>
      </c>
      <c r="AW35" s="244"/>
      <c r="AX35" s="90">
        <v>3.6000000000000004E-2</v>
      </c>
      <c r="AY35" s="90"/>
      <c r="AZ35" s="302">
        <v>0.55000000000000004</v>
      </c>
      <c r="BA35" s="302">
        <v>0.55000000000000004</v>
      </c>
      <c r="BB35" s="252">
        <v>-0.29140000000000033</v>
      </c>
      <c r="BC35" s="247"/>
      <c r="BD35" s="90"/>
      <c r="BE35" s="72"/>
      <c r="BF35" s="151"/>
      <c r="BG35" s="72"/>
      <c r="BH35" s="125"/>
      <c r="BI35" s="125"/>
      <c r="BJ35" s="72"/>
      <c r="BK35" s="151"/>
      <c r="BL35" s="72"/>
      <c r="BM35" s="72"/>
      <c r="BN35" s="90"/>
      <c r="BO35" s="90"/>
      <c r="BP35" s="125"/>
      <c r="BQ35" s="72"/>
      <c r="BR35" s="125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  <c r="CD35" s="72"/>
      <c r="CE35" s="72"/>
      <c r="CF35" s="72"/>
      <c r="CG35" s="72"/>
    </row>
    <row r="36" spans="1:85" x14ac:dyDescent="0.2">
      <c r="A36" s="354">
        <v>37012</v>
      </c>
      <c r="B36" s="277">
        <v>4.891</v>
      </c>
      <c r="C36" s="303">
        <v>-4.4200000000000003E-2</v>
      </c>
      <c r="D36" s="188">
        <v>-6.0999999999999999E-2</v>
      </c>
      <c r="E36" s="188">
        <v>0.1205</v>
      </c>
      <c r="F36" s="285">
        <v>0.17900000000000002</v>
      </c>
      <c r="G36" s="286">
        <v>0.189</v>
      </c>
      <c r="H36" s="286">
        <v>0.17900000000000002</v>
      </c>
      <c r="I36" s="287">
        <v>0.17900000000000002</v>
      </c>
      <c r="J36" s="286">
        <v>0.13</v>
      </c>
      <c r="K36" s="286">
        <v>0.255</v>
      </c>
      <c r="L36" s="286">
        <v>0.439</v>
      </c>
      <c r="M36" s="285">
        <v>-0.79100000000000037</v>
      </c>
      <c r="N36" s="286">
        <v>10.079000000000001</v>
      </c>
      <c r="O36" s="287">
        <v>5.0890000000000004</v>
      </c>
      <c r="P36" s="239">
        <v>0.27899999999999991</v>
      </c>
      <c r="Q36" s="290">
        <v>0.25750000000000001</v>
      </c>
      <c r="R36" s="291">
        <v>0.45</v>
      </c>
      <c r="S36" s="194">
        <v>0.45</v>
      </c>
      <c r="T36" s="107">
        <v>0.45</v>
      </c>
      <c r="U36" s="280">
        <v>0.45</v>
      </c>
      <c r="V36" s="61">
        <v>4.8468</v>
      </c>
      <c r="W36" s="61">
        <v>4.83</v>
      </c>
      <c r="X36" s="197">
        <v>5.0114999999999998</v>
      </c>
      <c r="Y36" s="62"/>
      <c r="Z36" s="281">
        <v>0</v>
      </c>
      <c r="AA36" s="296">
        <v>-0.495</v>
      </c>
      <c r="AB36" s="301">
        <v>7.0457999999999998</v>
      </c>
      <c r="AC36" s="145">
        <v>7.0213999999999999</v>
      </c>
      <c r="AD36" s="197">
        <v>7.2851999999999997</v>
      </c>
      <c r="AE36" s="238">
        <v>5.17</v>
      </c>
      <c r="AF36" s="133">
        <v>4.0999999999999996</v>
      </c>
      <c r="AG36" s="202">
        <v>9.98</v>
      </c>
      <c r="AH36" s="242">
        <v>-0.66100000000000003</v>
      </c>
      <c r="AI36" s="283">
        <v>1.5371999999999999</v>
      </c>
      <c r="AJ36" s="88">
        <v>1</v>
      </c>
      <c r="AK36" s="88">
        <v>1</v>
      </c>
      <c r="AL36" s="90">
        <v>1</v>
      </c>
      <c r="AM36" s="204">
        <v>1</v>
      </c>
      <c r="AN36" s="184">
        <v>0.189</v>
      </c>
      <c r="AO36" s="205">
        <v>0.12</v>
      </c>
      <c r="AP36" s="72"/>
      <c r="AQ36" s="184">
        <v>-5.2306008489461355</v>
      </c>
      <c r="AR36" s="206">
        <v>-5.1864008489461355</v>
      </c>
      <c r="AS36" s="72"/>
      <c r="AT36" s="273">
        <v>0.01</v>
      </c>
      <c r="AU36" s="72"/>
      <c r="AV36" s="184">
        <v>2.5000000000000001E-3</v>
      </c>
      <c r="AW36" s="244"/>
      <c r="AX36" s="90">
        <v>-8.1000000000000003E-2</v>
      </c>
      <c r="AY36" s="90"/>
      <c r="AZ36" s="302">
        <v>0.63</v>
      </c>
      <c r="BA36" s="302">
        <v>0.5</v>
      </c>
      <c r="BB36" s="252">
        <v>-4.4200000000000003E-2</v>
      </c>
      <c r="BC36" s="247"/>
      <c r="BD36" s="90"/>
      <c r="BE36" s="72"/>
      <c r="BF36" s="151"/>
      <c r="BG36" s="72"/>
      <c r="BH36" s="125"/>
      <c r="BI36" s="125"/>
      <c r="BJ36" s="72"/>
      <c r="BK36" s="151"/>
      <c r="BL36" s="72"/>
      <c r="BM36" s="72"/>
      <c r="BN36" s="90"/>
      <c r="BO36" s="90"/>
      <c r="BP36" s="125"/>
      <c r="BQ36" s="72"/>
      <c r="BR36" s="125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2"/>
      <c r="CE36" s="72"/>
      <c r="CF36" s="72"/>
      <c r="CG36" s="72"/>
    </row>
    <row r="37" spans="1:85" x14ac:dyDescent="0.2">
      <c r="A37" s="354">
        <v>37043</v>
      </c>
      <c r="B37" s="277">
        <v>3.738</v>
      </c>
      <c r="C37" s="303">
        <v>3.2300000000000002E-2</v>
      </c>
      <c r="D37" s="188">
        <v>1.26E-2</v>
      </c>
      <c r="E37" s="188">
        <v>0.17752961777196941</v>
      </c>
      <c r="F37" s="285">
        <v>0.2</v>
      </c>
      <c r="G37" s="286">
        <v>0.20749999999999999</v>
      </c>
      <c r="H37" s="286">
        <v>0.20749999999999999</v>
      </c>
      <c r="I37" s="287">
        <v>0.20749999999999999</v>
      </c>
      <c r="J37" s="286">
        <v>8.5000000000000006E-2</v>
      </c>
      <c r="K37" s="286">
        <v>0.185</v>
      </c>
      <c r="L37" s="286">
        <v>0.39200000000000002</v>
      </c>
      <c r="M37" s="285">
        <v>-1.1280000000000001</v>
      </c>
      <c r="N37" s="286">
        <v>7.9620000000000006</v>
      </c>
      <c r="O37" s="287">
        <v>2.1219999999999999</v>
      </c>
      <c r="P37" s="239">
        <v>0.22199999999999998</v>
      </c>
      <c r="Q37" s="290">
        <v>0.2</v>
      </c>
      <c r="R37" s="291">
        <v>0.53</v>
      </c>
      <c r="S37" s="194">
        <v>0.53</v>
      </c>
      <c r="T37" s="107">
        <v>0.43</v>
      </c>
      <c r="U37" s="280">
        <v>0.53</v>
      </c>
      <c r="V37" s="61">
        <v>3.7703000000000002</v>
      </c>
      <c r="W37" s="61">
        <v>3.7505999999999999</v>
      </c>
      <c r="X37" s="197">
        <v>3.9155296177719694</v>
      </c>
      <c r="Y37" s="304" t="s">
        <v>253</v>
      </c>
      <c r="Z37" s="281">
        <v>0</v>
      </c>
      <c r="AA37" s="296">
        <v>0.19500000000000001</v>
      </c>
      <c r="AB37" s="301">
        <v>5.4749999999999996</v>
      </c>
      <c r="AC37" s="145">
        <v>5.4463999999999997</v>
      </c>
      <c r="AD37" s="197">
        <v>5.68</v>
      </c>
      <c r="AE37" s="238">
        <v>3.96</v>
      </c>
      <c r="AF37" s="133">
        <v>2.61</v>
      </c>
      <c r="AG37" s="202">
        <v>5.86</v>
      </c>
      <c r="AH37" s="242">
        <v>-0.59799999999999998</v>
      </c>
      <c r="AI37" s="283">
        <v>1.5170000000000001</v>
      </c>
      <c r="AJ37" s="88">
        <v>1</v>
      </c>
      <c r="AK37" s="88">
        <v>1</v>
      </c>
      <c r="AL37" s="90">
        <v>1</v>
      </c>
      <c r="AM37" s="204">
        <v>1</v>
      </c>
      <c r="AN37" s="184">
        <v>0.20749999999999999</v>
      </c>
      <c r="AO37" s="205">
        <v>0.124</v>
      </c>
      <c r="AP37" s="72"/>
      <c r="AQ37" s="184">
        <v>-3.6024364370468027</v>
      </c>
      <c r="AR37" s="206">
        <v>-3.6347364370468029</v>
      </c>
      <c r="AS37" s="72"/>
      <c r="AT37" s="273">
        <v>0.01</v>
      </c>
      <c r="AU37" s="72"/>
      <c r="AV37" s="184">
        <v>5.0000000000000001E-3</v>
      </c>
      <c r="AW37" s="244"/>
      <c r="AX37" s="90">
        <v>-9.8000000000000004E-2</v>
      </c>
      <c r="AY37" s="90"/>
      <c r="AZ37" s="302">
        <v>0.63500000000000001</v>
      </c>
      <c r="BA37" s="302">
        <v>0.5</v>
      </c>
      <c r="BB37" s="252">
        <v>3.2300000000000002E-2</v>
      </c>
      <c r="BC37" s="247"/>
      <c r="BD37" s="90"/>
      <c r="BE37" s="72"/>
      <c r="BF37" s="151"/>
      <c r="BG37" s="72"/>
      <c r="BH37" s="125"/>
      <c r="BI37" s="125"/>
      <c r="BJ37" s="72"/>
      <c r="BK37" s="151"/>
      <c r="BL37" s="72"/>
      <c r="BM37" s="72"/>
      <c r="BN37" s="90"/>
      <c r="BO37" s="90"/>
      <c r="BP37" s="125"/>
      <c r="BQ37" s="72"/>
      <c r="BR37" s="125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  <c r="CD37" s="72"/>
      <c r="CE37" s="72"/>
      <c r="CF37" s="72"/>
      <c r="CG37" s="72"/>
    </row>
    <row r="38" spans="1:85" x14ac:dyDescent="0.2">
      <c r="A38" s="354">
        <v>37073</v>
      </c>
      <c r="B38" s="277">
        <v>3.1819999999999999</v>
      </c>
      <c r="C38" s="303">
        <v>-0.21763575271925628</v>
      </c>
      <c r="D38" s="188">
        <v>-0.21763575271925628</v>
      </c>
      <c r="E38" s="188">
        <v>-0.21763575271925628</v>
      </c>
      <c r="F38" s="285">
        <v>0.09</v>
      </c>
      <c r="G38" s="286">
        <v>0.08</v>
      </c>
      <c r="H38" s="286">
        <v>0.1</v>
      </c>
      <c r="I38" s="287">
        <v>7.0000000000000007E-2</v>
      </c>
      <c r="J38" s="286">
        <v>1.4999999999999999E-2</v>
      </c>
      <c r="K38" s="286">
        <v>0.105</v>
      </c>
      <c r="L38" s="286">
        <v>0.45</v>
      </c>
      <c r="M38" s="285">
        <v>-1.18</v>
      </c>
      <c r="N38" s="286">
        <v>1.63</v>
      </c>
      <c r="O38" s="287">
        <v>0.06</v>
      </c>
      <c r="P38" s="239">
        <v>-0.48499999999999999</v>
      </c>
      <c r="Q38" s="290">
        <v>0.15</v>
      </c>
      <c r="R38" s="291">
        <v>0.4</v>
      </c>
      <c r="S38" s="194">
        <v>0.4</v>
      </c>
      <c r="T38" s="107">
        <v>0.48</v>
      </c>
      <c r="U38" s="280">
        <v>0.4</v>
      </c>
      <c r="V38" s="61">
        <v>2.9643642472807437</v>
      </c>
      <c r="W38" s="61">
        <v>2.9643642472807437</v>
      </c>
      <c r="X38" s="197">
        <v>2.9643642472807437</v>
      </c>
      <c r="Y38" s="236">
        <v>4.5722676509509119</v>
      </c>
      <c r="Z38" s="281">
        <v>0</v>
      </c>
      <c r="AA38" s="296">
        <v>0</v>
      </c>
      <c r="AB38" s="301">
        <v>4.2625000000000002</v>
      </c>
      <c r="AC38" s="145">
        <v>4.2625000000000002</v>
      </c>
      <c r="AD38" s="197">
        <v>4.2625000000000002</v>
      </c>
      <c r="AE38" s="238">
        <v>2.6970000000000001</v>
      </c>
      <c r="AF38" s="133">
        <v>2.0019999999999998</v>
      </c>
      <c r="AG38" s="202">
        <v>3.242</v>
      </c>
      <c r="AH38" s="242">
        <v>-0.82</v>
      </c>
      <c r="AI38" s="283">
        <v>1.5170794898519397</v>
      </c>
      <c r="AJ38" s="88">
        <v>4.5426041065706801E-2</v>
      </c>
      <c r="AK38" s="88">
        <v>4.05386243415196E-2</v>
      </c>
      <c r="AL38" s="90">
        <v>0.99950820758910508</v>
      </c>
      <c r="AM38" s="204">
        <v>0.99956058119453473</v>
      </c>
      <c r="AN38" s="184">
        <v>0.1</v>
      </c>
      <c r="AO38" s="205">
        <v>0.12</v>
      </c>
      <c r="AP38" s="72"/>
      <c r="AQ38" s="184">
        <v>-3.3970000000000002</v>
      </c>
      <c r="AR38" s="206">
        <v>-3.179364247280744</v>
      </c>
      <c r="AS38" s="72"/>
      <c r="AT38" s="273">
        <v>0.01</v>
      </c>
      <c r="AU38" s="72"/>
      <c r="AV38" s="184">
        <v>5.0000000000000001E-3</v>
      </c>
      <c r="AW38" s="244"/>
      <c r="AX38" s="90">
        <v>-0.16</v>
      </c>
      <c r="AY38" s="90"/>
      <c r="AZ38" s="302">
        <v>0.67500000000000004</v>
      </c>
      <c r="BA38" s="302">
        <v>0.55000000000000004</v>
      </c>
      <c r="BB38" s="252">
        <v>-0.21763575271925628</v>
      </c>
      <c r="BC38" s="247"/>
      <c r="BD38" s="90"/>
      <c r="BE38" s="72"/>
      <c r="BF38" s="151"/>
      <c r="BG38" s="72"/>
      <c r="BH38" s="125"/>
      <c r="BI38" s="125"/>
      <c r="BJ38" s="72"/>
      <c r="BK38" s="151"/>
      <c r="BL38" s="72"/>
      <c r="BM38" s="72"/>
      <c r="BN38" s="90"/>
      <c r="BO38" s="90"/>
      <c r="BP38" s="125"/>
      <c r="BQ38" s="72"/>
      <c r="BR38" s="125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2"/>
      <c r="CF38" s="72"/>
      <c r="CG38" s="72"/>
    </row>
    <row r="39" spans="1:85" x14ac:dyDescent="0.2">
      <c r="A39" s="354">
        <v>37104</v>
      </c>
      <c r="B39" s="277">
        <v>3.286</v>
      </c>
      <c r="C39" s="303">
        <v>-0.61499999999999999</v>
      </c>
      <c r="D39" s="188">
        <v>-0.61499999999999999</v>
      </c>
      <c r="E39" s="188">
        <v>-0.61673761430524854</v>
      </c>
      <c r="F39" s="285">
        <v>0.02</v>
      </c>
      <c r="G39" s="286">
        <v>2.5000000000000001E-2</v>
      </c>
      <c r="H39" s="286">
        <v>4.4999999999999998E-2</v>
      </c>
      <c r="I39" s="287">
        <v>1.4999999999999999E-2</v>
      </c>
      <c r="J39" s="286">
        <v>1.4999999999999999E-2</v>
      </c>
      <c r="K39" s="286">
        <v>0.06</v>
      </c>
      <c r="L39" s="286">
        <v>0.42</v>
      </c>
      <c r="M39" s="285">
        <v>-1.21</v>
      </c>
      <c r="N39" s="286">
        <v>1.78</v>
      </c>
      <c r="O39" s="287">
        <v>0.4</v>
      </c>
      <c r="P39" s="239">
        <v>-0.62</v>
      </c>
      <c r="Q39" s="290">
        <v>0.51749999999999996</v>
      </c>
      <c r="R39" s="291">
        <v>0.60750000000000004</v>
      </c>
      <c r="S39" s="194">
        <v>0.60750000000000004</v>
      </c>
      <c r="T39" s="107">
        <v>0.53</v>
      </c>
      <c r="U39" s="280">
        <v>0.60750000000000004</v>
      </c>
      <c r="V39" s="61">
        <v>2.6710000000000003</v>
      </c>
      <c r="W39" s="61">
        <v>2.6709999999999998</v>
      </c>
      <c r="X39" s="197">
        <v>2.6692623856947515</v>
      </c>
      <c r="Y39" s="236">
        <v>4.8967887061129094</v>
      </c>
      <c r="Z39" s="281">
        <v>0</v>
      </c>
      <c r="AA39" s="296">
        <v>-2.5000000000000001E-3</v>
      </c>
      <c r="AB39" s="301">
        <v>3.8429126531881219</v>
      </c>
      <c r="AC39" s="145">
        <v>3.8429126531881219</v>
      </c>
      <c r="AD39" s="197">
        <v>3.840412653188122</v>
      </c>
      <c r="AE39" s="238">
        <v>2.6659999999999999</v>
      </c>
      <c r="AF39" s="133">
        <v>2.0760000000000001</v>
      </c>
      <c r="AG39" s="202">
        <v>3.6859999999999999</v>
      </c>
      <c r="AH39" s="242">
        <v>-0.68500000000000005</v>
      </c>
      <c r="AI39" s="283">
        <v>1.51796632430627</v>
      </c>
      <c r="AJ39" s="88">
        <v>4.5282563402003102E-2</v>
      </c>
      <c r="AK39" s="88">
        <v>3.8497979424624997E-2</v>
      </c>
      <c r="AL39" s="90">
        <v>0.99571839409072882</v>
      </c>
      <c r="AM39" s="204">
        <v>0.99635266362692299</v>
      </c>
      <c r="AN39" s="184">
        <v>0.03</v>
      </c>
      <c r="AO39" s="205">
        <v>0.12</v>
      </c>
      <c r="AP39" s="72"/>
      <c r="AQ39" s="184">
        <v>-3.4807368880045511</v>
      </c>
      <c r="AR39" s="206">
        <v>-2.8657368880045508</v>
      </c>
      <c r="AS39" s="72"/>
      <c r="AT39" s="273">
        <v>0.01</v>
      </c>
      <c r="AU39" s="72"/>
      <c r="AV39" s="184">
        <v>2.5000000000000001E-3</v>
      </c>
      <c r="AW39" s="244"/>
      <c r="AX39" s="90">
        <v>-0.16</v>
      </c>
      <c r="AY39" s="90"/>
      <c r="AZ39" s="302">
        <v>0.72499999999999998</v>
      </c>
      <c r="BA39" s="302">
        <v>0.6</v>
      </c>
      <c r="BB39" s="252">
        <v>-0.61499999999999999</v>
      </c>
      <c r="BC39" s="247"/>
      <c r="BD39" s="90"/>
      <c r="BE39" s="72"/>
      <c r="BF39" s="151"/>
      <c r="BG39" s="72"/>
      <c r="BH39" s="125"/>
      <c r="BI39" s="125"/>
      <c r="BJ39" s="72"/>
      <c r="BK39" s="151"/>
      <c r="BL39" s="72"/>
      <c r="BM39" s="72"/>
      <c r="BN39" s="90"/>
      <c r="BO39" s="90"/>
      <c r="BP39" s="125"/>
      <c r="BQ39" s="72"/>
      <c r="BR39" s="125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2"/>
      <c r="CF39" s="72"/>
      <c r="CG39" s="72"/>
    </row>
    <row r="40" spans="1:85" x14ac:dyDescent="0.2">
      <c r="A40" s="354">
        <v>37135</v>
      </c>
      <c r="B40" s="277">
        <v>3.3530000000000002</v>
      </c>
      <c r="C40" s="303">
        <v>-0.60499999999999998</v>
      </c>
      <c r="D40" s="188">
        <v>-0.60499999999999998</v>
      </c>
      <c r="E40" s="188">
        <v>-0.60326322705694757</v>
      </c>
      <c r="F40" s="285">
        <v>3.2500000000000001E-2</v>
      </c>
      <c r="G40" s="286">
        <v>3.7499999999999999E-2</v>
      </c>
      <c r="H40" s="286">
        <v>5.7500000000000002E-2</v>
      </c>
      <c r="I40" s="287">
        <v>2.75E-2</v>
      </c>
      <c r="J40" s="286">
        <v>1.4999999999999999E-2</v>
      </c>
      <c r="K40" s="286">
        <v>0.06</v>
      </c>
      <c r="L40" s="286">
        <v>0.35</v>
      </c>
      <c r="M40" s="285">
        <v>-1.21</v>
      </c>
      <c r="N40" s="286">
        <v>1.38</v>
      </c>
      <c r="O40" s="287">
        <v>0.2</v>
      </c>
      <c r="P40" s="239">
        <v>-0.56999999999999995</v>
      </c>
      <c r="Q40" s="290">
        <v>0.5575</v>
      </c>
      <c r="R40" s="291">
        <v>0.6</v>
      </c>
      <c r="S40" s="194">
        <v>0.6</v>
      </c>
      <c r="T40" s="107">
        <v>0.53</v>
      </c>
      <c r="U40" s="280">
        <v>0.6</v>
      </c>
      <c r="V40" s="61">
        <v>2.7480000000000002</v>
      </c>
      <c r="W40" s="61">
        <v>2.7480000000000007</v>
      </c>
      <c r="X40" s="197">
        <v>2.7497367729430526</v>
      </c>
      <c r="Y40" s="236">
        <v>4.340466897263771</v>
      </c>
      <c r="Z40" s="281">
        <v>0</v>
      </c>
      <c r="AA40" s="296">
        <v>2.5000000000000001E-3</v>
      </c>
      <c r="AB40" s="301">
        <v>3.9556120605656968</v>
      </c>
      <c r="AC40" s="145">
        <v>3.9556120605656968</v>
      </c>
      <c r="AD40" s="197">
        <v>3.9581120605656968</v>
      </c>
      <c r="AE40" s="238">
        <v>2.7830000000000004</v>
      </c>
      <c r="AF40" s="133">
        <v>2.1430000000000002</v>
      </c>
      <c r="AG40" s="202">
        <v>3.5530000000000004</v>
      </c>
      <c r="AH40" s="242">
        <v>-0.67</v>
      </c>
      <c r="AI40" s="283">
        <v>1.5187016878355899</v>
      </c>
      <c r="AJ40" s="88">
        <v>4.4470297587383203E-2</v>
      </c>
      <c r="AK40" s="88">
        <v>3.8137807971118799E-2</v>
      </c>
      <c r="AL40" s="90">
        <v>0.99208383350994045</v>
      </c>
      <c r="AM40" s="204">
        <v>0.99319669902831276</v>
      </c>
      <c r="AN40" s="184">
        <v>4.2500000000000003E-2</v>
      </c>
      <c r="AO40" s="205">
        <v>0.124</v>
      </c>
      <c r="AP40" s="72"/>
      <c r="AQ40" s="184">
        <v>-3.5332639530059669</v>
      </c>
      <c r="AR40" s="206">
        <v>-2.9282639530059669</v>
      </c>
      <c r="AS40" s="72"/>
      <c r="AT40" s="273">
        <v>0.01</v>
      </c>
      <c r="AU40" s="72"/>
      <c r="AV40" s="184">
        <v>7.4999999999999997E-3</v>
      </c>
      <c r="AW40" s="244"/>
      <c r="AX40" s="90">
        <v>-0.16</v>
      </c>
      <c r="AY40" s="90"/>
      <c r="AZ40" s="302">
        <v>0.72499999999999998</v>
      </c>
      <c r="BA40" s="302">
        <v>0.6</v>
      </c>
      <c r="BB40" s="252">
        <v>-0.60499999999999998</v>
      </c>
      <c r="BC40" s="247"/>
      <c r="BD40" s="90"/>
      <c r="BE40" s="72"/>
      <c r="BF40" s="151"/>
      <c r="BG40" s="72"/>
      <c r="BH40" s="125"/>
      <c r="BI40" s="125"/>
      <c r="BJ40" s="72"/>
      <c r="BK40" s="151"/>
      <c r="BL40" s="72"/>
      <c r="BM40" s="72"/>
      <c r="BN40" s="90"/>
      <c r="BO40" s="90"/>
      <c r="BP40" s="125"/>
      <c r="BQ40" s="72"/>
      <c r="BR40" s="125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  <c r="CD40" s="72"/>
      <c r="CE40" s="72"/>
      <c r="CF40" s="72"/>
      <c r="CG40" s="72"/>
    </row>
    <row r="41" spans="1:85" x14ac:dyDescent="0.2">
      <c r="A41" s="354">
        <v>37165</v>
      </c>
      <c r="B41" s="277">
        <v>3.4280000000000004</v>
      </c>
      <c r="C41" s="303">
        <v>-0.57999999999999996</v>
      </c>
      <c r="D41" s="188">
        <v>-0.57999999999999996</v>
      </c>
      <c r="E41" s="188">
        <v>-0.378634782092508</v>
      </c>
      <c r="F41" s="285">
        <v>3.5000000000000003E-2</v>
      </c>
      <c r="G41" s="286">
        <v>0.04</v>
      </c>
      <c r="H41" s="286">
        <v>0.06</v>
      </c>
      <c r="I41" s="287">
        <v>0.03</v>
      </c>
      <c r="J41" s="286">
        <v>1.4999999999999999E-2</v>
      </c>
      <c r="K41" s="286">
        <v>0.06</v>
      </c>
      <c r="L41" s="286">
        <v>0.4</v>
      </c>
      <c r="M41" s="285">
        <v>-0.85</v>
      </c>
      <c r="N41" s="286">
        <v>0.93</v>
      </c>
      <c r="O41" s="287">
        <v>0.2</v>
      </c>
      <c r="P41" s="239">
        <v>-0.36</v>
      </c>
      <c r="Q41" s="290">
        <v>0.56999999999999995</v>
      </c>
      <c r="R41" s="291">
        <v>0.59750000000000003</v>
      </c>
      <c r="S41" s="194">
        <v>0.59750000000000003</v>
      </c>
      <c r="T41" s="107">
        <v>0.57999999999999996</v>
      </c>
      <c r="U41" s="280">
        <v>0.59750000000000003</v>
      </c>
      <c r="V41" s="61">
        <v>2.8480000000000003</v>
      </c>
      <c r="W41" s="61">
        <v>2.8479999999999999</v>
      </c>
      <c r="X41" s="197">
        <v>3.0493652179074924</v>
      </c>
      <c r="Y41" s="116" t="s">
        <v>252</v>
      </c>
      <c r="Z41" s="281">
        <v>0</v>
      </c>
      <c r="AA41" s="296">
        <v>0.28999999999999998</v>
      </c>
      <c r="AB41" s="301">
        <v>4.1016020968399287</v>
      </c>
      <c r="AC41" s="145">
        <v>4.1016020968399287</v>
      </c>
      <c r="AD41" s="197">
        <v>4.3916020968399287</v>
      </c>
      <c r="AE41" s="238">
        <v>3.0680000000000005</v>
      </c>
      <c r="AF41" s="133">
        <v>2.5780000000000003</v>
      </c>
      <c r="AG41" s="202">
        <v>3.6280000000000006</v>
      </c>
      <c r="AH41" s="242">
        <v>-0.4</v>
      </c>
      <c r="AI41" s="283">
        <v>1.5194592352119198</v>
      </c>
      <c r="AJ41" s="88">
        <v>4.4180344330150896E-2</v>
      </c>
      <c r="AK41" s="88">
        <v>3.78910494611557E-2</v>
      </c>
      <c r="AL41" s="90">
        <v>0.98858002476280349</v>
      </c>
      <c r="AM41" s="204">
        <v>0.99018262911790988</v>
      </c>
      <c r="AN41" s="184">
        <v>4.4999999999999998E-2</v>
      </c>
      <c r="AO41" s="205">
        <v>0.12</v>
      </c>
      <c r="AP41" s="72"/>
      <c r="AQ41" s="184">
        <v>-3.3987189501945774</v>
      </c>
      <c r="AR41" s="206">
        <v>-2.8187189501945773</v>
      </c>
      <c r="AS41" s="72"/>
      <c r="AT41" s="273">
        <v>0.01</v>
      </c>
      <c r="AU41" s="72"/>
      <c r="AV41" s="184">
        <v>7.4999999999999997E-3</v>
      </c>
      <c r="AW41" s="244"/>
      <c r="AX41" s="90">
        <v>-0.16</v>
      </c>
      <c r="AY41" s="90"/>
      <c r="AZ41" s="302">
        <v>0.77500000000000002</v>
      </c>
      <c r="BA41" s="302">
        <v>0.65</v>
      </c>
      <c r="BB41" s="252">
        <v>-0.57999999999999996</v>
      </c>
      <c r="BC41" s="247"/>
      <c r="BD41" s="90"/>
      <c r="BE41" s="72"/>
      <c r="BF41" s="151"/>
      <c r="BG41" s="72"/>
      <c r="BH41" s="125"/>
      <c r="BI41" s="125"/>
      <c r="BJ41" s="72"/>
      <c r="BK41" s="151"/>
      <c r="BL41" s="72"/>
      <c r="BM41" s="72"/>
      <c r="BN41" s="90"/>
      <c r="BO41" s="90"/>
      <c r="BP41" s="125"/>
      <c r="BQ41" s="72"/>
      <c r="BR41" s="125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  <c r="CD41" s="72"/>
      <c r="CE41" s="72"/>
      <c r="CF41" s="72"/>
      <c r="CG41" s="72"/>
    </row>
    <row r="42" spans="1:85" x14ac:dyDescent="0.2">
      <c r="A42" s="353">
        <v>37196</v>
      </c>
      <c r="B42" s="277">
        <v>3.7</v>
      </c>
      <c r="C42" s="284">
        <v>-0.48499999999999999</v>
      </c>
      <c r="D42" s="188">
        <v>-0.38263106266076274</v>
      </c>
      <c r="E42" s="188">
        <v>-0.27679199185239867</v>
      </c>
      <c r="F42" s="285">
        <v>0.155</v>
      </c>
      <c r="G42" s="286">
        <v>0.28499999999999998</v>
      </c>
      <c r="H42" s="286">
        <v>0.3</v>
      </c>
      <c r="I42" s="287">
        <v>0.43</v>
      </c>
      <c r="J42" s="286">
        <v>7.0000000000000007E-2</v>
      </c>
      <c r="K42" s="286">
        <v>0.1</v>
      </c>
      <c r="L42" s="286">
        <v>0.55000000000000004</v>
      </c>
      <c r="M42" s="285">
        <v>-0.375</v>
      </c>
      <c r="N42" s="286">
        <v>0.91</v>
      </c>
      <c r="O42" s="287">
        <v>0.63</v>
      </c>
      <c r="P42" s="305">
        <v>0.39700000000000002</v>
      </c>
      <c r="Q42" s="215">
        <v>0.58499999999999996</v>
      </c>
      <c r="R42" s="291">
        <v>0.59750000000000003</v>
      </c>
      <c r="S42" s="194">
        <v>0.74750000000000005</v>
      </c>
      <c r="T42" s="107">
        <v>0.8</v>
      </c>
      <c r="U42" s="280">
        <v>0.59750000000000003</v>
      </c>
      <c r="V42" s="61">
        <v>3.2149999999999999</v>
      </c>
      <c r="W42" s="61">
        <v>3.3173689373392374</v>
      </c>
      <c r="X42" s="197">
        <v>3.4232080081476015</v>
      </c>
      <c r="Y42" s="236"/>
      <c r="Z42" s="281">
        <v>0.14749999999999999</v>
      </c>
      <c r="AA42" s="296">
        <v>0.3</v>
      </c>
      <c r="AB42" s="301">
        <v>4.63238666265062</v>
      </c>
      <c r="AC42" s="145">
        <v>4.77988666265062</v>
      </c>
      <c r="AD42" s="197">
        <v>4.9323866626506199</v>
      </c>
      <c r="AE42" s="238">
        <v>4.0970000000000004</v>
      </c>
      <c r="AF42" s="133">
        <v>3.3250000000000002</v>
      </c>
      <c r="AG42" s="202">
        <v>4.33</v>
      </c>
      <c r="AH42" s="242">
        <v>-0.27</v>
      </c>
      <c r="AI42" s="283">
        <v>1.5201951299376399</v>
      </c>
      <c r="AJ42" s="88">
        <v>4.4107819905716106E-2</v>
      </c>
      <c r="AK42" s="88">
        <v>3.7932642032438804E-2</v>
      </c>
      <c r="AL42" s="90">
        <v>0.98494455377870493</v>
      </c>
      <c r="AM42" s="204">
        <v>0.98701905992945826</v>
      </c>
      <c r="AN42" s="184">
        <v>0.29499999999999998</v>
      </c>
      <c r="AO42" s="205">
        <v>0.124</v>
      </c>
      <c r="AP42" s="72"/>
      <c r="AQ42" s="184">
        <v>-3.651879020153828</v>
      </c>
      <c r="AR42" s="206">
        <v>-3.1668790201538282</v>
      </c>
      <c r="AS42" s="72"/>
      <c r="AT42" s="306">
        <v>7.4999999999999997E-3</v>
      </c>
      <c r="AU42" s="72"/>
      <c r="AV42" s="184">
        <v>5.0000000000000001E-3</v>
      </c>
      <c r="AW42" s="244"/>
      <c r="AX42" s="90">
        <v>0.01</v>
      </c>
      <c r="AY42" s="90"/>
      <c r="AZ42" s="302">
        <v>0.9</v>
      </c>
      <c r="BA42" s="302">
        <v>1</v>
      </c>
      <c r="BB42" s="252">
        <v>-0.48499999999999999</v>
      </c>
      <c r="BC42" s="247"/>
      <c r="BD42" s="90"/>
      <c r="BE42" s="72"/>
      <c r="BF42" s="151"/>
      <c r="BG42" s="72"/>
      <c r="BH42" s="125"/>
      <c r="BI42" s="125"/>
      <c r="BJ42" s="72"/>
      <c r="BK42" s="151"/>
      <c r="BL42" s="72"/>
      <c r="BM42" s="72"/>
      <c r="BN42" s="90"/>
      <c r="BO42" s="90"/>
      <c r="BP42" s="125"/>
      <c r="BQ42" s="72"/>
      <c r="BR42" s="125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  <c r="CD42" s="72"/>
      <c r="CE42" s="72"/>
      <c r="CF42" s="72"/>
      <c r="CG42" s="72"/>
    </row>
    <row r="43" spans="1:85" x14ac:dyDescent="0.2">
      <c r="A43" s="354">
        <v>37226</v>
      </c>
      <c r="B43" s="277">
        <v>3.9649999999999999</v>
      </c>
      <c r="C43" s="307">
        <v>-0.48499999999999999</v>
      </c>
      <c r="D43" s="188">
        <v>-0.3826771705885319</v>
      </c>
      <c r="E43" s="188">
        <v>-0.2768857706885397</v>
      </c>
      <c r="F43" s="285">
        <v>0.16</v>
      </c>
      <c r="G43" s="286">
        <v>0.28999999999999998</v>
      </c>
      <c r="H43" s="286">
        <v>0.30499999999999999</v>
      </c>
      <c r="I43" s="287">
        <v>0.435</v>
      </c>
      <c r="J43" s="286">
        <v>0.105</v>
      </c>
      <c r="K43" s="286">
        <v>0.11</v>
      </c>
      <c r="L43" s="286">
        <v>0.87</v>
      </c>
      <c r="M43" s="285">
        <v>-0.375</v>
      </c>
      <c r="N43" s="286">
        <v>0.91</v>
      </c>
      <c r="O43" s="287">
        <v>0.88</v>
      </c>
      <c r="P43" s="305">
        <v>0.92200000000000004</v>
      </c>
      <c r="Q43" s="215">
        <v>0.6</v>
      </c>
      <c r="R43" s="291">
        <v>0.6</v>
      </c>
      <c r="S43" s="194">
        <v>0.85</v>
      </c>
      <c r="T43" s="107">
        <v>1</v>
      </c>
      <c r="U43" s="280">
        <v>0.6</v>
      </c>
      <c r="V43" s="61">
        <v>3.48</v>
      </c>
      <c r="W43" s="61">
        <v>3.582322829411468</v>
      </c>
      <c r="X43" s="197">
        <v>3.6881142293114602</v>
      </c>
      <c r="Y43" s="116" t="s">
        <v>250</v>
      </c>
      <c r="Z43" s="281">
        <v>0.14749999999999999</v>
      </c>
      <c r="AA43" s="296">
        <v>0.3</v>
      </c>
      <c r="AB43" s="301">
        <v>5.0164758241377427</v>
      </c>
      <c r="AC43" s="145">
        <v>5.1639758241377427</v>
      </c>
      <c r="AD43" s="197">
        <v>5.3164758241377426</v>
      </c>
      <c r="AE43" s="238">
        <v>4.8869999999999996</v>
      </c>
      <c r="AF43" s="133">
        <v>3.59</v>
      </c>
      <c r="AG43" s="202">
        <v>4.8449999999999998</v>
      </c>
      <c r="AH43" s="242">
        <v>-0.27</v>
      </c>
      <c r="AI43" s="283">
        <v>1.5208801485952501</v>
      </c>
      <c r="AJ43" s="88">
        <v>4.4037634980520504E-2</v>
      </c>
      <c r="AK43" s="88">
        <v>3.7972892908427106E-2</v>
      </c>
      <c r="AL43" s="90">
        <v>0.98145034252406016</v>
      </c>
      <c r="AM43" s="204">
        <v>0.98396067421018707</v>
      </c>
      <c r="AN43" s="184">
        <v>0.3</v>
      </c>
      <c r="AO43" s="205">
        <v>0.12</v>
      </c>
      <c r="AP43" s="72"/>
      <c r="AQ43" s="184">
        <v>-3.9019727597916076</v>
      </c>
      <c r="AR43" s="206">
        <v>-3.4169727597916077</v>
      </c>
      <c r="AS43" s="72"/>
      <c r="AT43" s="273">
        <v>7.4999999999999997E-3</v>
      </c>
      <c r="AU43" s="72"/>
      <c r="AV43" s="184">
        <v>5.0000000000000001E-3</v>
      </c>
      <c r="AW43" s="244"/>
      <c r="AX43" s="90">
        <v>2.5000000000000001E-2</v>
      </c>
      <c r="AY43" s="90"/>
      <c r="AZ43" s="302">
        <v>1.1000000000000001</v>
      </c>
      <c r="BA43" s="302">
        <v>1.2</v>
      </c>
      <c r="BB43" s="252">
        <v>-0.48499999999999999</v>
      </c>
      <c r="BC43" s="247"/>
      <c r="BD43" s="90"/>
      <c r="BE43" s="72"/>
      <c r="BF43" s="151"/>
      <c r="BG43" s="72"/>
      <c r="BH43" s="125"/>
      <c r="BI43" s="125"/>
      <c r="BJ43" s="72"/>
      <c r="BK43" s="151"/>
      <c r="BL43" s="72"/>
      <c r="BM43" s="72"/>
      <c r="BN43" s="90"/>
      <c r="BO43" s="90"/>
      <c r="BP43" s="125"/>
      <c r="BQ43" s="72"/>
      <c r="BR43" s="125"/>
      <c r="BS43" s="72"/>
      <c r="BT43" s="72"/>
      <c r="BU43" s="72"/>
      <c r="BV43" s="72"/>
      <c r="BW43" s="72"/>
      <c r="BX43" s="72"/>
      <c r="BY43" s="72"/>
      <c r="BZ43" s="72"/>
      <c r="CA43" s="72"/>
      <c r="CB43" s="72"/>
      <c r="CC43" s="72"/>
      <c r="CD43" s="72"/>
      <c r="CE43" s="72"/>
      <c r="CF43" s="72"/>
      <c r="CG43" s="72"/>
    </row>
    <row r="44" spans="1:85" x14ac:dyDescent="0.2">
      <c r="A44" s="354">
        <v>37257</v>
      </c>
      <c r="B44" s="277">
        <v>4.048</v>
      </c>
      <c r="C44" s="307">
        <v>-0.48499999999999999</v>
      </c>
      <c r="D44" s="188">
        <v>-0.38271979528327149</v>
      </c>
      <c r="E44" s="188">
        <v>-0.27697246498292527</v>
      </c>
      <c r="F44" s="285">
        <v>0.16500000000000001</v>
      </c>
      <c r="G44" s="286">
        <v>0.29499999999999998</v>
      </c>
      <c r="H44" s="286">
        <v>0.31</v>
      </c>
      <c r="I44" s="287">
        <v>0.44</v>
      </c>
      <c r="J44" s="286">
        <v>0.14000000000000001</v>
      </c>
      <c r="K44" s="286">
        <v>0.11</v>
      </c>
      <c r="L44" s="286">
        <v>1.98</v>
      </c>
      <c r="M44" s="285">
        <v>-0.375</v>
      </c>
      <c r="N44" s="286">
        <v>0.93</v>
      </c>
      <c r="O44" s="287">
        <v>0.93</v>
      </c>
      <c r="P44" s="305">
        <v>0.97199999999999998</v>
      </c>
      <c r="Q44" s="215">
        <v>0.60750000000000004</v>
      </c>
      <c r="R44" s="291">
        <v>0.60499999999999998</v>
      </c>
      <c r="S44" s="194">
        <v>0.85499999999999998</v>
      </c>
      <c r="T44" s="107">
        <v>1</v>
      </c>
      <c r="U44" s="280">
        <v>0.60499999999999998</v>
      </c>
      <c r="V44" s="61">
        <v>3.5630000000000002</v>
      </c>
      <c r="W44" s="61">
        <v>3.6652802047167286</v>
      </c>
      <c r="X44" s="197">
        <v>3.7710275350170748</v>
      </c>
      <c r="Y44" s="236"/>
      <c r="Z44" s="281">
        <v>0.14749999999999999</v>
      </c>
      <c r="AA44" s="296">
        <v>0.3</v>
      </c>
      <c r="AB44" s="301">
        <v>5.1382621051211519</v>
      </c>
      <c r="AC44" s="145">
        <v>5.2857621051211519</v>
      </c>
      <c r="AD44" s="197">
        <v>5.4382621051211517</v>
      </c>
      <c r="AE44" s="238">
        <v>5.0199999999999996</v>
      </c>
      <c r="AF44" s="133">
        <v>3.673</v>
      </c>
      <c r="AG44" s="202">
        <v>4.9779999999999998</v>
      </c>
      <c r="AH44" s="242">
        <v>-0.27</v>
      </c>
      <c r="AI44" s="283">
        <v>1.52151396676416</v>
      </c>
      <c r="AJ44" s="88">
        <v>4.4038711128997002E-2</v>
      </c>
      <c r="AK44" s="88">
        <v>3.8147666038170297E-2</v>
      </c>
      <c r="AL44" s="90">
        <v>0.97782802313471207</v>
      </c>
      <c r="AM44" s="204">
        <v>0.98073763631697797</v>
      </c>
      <c r="AN44" s="184">
        <v>0.30499999999999999</v>
      </c>
      <c r="AO44" s="205">
        <v>0.12</v>
      </c>
      <c r="AP44" s="72"/>
      <c r="AQ44" s="184">
        <v>-3.9800594178488802</v>
      </c>
      <c r="AR44" s="206">
        <v>-3.4950594178488803</v>
      </c>
      <c r="AS44" s="72"/>
      <c r="AT44" s="273">
        <v>7.4999999999999997E-3</v>
      </c>
      <c r="AU44" s="72"/>
      <c r="AV44" s="184">
        <v>5.0000000000000001E-3</v>
      </c>
      <c r="AW44" s="244"/>
      <c r="AX44" s="90">
        <v>0.03</v>
      </c>
      <c r="AY44" s="90"/>
      <c r="AZ44" s="302">
        <v>1.1000000000000001</v>
      </c>
      <c r="BA44" s="302">
        <v>1.2</v>
      </c>
      <c r="BB44" s="252">
        <v>-0.48499999999999999</v>
      </c>
      <c r="BC44" s="247"/>
      <c r="BD44" s="90"/>
      <c r="BE44" s="72"/>
      <c r="BF44" s="151"/>
      <c r="BG44" s="72"/>
      <c r="BH44" s="125"/>
      <c r="BI44" s="125"/>
      <c r="BJ44" s="72"/>
      <c r="BK44" s="151"/>
      <c r="BL44" s="72"/>
      <c r="BM44" s="72"/>
      <c r="BN44" s="90"/>
      <c r="BO44" s="90"/>
      <c r="BP44" s="125"/>
      <c r="BQ44" s="72"/>
      <c r="BR44" s="125"/>
      <c r="BS44" s="72"/>
      <c r="BT44" s="72"/>
      <c r="BU44" s="72"/>
      <c r="BV44" s="72"/>
      <c r="BW44" s="72"/>
      <c r="BX44" s="72"/>
      <c r="BY44" s="72"/>
      <c r="BZ44" s="72"/>
      <c r="CA44" s="72"/>
      <c r="CB44" s="72"/>
      <c r="CC44" s="72"/>
      <c r="CD44" s="72"/>
      <c r="CE44" s="72"/>
      <c r="CF44" s="72"/>
      <c r="CG44" s="72"/>
    </row>
    <row r="45" spans="1:85" x14ac:dyDescent="0.2">
      <c r="A45" s="354">
        <v>37288</v>
      </c>
      <c r="B45" s="277">
        <v>3.9330000000000003</v>
      </c>
      <c r="C45" s="307">
        <v>-0.48499999999999999</v>
      </c>
      <c r="D45" s="188">
        <v>-0.38275306224032013</v>
      </c>
      <c r="E45" s="188">
        <v>-0.27704012659048205</v>
      </c>
      <c r="F45" s="285">
        <v>0.255</v>
      </c>
      <c r="G45" s="286">
        <v>0.38500000000000001</v>
      </c>
      <c r="H45" s="286">
        <v>0.4</v>
      </c>
      <c r="I45" s="287">
        <v>0.53</v>
      </c>
      <c r="J45" s="286">
        <v>0.14499999999999999</v>
      </c>
      <c r="K45" s="286">
        <v>0.19</v>
      </c>
      <c r="L45" s="286">
        <v>1.98</v>
      </c>
      <c r="M45" s="285">
        <v>-0.375</v>
      </c>
      <c r="N45" s="286">
        <v>0.68</v>
      </c>
      <c r="O45" s="287">
        <v>0.69</v>
      </c>
      <c r="P45" s="305">
        <v>0.79200000000000004</v>
      </c>
      <c r="Q45" s="215">
        <v>0.60499999999999998</v>
      </c>
      <c r="R45" s="291">
        <v>0.60250000000000004</v>
      </c>
      <c r="S45" s="194">
        <v>0.75249999999999995</v>
      </c>
      <c r="T45" s="107">
        <v>1</v>
      </c>
      <c r="U45" s="280">
        <v>0.60250000000000004</v>
      </c>
      <c r="V45" s="61">
        <v>3.4480000000000004</v>
      </c>
      <c r="W45" s="61">
        <v>3.5502469377596801</v>
      </c>
      <c r="X45" s="197">
        <v>3.6559598734095182</v>
      </c>
      <c r="Y45" s="62"/>
      <c r="Z45" s="281">
        <v>0.14749999999999999</v>
      </c>
      <c r="AA45" s="296">
        <v>0.3</v>
      </c>
      <c r="AB45" s="301">
        <v>4.9740364957957235</v>
      </c>
      <c r="AC45" s="145">
        <v>5.1215364957957235</v>
      </c>
      <c r="AD45" s="197">
        <v>5.2740364957957233</v>
      </c>
      <c r="AE45" s="238">
        <v>4.7249999999999996</v>
      </c>
      <c r="AF45" s="133">
        <v>3.5580000000000003</v>
      </c>
      <c r="AG45" s="202">
        <v>4.6230000000000002</v>
      </c>
      <c r="AH45" s="242">
        <v>-0.27</v>
      </c>
      <c r="AI45" s="283">
        <v>1.52200900496179</v>
      </c>
      <c r="AJ45" s="88">
        <v>4.41182945535772E-2</v>
      </c>
      <c r="AK45" s="88">
        <v>3.8506843047418901E-2</v>
      </c>
      <c r="AL45" s="90">
        <v>0.97417403019382154</v>
      </c>
      <c r="AM45" s="204">
        <v>0.97739066997686919</v>
      </c>
      <c r="AN45" s="184">
        <v>0.39500000000000002</v>
      </c>
      <c r="AO45" s="205">
        <v>0.13300000000000001</v>
      </c>
      <c r="AP45" s="72"/>
      <c r="AQ45" s="184">
        <v>-3.8551270511747453</v>
      </c>
      <c r="AR45" s="206">
        <v>-3.3701270511747454</v>
      </c>
      <c r="AS45" s="72"/>
      <c r="AT45" s="273">
        <v>7.4999999999999997E-3</v>
      </c>
      <c r="AU45" s="72"/>
      <c r="AV45" s="184">
        <v>5.0000000000000001E-3</v>
      </c>
      <c r="AW45" s="244"/>
      <c r="AX45" s="90">
        <v>2.5000000000000001E-2</v>
      </c>
      <c r="AY45" s="90"/>
      <c r="AZ45" s="302">
        <v>1.1000000000000001</v>
      </c>
      <c r="BA45" s="302">
        <v>1.2</v>
      </c>
      <c r="BB45" s="252">
        <v>-0.48499999999999999</v>
      </c>
      <c r="BC45" s="247"/>
      <c r="BD45" s="90"/>
      <c r="BE45" s="72"/>
      <c r="BF45" s="151"/>
      <c r="BG45" s="72"/>
      <c r="BH45" s="125"/>
      <c r="BI45" s="125"/>
      <c r="BJ45" s="72"/>
      <c r="BK45" s="151"/>
      <c r="BL45" s="72"/>
      <c r="BM45" s="72"/>
      <c r="BN45" s="90"/>
      <c r="BO45" s="90"/>
      <c r="BP45" s="125"/>
      <c r="BQ45" s="72"/>
      <c r="BR45" s="125"/>
      <c r="BS45" s="72"/>
      <c r="BT45" s="72"/>
      <c r="BU45" s="72"/>
      <c r="BV45" s="72"/>
      <c r="BW45" s="72"/>
      <c r="BX45" s="72"/>
      <c r="BY45" s="72"/>
      <c r="BZ45" s="72"/>
      <c r="CA45" s="72"/>
      <c r="CB45" s="72"/>
      <c r="CC45" s="72"/>
      <c r="CD45" s="72"/>
      <c r="CE45" s="72"/>
      <c r="CF45" s="72"/>
      <c r="CG45" s="72"/>
    </row>
    <row r="46" spans="1:85" x14ac:dyDescent="0.2">
      <c r="A46" s="354">
        <v>37316</v>
      </c>
      <c r="B46" s="277">
        <v>3.758</v>
      </c>
      <c r="C46" s="307">
        <v>-0.48499999999999999</v>
      </c>
      <c r="D46" s="188">
        <v>-0.38277900933592068</v>
      </c>
      <c r="E46" s="188">
        <v>-0.27709290034424505</v>
      </c>
      <c r="F46" s="285">
        <v>0.26500000000000001</v>
      </c>
      <c r="G46" s="286">
        <v>0.39500000000000002</v>
      </c>
      <c r="H46" s="286">
        <v>0.41</v>
      </c>
      <c r="I46" s="287">
        <v>0.54</v>
      </c>
      <c r="J46" s="286">
        <v>0.14000000000000001</v>
      </c>
      <c r="K46" s="286">
        <v>0.19</v>
      </c>
      <c r="L46" s="286">
        <v>0.55000000000000004</v>
      </c>
      <c r="M46" s="285">
        <v>-0.375</v>
      </c>
      <c r="N46" s="286">
        <v>0.53</v>
      </c>
      <c r="O46" s="287">
        <v>0.55000000000000004</v>
      </c>
      <c r="P46" s="305">
        <v>0.34700000000000003</v>
      </c>
      <c r="Q46" s="215">
        <v>0.5575</v>
      </c>
      <c r="R46" s="291">
        <v>0.55500000000000005</v>
      </c>
      <c r="S46" s="194">
        <v>0.65500000000000003</v>
      </c>
      <c r="T46" s="107">
        <v>0.75</v>
      </c>
      <c r="U46" s="280">
        <v>0.55500000000000005</v>
      </c>
      <c r="V46" s="61">
        <v>3.2730000000000001</v>
      </c>
      <c r="W46" s="61">
        <v>3.3752209906640793</v>
      </c>
      <c r="X46" s="197">
        <v>3.480907099655755</v>
      </c>
      <c r="Y46" s="62"/>
      <c r="Z46" s="281">
        <v>0.14749999999999999</v>
      </c>
      <c r="AA46" s="296">
        <v>0.3</v>
      </c>
      <c r="AB46" s="301">
        <v>4.7227824428593035</v>
      </c>
      <c r="AC46" s="145">
        <v>4.8702824428593035</v>
      </c>
      <c r="AD46" s="197">
        <v>5.0227824428593033</v>
      </c>
      <c r="AE46" s="238">
        <v>4.1050000000000004</v>
      </c>
      <c r="AF46" s="133">
        <v>3.383</v>
      </c>
      <c r="AG46" s="202">
        <v>4.3079999999999998</v>
      </c>
      <c r="AH46" s="242">
        <v>-0.27</v>
      </c>
      <c r="AI46" s="283">
        <v>1.52239534159284</v>
      </c>
      <c r="AJ46" s="88">
        <v>4.4190176358246201E-2</v>
      </c>
      <c r="AK46" s="88">
        <v>3.8831261028488197E-2</v>
      </c>
      <c r="AL46" s="90">
        <v>0.97087435877497208</v>
      </c>
      <c r="AM46" s="204">
        <v>0.97432735733088682</v>
      </c>
      <c r="AN46" s="184">
        <v>0.40500000000000003</v>
      </c>
      <c r="AO46" s="205">
        <v>0.12</v>
      </c>
      <c r="AP46" s="72"/>
      <c r="AQ46" s="184">
        <v>-3.6571798028697491</v>
      </c>
      <c r="AR46" s="206">
        <v>-3.1721798028697492</v>
      </c>
      <c r="AS46" s="72"/>
      <c r="AT46" s="273">
        <v>7.4999999999999997E-3</v>
      </c>
      <c r="AU46" s="72"/>
      <c r="AV46" s="184">
        <v>5.0000000000000001E-3</v>
      </c>
      <c r="AW46" s="244"/>
      <c r="AX46" s="90">
        <v>0.01</v>
      </c>
      <c r="AY46" s="90"/>
      <c r="AZ46" s="302">
        <v>0.85</v>
      </c>
      <c r="BA46" s="302">
        <v>0.95</v>
      </c>
      <c r="BB46" s="252">
        <v>-0.48499999999999999</v>
      </c>
      <c r="BC46" s="247"/>
      <c r="BD46" s="90"/>
      <c r="BE46" s="72"/>
      <c r="BF46" s="151"/>
      <c r="BG46" s="72"/>
      <c r="BH46" s="125"/>
      <c r="BI46" s="125"/>
      <c r="BJ46" s="72"/>
      <c r="BK46" s="151"/>
      <c r="BL46" s="72"/>
      <c r="BM46" s="72"/>
      <c r="BN46" s="90"/>
      <c r="BO46" s="90"/>
      <c r="BP46" s="125"/>
      <c r="BQ46" s="72"/>
      <c r="BR46" s="125"/>
      <c r="BS46" s="72"/>
      <c r="BT46" s="72"/>
      <c r="BU46" s="72"/>
      <c r="BV46" s="72"/>
      <c r="BW46" s="72"/>
      <c r="BX46" s="72"/>
      <c r="BY46" s="72"/>
      <c r="BZ46" s="72"/>
      <c r="CA46" s="72"/>
      <c r="CB46" s="72"/>
      <c r="CC46" s="72"/>
      <c r="CD46" s="72"/>
      <c r="CE46" s="72"/>
      <c r="CF46" s="72"/>
      <c r="CG46" s="72"/>
    </row>
    <row r="47" spans="1:85" ht="13.5" customHeight="1" x14ac:dyDescent="0.2">
      <c r="A47" s="354">
        <v>37347</v>
      </c>
      <c r="B47" s="277">
        <v>3.4630000000000001</v>
      </c>
      <c r="C47" s="298">
        <v>-0.51500000000000001</v>
      </c>
      <c r="D47" s="188">
        <v>-0.41280548881280144</v>
      </c>
      <c r="E47" s="188">
        <v>-0.4110733784536964</v>
      </c>
      <c r="F47" s="285">
        <v>0.1075</v>
      </c>
      <c r="G47" s="286">
        <v>0.10249999999999999</v>
      </c>
      <c r="H47" s="286">
        <v>0.1525</v>
      </c>
      <c r="I47" s="287">
        <v>0.10249999999999999</v>
      </c>
      <c r="J47" s="286">
        <v>3.5000000000000003E-2</v>
      </c>
      <c r="K47" s="286">
        <v>0.1075</v>
      </c>
      <c r="L47" s="286">
        <v>0.45</v>
      </c>
      <c r="M47" s="285">
        <v>-0.84</v>
      </c>
      <c r="N47" s="286">
        <v>0.35</v>
      </c>
      <c r="O47" s="287">
        <v>0.17</v>
      </c>
      <c r="P47" s="299">
        <v>-0.39</v>
      </c>
      <c r="Q47" s="215">
        <v>0.45</v>
      </c>
      <c r="R47" s="291">
        <v>0.4425</v>
      </c>
      <c r="S47" s="194">
        <v>0.4425</v>
      </c>
      <c r="T47" s="107">
        <v>0.4</v>
      </c>
      <c r="U47" s="280">
        <v>0.4425</v>
      </c>
      <c r="V47" s="61">
        <v>2.948</v>
      </c>
      <c r="W47" s="61">
        <v>3.0501945111871986</v>
      </c>
      <c r="X47" s="197">
        <v>3.0519266215463037</v>
      </c>
      <c r="Y47" s="62"/>
      <c r="Z47" s="281">
        <v>0.14749999999999999</v>
      </c>
      <c r="AA47" s="296">
        <v>0.15</v>
      </c>
      <c r="AB47" s="301">
        <v>4.2549251906835055</v>
      </c>
      <c r="AC47" s="145">
        <v>4.4024251906835055</v>
      </c>
      <c r="AD47" s="197">
        <v>4.4049251906835059</v>
      </c>
      <c r="AE47" s="238">
        <v>3.073</v>
      </c>
      <c r="AF47" s="133">
        <v>2.6230000000000002</v>
      </c>
      <c r="AG47" s="202">
        <v>3.633</v>
      </c>
      <c r="AH47" s="242">
        <v>-0.49</v>
      </c>
      <c r="AI47" s="283">
        <v>1.5227898073208199</v>
      </c>
      <c r="AJ47" s="88">
        <v>4.43223469300369E-2</v>
      </c>
      <c r="AK47" s="88">
        <v>3.9212915227346407E-2</v>
      </c>
      <c r="AL47" s="90">
        <v>0.96718414930397112</v>
      </c>
      <c r="AM47" s="204">
        <v>0.97087552034432723</v>
      </c>
      <c r="AN47" s="184">
        <v>0.10249999999999999</v>
      </c>
      <c r="AO47" s="205">
        <v>0.124</v>
      </c>
      <c r="AP47" s="72"/>
      <c r="AQ47" s="184">
        <v>-3.4061168184607684</v>
      </c>
      <c r="AR47" s="206">
        <v>-2.8911168184607683</v>
      </c>
      <c r="AS47" s="72"/>
      <c r="AT47" s="273">
        <v>7.4999999999999997E-3</v>
      </c>
      <c r="AU47" s="72"/>
      <c r="AV47" s="184">
        <v>2.5000000000000001E-3</v>
      </c>
      <c r="AW47" s="244"/>
      <c r="AX47" s="90">
        <v>-0.1</v>
      </c>
      <c r="AY47" s="90"/>
      <c r="AZ47" s="302">
        <v>0.44</v>
      </c>
      <c r="BA47" s="302">
        <v>0.4</v>
      </c>
      <c r="BB47" s="252">
        <v>-0.51500000000000001</v>
      </c>
      <c r="BC47" s="247"/>
      <c r="BD47" s="90"/>
      <c r="BE47" s="72"/>
      <c r="BF47" s="151"/>
      <c r="BG47" s="72"/>
      <c r="BH47" s="125"/>
      <c r="BI47" s="125"/>
      <c r="BJ47" s="72"/>
      <c r="BK47" s="151"/>
      <c r="BL47" s="72"/>
      <c r="BM47" s="72"/>
      <c r="BN47" s="90"/>
      <c r="BO47" s="90"/>
      <c r="BP47" s="125"/>
      <c r="BQ47" s="72"/>
      <c r="BR47" s="125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</row>
    <row r="48" spans="1:85" x14ac:dyDescent="0.2">
      <c r="A48" s="354">
        <v>37377</v>
      </c>
      <c r="B48" s="277">
        <v>3.4330000000000003</v>
      </c>
      <c r="C48" s="303">
        <v>-0.51500000000000001</v>
      </c>
      <c r="D48" s="188">
        <v>-0.41283077545859692</v>
      </c>
      <c r="E48" s="188">
        <v>-0.41109909368670872</v>
      </c>
      <c r="F48" s="285">
        <v>0.1075</v>
      </c>
      <c r="G48" s="286">
        <v>0.10249999999999999</v>
      </c>
      <c r="H48" s="286">
        <v>0.1525</v>
      </c>
      <c r="I48" s="287">
        <v>0.10249999999999999</v>
      </c>
      <c r="J48" s="286">
        <v>3.5000000000000003E-2</v>
      </c>
      <c r="K48" s="286">
        <v>0.1075</v>
      </c>
      <c r="L48" s="286">
        <v>0.39</v>
      </c>
      <c r="M48" s="285">
        <v>-0.84</v>
      </c>
      <c r="N48" s="286">
        <v>0.35</v>
      </c>
      <c r="O48" s="287">
        <v>0.17</v>
      </c>
      <c r="P48" s="239">
        <v>-0.39</v>
      </c>
      <c r="Q48" s="215">
        <v>0.39750000000000002</v>
      </c>
      <c r="R48" s="291">
        <v>0.39</v>
      </c>
      <c r="S48" s="194">
        <v>0.39</v>
      </c>
      <c r="T48" s="107">
        <v>0.45</v>
      </c>
      <c r="U48" s="280">
        <v>0.39</v>
      </c>
      <c r="V48" s="61">
        <v>2.9180000000000001</v>
      </c>
      <c r="W48" s="61">
        <v>3.0201692245414034</v>
      </c>
      <c r="X48" s="197">
        <v>3.0219009063132916</v>
      </c>
      <c r="Y48" s="62"/>
      <c r="Z48" s="281">
        <v>0.14749999999999999</v>
      </c>
      <c r="AA48" s="296">
        <v>0.15</v>
      </c>
      <c r="AB48" s="301">
        <v>4.2126677767391962</v>
      </c>
      <c r="AC48" s="145">
        <v>4.3601677767391962</v>
      </c>
      <c r="AD48" s="197">
        <v>4.3626677767391966</v>
      </c>
      <c r="AE48" s="238">
        <v>3.0430000000000001</v>
      </c>
      <c r="AF48" s="133">
        <v>2.5930000000000004</v>
      </c>
      <c r="AG48" s="202">
        <v>3.6030000000000002</v>
      </c>
      <c r="AH48" s="242">
        <v>-0.49</v>
      </c>
      <c r="AI48" s="283">
        <v>1.5231666942616</v>
      </c>
      <c r="AJ48" s="88">
        <v>4.45120498960501E-2</v>
      </c>
      <c r="AK48" s="88">
        <v>3.96000022835232E-2</v>
      </c>
      <c r="AL48" s="90">
        <v>0.96355708215030267</v>
      </c>
      <c r="AM48" s="204">
        <v>0.96747399838578318</v>
      </c>
      <c r="AN48" s="184">
        <v>0.10249999999999999</v>
      </c>
      <c r="AO48" s="205">
        <v>0.12</v>
      </c>
      <c r="AP48" s="72"/>
      <c r="AQ48" s="184">
        <v>-3.3711425229451408</v>
      </c>
      <c r="AR48" s="206">
        <v>-2.8561425229451407</v>
      </c>
      <c r="AS48" s="72"/>
      <c r="AT48" s="273">
        <v>7.4999999999999997E-3</v>
      </c>
      <c r="AU48" s="72"/>
      <c r="AV48" s="184">
        <v>2.5000000000000001E-3</v>
      </c>
      <c r="AW48" s="244"/>
      <c r="AX48" s="90">
        <v>-0.1</v>
      </c>
      <c r="AY48" s="90"/>
      <c r="AZ48" s="302">
        <v>0.45</v>
      </c>
      <c r="BA48" s="302">
        <v>0.45</v>
      </c>
      <c r="BB48" s="252">
        <v>-0.51500000000000001</v>
      </c>
      <c r="BC48" s="247"/>
      <c r="BD48" s="90"/>
      <c r="BE48" s="72"/>
      <c r="BF48" s="151"/>
      <c r="BG48" s="72"/>
      <c r="BH48" s="125"/>
      <c r="BI48" s="125"/>
      <c r="BJ48" s="72"/>
      <c r="BK48" s="151"/>
      <c r="BL48" s="72"/>
      <c r="BM48" s="72"/>
      <c r="BN48" s="90"/>
      <c r="BO48" s="90"/>
      <c r="BP48" s="125"/>
      <c r="BQ48" s="72"/>
      <c r="BR48" s="125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</row>
    <row r="49" spans="1:85" x14ac:dyDescent="0.2">
      <c r="A49" s="354">
        <v>37408</v>
      </c>
      <c r="B49" s="277">
        <v>3.48</v>
      </c>
      <c r="C49" s="303">
        <v>-0.51500000000000001</v>
      </c>
      <c r="D49" s="188">
        <v>-0.41285348363603935</v>
      </c>
      <c r="E49" s="188">
        <v>-0.4111221867485142</v>
      </c>
      <c r="F49" s="285">
        <v>0.1075</v>
      </c>
      <c r="G49" s="286">
        <v>0.10249999999999999</v>
      </c>
      <c r="H49" s="286">
        <v>0.1525</v>
      </c>
      <c r="I49" s="287">
        <v>0.10249999999999999</v>
      </c>
      <c r="J49" s="286">
        <v>3.5000000000000003E-2</v>
      </c>
      <c r="K49" s="286">
        <v>0.1075</v>
      </c>
      <c r="L49" s="286">
        <v>0.39</v>
      </c>
      <c r="M49" s="285">
        <v>-0.84</v>
      </c>
      <c r="N49" s="286">
        <v>0.44</v>
      </c>
      <c r="O49" s="287">
        <v>0.17</v>
      </c>
      <c r="P49" s="239">
        <v>-0.39</v>
      </c>
      <c r="Q49" s="215">
        <v>0.39</v>
      </c>
      <c r="R49" s="291">
        <v>0.38250000000000001</v>
      </c>
      <c r="S49" s="194">
        <v>0.38250000000000001</v>
      </c>
      <c r="T49" s="107">
        <v>0.45</v>
      </c>
      <c r="U49" s="280">
        <v>0.38250000000000001</v>
      </c>
      <c r="V49" s="61">
        <v>2.9649999999999999</v>
      </c>
      <c r="W49" s="61">
        <v>3.0671465163639606</v>
      </c>
      <c r="X49" s="197">
        <v>3.0688778132514858</v>
      </c>
      <c r="Y49" s="304" t="s">
        <v>254</v>
      </c>
      <c r="Z49" s="281">
        <v>0.14749999999999999</v>
      </c>
      <c r="AA49" s="296">
        <v>0.15</v>
      </c>
      <c r="AB49" s="301">
        <v>4.2814724923335685</v>
      </c>
      <c r="AC49" s="145">
        <v>4.4289724923335685</v>
      </c>
      <c r="AD49" s="197">
        <v>4.4314724923335689</v>
      </c>
      <c r="AE49" s="238">
        <v>3.09</v>
      </c>
      <c r="AF49" s="133">
        <v>2.64</v>
      </c>
      <c r="AG49" s="202">
        <v>3.65</v>
      </c>
      <c r="AH49" s="242">
        <v>-0.49</v>
      </c>
      <c r="AI49" s="283">
        <v>1.5235053092315298</v>
      </c>
      <c r="AJ49" s="88">
        <v>4.4708076306920801E-2</v>
      </c>
      <c r="AK49" s="88">
        <v>3.9999992294397699E-2</v>
      </c>
      <c r="AL49" s="90">
        <v>0.95979267824000913</v>
      </c>
      <c r="AM49" s="204">
        <v>0.96390853069228977</v>
      </c>
      <c r="AN49" s="184">
        <v>0.10249999999999999</v>
      </c>
      <c r="AO49" s="205">
        <v>0.124</v>
      </c>
      <c r="AP49" s="72"/>
      <c r="AQ49" s="184">
        <v>-3.41616560635434</v>
      </c>
      <c r="AR49" s="206">
        <v>-2.9011656063543398</v>
      </c>
      <c r="AS49" s="72"/>
      <c r="AT49" s="273">
        <v>7.4999999999999997E-3</v>
      </c>
      <c r="AU49" s="72"/>
      <c r="AV49" s="184">
        <v>2.5000000000000001E-3</v>
      </c>
      <c r="AW49" s="244"/>
      <c r="AX49" s="90">
        <v>-0.1</v>
      </c>
      <c r="AY49" s="90"/>
      <c r="AZ49" s="302">
        <v>0.45</v>
      </c>
      <c r="BA49" s="302">
        <v>0.45</v>
      </c>
      <c r="BB49" s="252">
        <v>-0.51500000000000001</v>
      </c>
      <c r="BC49" s="247"/>
      <c r="BD49" s="90"/>
      <c r="BE49" s="72"/>
      <c r="BF49" s="151"/>
      <c r="BG49" s="72"/>
      <c r="BH49" s="125"/>
      <c r="BI49" s="125"/>
      <c r="BJ49" s="72"/>
      <c r="BK49" s="151"/>
      <c r="BL49" s="72"/>
      <c r="BM49" s="72"/>
      <c r="BN49" s="90"/>
      <c r="BO49" s="90"/>
      <c r="BP49" s="125"/>
      <c r="BQ49" s="72"/>
      <c r="BR49" s="125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</row>
    <row r="50" spans="1:85" x14ac:dyDescent="0.2">
      <c r="A50" s="354">
        <v>37438</v>
      </c>
      <c r="B50" s="277">
        <v>3.532</v>
      </c>
      <c r="C50" s="303">
        <v>-0.51500000000000001</v>
      </c>
      <c r="D50" s="188">
        <v>-0.4128746456678356</v>
      </c>
      <c r="E50" s="188">
        <v>-0.41114370745881601</v>
      </c>
      <c r="F50" s="285">
        <v>0.1075</v>
      </c>
      <c r="G50" s="286">
        <v>0.10249999999999999</v>
      </c>
      <c r="H50" s="286">
        <v>0.1525</v>
      </c>
      <c r="I50" s="287">
        <v>0.10249999999999999</v>
      </c>
      <c r="J50" s="286">
        <v>3.5000000000000003E-2</v>
      </c>
      <c r="K50" s="286">
        <v>0.1075</v>
      </c>
      <c r="L50" s="286">
        <v>0.45</v>
      </c>
      <c r="M50" s="285">
        <v>-0.84</v>
      </c>
      <c r="N50" s="286">
        <v>0.56000000000000005</v>
      </c>
      <c r="O50" s="287">
        <v>0.17</v>
      </c>
      <c r="P50" s="239">
        <v>-0.39</v>
      </c>
      <c r="Q50" s="215">
        <v>0.38750000000000001</v>
      </c>
      <c r="R50" s="291">
        <v>0.38</v>
      </c>
      <c r="S50" s="194">
        <v>0.38</v>
      </c>
      <c r="T50" s="107">
        <v>0.5</v>
      </c>
      <c r="U50" s="280">
        <v>0.38</v>
      </c>
      <c r="V50" s="61">
        <v>3.0169999999999999</v>
      </c>
      <c r="W50" s="61">
        <v>3.1191253543321644</v>
      </c>
      <c r="X50" s="197">
        <v>3.120856292541184</v>
      </c>
      <c r="Y50" s="236">
        <v>4.4495832286243298</v>
      </c>
      <c r="Z50" s="281">
        <v>0.14749999999999999</v>
      </c>
      <c r="AA50" s="296">
        <v>0.15</v>
      </c>
      <c r="AB50" s="301">
        <v>4.3574634615475212</v>
      </c>
      <c r="AC50" s="145">
        <v>4.5049634615475211</v>
      </c>
      <c r="AD50" s="197">
        <v>4.5074634615475215</v>
      </c>
      <c r="AE50" s="238">
        <v>3.1419999999999999</v>
      </c>
      <c r="AF50" s="133">
        <v>2.6920000000000002</v>
      </c>
      <c r="AG50" s="202">
        <v>3.702</v>
      </c>
      <c r="AH50" s="242">
        <v>-0.49</v>
      </c>
      <c r="AI50" s="283">
        <v>1.5238210042712899</v>
      </c>
      <c r="AJ50" s="88">
        <v>4.4958861168710403E-2</v>
      </c>
      <c r="AK50" s="88">
        <v>4.0423367414874602E-2</v>
      </c>
      <c r="AL50" s="90">
        <v>0.95607639105375575</v>
      </c>
      <c r="AM50" s="204">
        <v>0.96037527117706534</v>
      </c>
      <c r="AN50" s="184">
        <v>0.10249999999999999</v>
      </c>
      <c r="AO50" s="205">
        <v>0.12</v>
      </c>
      <c r="AP50" s="72"/>
      <c r="AQ50" s="184">
        <v>-3.4661871180692581</v>
      </c>
      <c r="AR50" s="206">
        <v>-2.9511871180692579</v>
      </c>
      <c r="AS50" s="72"/>
      <c r="AT50" s="273">
        <v>7.4999999999999997E-3</v>
      </c>
      <c r="AU50" s="72"/>
      <c r="AV50" s="184">
        <v>2.5000000000000001E-3</v>
      </c>
      <c r="AW50" s="244"/>
      <c r="AX50" s="90">
        <v>-0.1</v>
      </c>
      <c r="AY50" s="90"/>
      <c r="AZ50" s="302">
        <v>0.5</v>
      </c>
      <c r="BA50" s="302">
        <v>0.5</v>
      </c>
      <c r="BB50" s="252">
        <v>-0.51500000000000001</v>
      </c>
      <c r="BC50" s="247"/>
      <c r="BD50" s="90"/>
      <c r="BE50" s="72"/>
      <c r="BF50" s="151"/>
      <c r="BG50" s="72"/>
      <c r="BH50" s="125"/>
      <c r="BI50" s="125"/>
      <c r="BJ50" s="72"/>
      <c r="BK50" s="151"/>
      <c r="BL50" s="72"/>
      <c r="BM50" s="72"/>
      <c r="BN50" s="90"/>
      <c r="BO50" s="90"/>
      <c r="BP50" s="125"/>
      <c r="BQ50" s="72"/>
      <c r="BR50" s="125"/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</row>
    <row r="51" spans="1:85" x14ac:dyDescent="0.2">
      <c r="A51" s="354">
        <v>37469</v>
      </c>
      <c r="B51" s="277">
        <v>3.5590000000000002</v>
      </c>
      <c r="C51" s="303">
        <v>-0.51500000000000001</v>
      </c>
      <c r="D51" s="188">
        <v>-0.41289532317218125</v>
      </c>
      <c r="E51" s="188">
        <v>-0.4111647354293364</v>
      </c>
      <c r="F51" s="285">
        <v>0.1075</v>
      </c>
      <c r="G51" s="286">
        <v>0.10249999999999999</v>
      </c>
      <c r="H51" s="286">
        <v>0.1525</v>
      </c>
      <c r="I51" s="287">
        <v>0.10249999999999999</v>
      </c>
      <c r="J51" s="286">
        <v>3.5000000000000003E-2</v>
      </c>
      <c r="K51" s="286">
        <v>0.1075</v>
      </c>
      <c r="L51" s="286">
        <v>0.45</v>
      </c>
      <c r="M51" s="285">
        <v>-0.84</v>
      </c>
      <c r="N51" s="286">
        <v>0.56000000000000005</v>
      </c>
      <c r="O51" s="287">
        <v>0.17</v>
      </c>
      <c r="P51" s="239">
        <v>-0.39</v>
      </c>
      <c r="Q51" s="215">
        <v>0.38750000000000001</v>
      </c>
      <c r="R51" s="291">
        <v>0.38</v>
      </c>
      <c r="S51" s="194">
        <v>0.38</v>
      </c>
      <c r="T51" s="107">
        <v>0.55000000000000004</v>
      </c>
      <c r="U51" s="308">
        <v>0.38</v>
      </c>
      <c r="V51" s="61">
        <v>3.044</v>
      </c>
      <c r="W51" s="61">
        <v>3.1461046768278189</v>
      </c>
      <c r="X51" s="197">
        <v>3.1478352645706638</v>
      </c>
      <c r="Y51" s="236">
        <v>4.8225808014278302</v>
      </c>
      <c r="Z51" s="281">
        <v>0.14749999999999999</v>
      </c>
      <c r="AA51" s="296">
        <v>0.15</v>
      </c>
      <c r="AB51" s="301">
        <v>4.3973499936456539</v>
      </c>
      <c r="AC51" s="145">
        <v>4.5448499936456539</v>
      </c>
      <c r="AD51" s="197">
        <v>4.5473499936456543</v>
      </c>
      <c r="AE51" s="238">
        <v>3.169</v>
      </c>
      <c r="AF51" s="133">
        <v>2.7190000000000003</v>
      </c>
      <c r="AG51" s="202">
        <v>3.7290000000000001</v>
      </c>
      <c r="AH51" s="242">
        <v>-0.49</v>
      </c>
      <c r="AI51" s="283">
        <v>1.5241295975347597</v>
      </c>
      <c r="AJ51" s="88">
        <v>4.5293828224291399E-2</v>
      </c>
      <c r="AK51" s="88">
        <v>4.0920097377914896E-2</v>
      </c>
      <c r="AL51" s="90">
        <v>0.95213375274896839</v>
      </c>
      <c r="AM51" s="204">
        <v>0.95660859154683553</v>
      </c>
      <c r="AN51" s="184">
        <v>0.10249999999999999</v>
      </c>
      <c r="AO51" s="205">
        <v>0.12</v>
      </c>
      <c r="AP51" s="72"/>
      <c r="AQ51" s="184">
        <v>-3.4912081372503549</v>
      </c>
      <c r="AR51" s="206">
        <v>-2.9762081372503548</v>
      </c>
      <c r="AS51" s="72"/>
      <c r="AT51" s="273">
        <v>7.4999999999999997E-3</v>
      </c>
      <c r="AU51" s="72"/>
      <c r="AV51" s="184">
        <v>2.5000000000000001E-3</v>
      </c>
      <c r="AW51" s="244"/>
      <c r="AX51" s="90">
        <v>-0.1</v>
      </c>
      <c r="AY51" s="90"/>
      <c r="AZ51" s="302">
        <v>0.55000000000000004</v>
      </c>
      <c r="BA51" s="302">
        <v>0.55000000000000004</v>
      </c>
      <c r="BB51" s="252">
        <v>-0.51500000000000001</v>
      </c>
      <c r="BC51" s="247"/>
      <c r="BD51" s="90"/>
      <c r="BE51" s="72"/>
      <c r="BF51" s="151"/>
      <c r="BG51" s="72"/>
      <c r="BH51" s="125"/>
      <c r="BI51" s="125"/>
      <c r="BJ51" s="72"/>
      <c r="BK51" s="151"/>
      <c r="BL51" s="72"/>
      <c r="BM51" s="72"/>
      <c r="BN51" s="90"/>
      <c r="BO51" s="90"/>
      <c r="BP51" s="125"/>
      <c r="BQ51" s="72"/>
      <c r="BR51" s="125"/>
      <c r="BS51" s="72"/>
      <c r="BT51" s="72"/>
      <c r="BU51" s="72"/>
      <c r="BV51" s="72"/>
      <c r="BW51" s="72"/>
      <c r="BX51" s="72"/>
      <c r="BY51" s="72"/>
      <c r="BZ51" s="72"/>
      <c r="CA51" s="72"/>
      <c r="CB51" s="72"/>
      <c r="CC51" s="72"/>
      <c r="CD51" s="72"/>
      <c r="CE51" s="72"/>
      <c r="CF51" s="72"/>
      <c r="CG51" s="72"/>
    </row>
    <row r="52" spans="1:85" x14ac:dyDescent="0.2">
      <c r="A52" s="354">
        <v>37500</v>
      </c>
      <c r="B52" s="277">
        <v>3.5740000000000003</v>
      </c>
      <c r="C52" s="303">
        <v>-0.51500000000000001</v>
      </c>
      <c r="D52" s="188">
        <v>-0.41291324463614565</v>
      </c>
      <c r="E52" s="188">
        <v>-0.41118296064692794</v>
      </c>
      <c r="F52" s="285">
        <v>0.1075</v>
      </c>
      <c r="G52" s="286">
        <v>0.10249999999999999</v>
      </c>
      <c r="H52" s="286">
        <v>0.1525</v>
      </c>
      <c r="I52" s="287">
        <v>0.10249999999999999</v>
      </c>
      <c r="J52" s="286">
        <v>3.5000000000000003E-2</v>
      </c>
      <c r="K52" s="286">
        <v>0.1075</v>
      </c>
      <c r="L52" s="286">
        <v>0.41</v>
      </c>
      <c r="M52" s="285">
        <v>-0.84</v>
      </c>
      <c r="N52" s="286">
        <v>0.56000000000000005</v>
      </c>
      <c r="O52" s="287">
        <v>0.17</v>
      </c>
      <c r="P52" s="239">
        <v>-0.39</v>
      </c>
      <c r="Q52" s="215">
        <v>0.39</v>
      </c>
      <c r="R52" s="291">
        <v>0.38250000000000001</v>
      </c>
      <c r="S52" s="194">
        <v>0.38250000000000001</v>
      </c>
      <c r="T52" s="107">
        <v>0.55000000000000004</v>
      </c>
      <c r="U52" s="308">
        <v>0.38250000000000001</v>
      </c>
      <c r="V52" s="61">
        <v>3.0590000000000002</v>
      </c>
      <c r="W52" s="61">
        <v>3.1610867553638546</v>
      </c>
      <c r="X52" s="197">
        <v>3.1628170393530723</v>
      </c>
      <c r="Y52" s="236">
        <v>4.1831563909075458</v>
      </c>
      <c r="Z52" s="281">
        <v>0.14749999999999999</v>
      </c>
      <c r="AA52" s="296">
        <v>0.15</v>
      </c>
      <c r="AB52" s="301">
        <v>4.4197946970871769</v>
      </c>
      <c r="AC52" s="145">
        <v>4.5672946970871768</v>
      </c>
      <c r="AD52" s="197">
        <v>4.5697946970871772</v>
      </c>
      <c r="AE52" s="238">
        <v>3.1840000000000002</v>
      </c>
      <c r="AF52" s="133">
        <v>2.7340000000000004</v>
      </c>
      <c r="AG52" s="202">
        <v>3.7440000000000002</v>
      </c>
      <c r="AH52" s="242">
        <v>-0.49</v>
      </c>
      <c r="AI52" s="283">
        <v>1.5243971604870901</v>
      </c>
      <c r="AJ52" s="88">
        <v>4.5628795317421901E-2</v>
      </c>
      <c r="AK52" s="88">
        <v>4.1416827423704998E-2</v>
      </c>
      <c r="AL52" s="90">
        <v>0.94815470939947522</v>
      </c>
      <c r="AM52" s="204">
        <v>0.95277807957219607</v>
      </c>
      <c r="AN52" s="184">
        <v>0.10249999999999999</v>
      </c>
      <c r="AO52" s="205">
        <v>0.124</v>
      </c>
      <c r="AP52" s="72"/>
      <c r="AQ52" s="184">
        <v>-3.5042263548500361</v>
      </c>
      <c r="AR52" s="206">
        <v>-2.989226354850036</v>
      </c>
      <c r="AS52" s="72"/>
      <c r="AT52" s="273">
        <v>7.4999999999999997E-3</v>
      </c>
      <c r="AU52" s="72"/>
      <c r="AV52" s="184">
        <v>2.5000000000000001E-3</v>
      </c>
      <c r="AW52" s="244"/>
      <c r="AX52" s="90">
        <v>-0.1</v>
      </c>
      <c r="AY52" s="90"/>
      <c r="AZ52" s="302">
        <v>0.55000000000000004</v>
      </c>
      <c r="BA52" s="302">
        <v>0.55000000000000004</v>
      </c>
      <c r="BB52" s="252">
        <v>-0.51500000000000001</v>
      </c>
      <c r="BC52" s="247"/>
      <c r="BD52" s="90"/>
      <c r="BE52" s="72"/>
      <c r="BF52" s="151"/>
      <c r="BG52" s="72"/>
      <c r="BH52" s="125"/>
      <c r="BI52" s="125"/>
      <c r="BJ52" s="72"/>
      <c r="BK52" s="151"/>
      <c r="BL52" s="72"/>
      <c r="BM52" s="72"/>
      <c r="BN52" s="90"/>
      <c r="BO52" s="90"/>
      <c r="BP52" s="125"/>
      <c r="BQ52" s="72"/>
      <c r="BR52" s="125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/>
      <c r="CE52" s="72"/>
      <c r="CF52" s="72"/>
      <c r="CG52" s="72"/>
    </row>
    <row r="53" spans="1:85" x14ac:dyDescent="0.2">
      <c r="A53" s="354">
        <v>37530</v>
      </c>
      <c r="B53" s="277">
        <v>3.601</v>
      </c>
      <c r="C53" s="303">
        <v>-0.51500000000000001</v>
      </c>
      <c r="D53" s="188">
        <v>-0.41293130681056178</v>
      </c>
      <c r="E53" s="188">
        <v>-0.41120132895989325</v>
      </c>
      <c r="F53" s="285">
        <v>0.1075</v>
      </c>
      <c r="G53" s="286">
        <v>0.10249999999999999</v>
      </c>
      <c r="H53" s="286">
        <v>0.1525</v>
      </c>
      <c r="I53" s="287">
        <v>0.10249999999999999</v>
      </c>
      <c r="J53" s="286">
        <v>3.5000000000000003E-2</v>
      </c>
      <c r="K53" s="286">
        <v>0.1075</v>
      </c>
      <c r="L53" s="286">
        <v>0.42</v>
      </c>
      <c r="M53" s="285">
        <v>-0.84</v>
      </c>
      <c r="N53" s="286">
        <v>0.4</v>
      </c>
      <c r="O53" s="287">
        <v>0.17</v>
      </c>
      <c r="P53" s="239">
        <v>-0.39</v>
      </c>
      <c r="Q53" s="215">
        <v>0.39250000000000002</v>
      </c>
      <c r="R53" s="291">
        <v>0.38500000000000001</v>
      </c>
      <c r="S53" s="194">
        <v>0.38500000000000001</v>
      </c>
      <c r="T53" s="107">
        <v>0.6</v>
      </c>
      <c r="U53" s="308">
        <v>0.38500000000000001</v>
      </c>
      <c r="V53" s="61">
        <v>3.0859999999999999</v>
      </c>
      <c r="W53" s="61">
        <v>3.1880686931894382</v>
      </c>
      <c r="X53" s="197">
        <v>3.1897986710401067</v>
      </c>
      <c r="Y53" s="116" t="s">
        <v>252</v>
      </c>
      <c r="Z53" s="281">
        <v>0.14749999999999999</v>
      </c>
      <c r="AA53" s="296">
        <v>0.15</v>
      </c>
      <c r="AB53" s="301">
        <v>4.4595946688097738</v>
      </c>
      <c r="AC53" s="145">
        <v>4.6070946688097738</v>
      </c>
      <c r="AD53" s="197">
        <v>4.6095946688097742</v>
      </c>
      <c r="AE53" s="238">
        <v>3.2109999999999999</v>
      </c>
      <c r="AF53" s="133">
        <v>2.7610000000000001</v>
      </c>
      <c r="AG53" s="202">
        <v>3.7709999999999999</v>
      </c>
      <c r="AH53" s="242">
        <v>-0.49</v>
      </c>
      <c r="AI53" s="283">
        <v>1.5246669192792499</v>
      </c>
      <c r="AJ53" s="88">
        <v>4.5990120210593205E-2</v>
      </c>
      <c r="AK53" s="88">
        <v>4.1908154094579195E-2</v>
      </c>
      <c r="AL53" s="90">
        <v>0.94422663545719443</v>
      </c>
      <c r="AM53" s="204">
        <v>0.94899875766904151</v>
      </c>
      <c r="AN53" s="184">
        <v>0.10249999999999999</v>
      </c>
      <c r="AO53" s="205">
        <v>0.12</v>
      </c>
      <c r="AP53" s="72"/>
      <c r="AQ53" s="184">
        <v>-3.5292447154852802</v>
      </c>
      <c r="AR53" s="206">
        <v>-3.0142447154852801</v>
      </c>
      <c r="AS53" s="72"/>
      <c r="AT53" s="273">
        <v>7.4999999999999997E-3</v>
      </c>
      <c r="AU53" s="72"/>
      <c r="AV53" s="184">
        <v>2.5000000000000001E-3</v>
      </c>
      <c r="AW53" s="244"/>
      <c r="AX53" s="90">
        <v>-0.1</v>
      </c>
      <c r="AY53" s="90"/>
      <c r="AZ53" s="302">
        <v>0.6</v>
      </c>
      <c r="BA53" s="302">
        <v>0.6</v>
      </c>
      <c r="BB53" s="252">
        <v>-0.51500000000000001</v>
      </c>
      <c r="BC53" s="247"/>
      <c r="BD53" s="90"/>
      <c r="BE53" s="72"/>
      <c r="BF53" s="151"/>
      <c r="BG53" s="72"/>
      <c r="BH53" s="125"/>
      <c r="BI53" s="125"/>
      <c r="BJ53" s="72"/>
      <c r="BK53" s="151"/>
      <c r="BL53" s="72"/>
      <c r="BM53" s="72"/>
      <c r="BN53" s="90"/>
      <c r="BO53" s="90"/>
      <c r="BP53" s="125"/>
      <c r="BQ53" s="72"/>
      <c r="BR53" s="125"/>
      <c r="BS53" s="72"/>
      <c r="BT53" s="72"/>
      <c r="BU53" s="72"/>
      <c r="BV53" s="72"/>
      <c r="BW53" s="72"/>
      <c r="BX53" s="72"/>
      <c r="BY53" s="72"/>
      <c r="BZ53" s="72"/>
      <c r="CA53" s="72"/>
      <c r="CB53" s="72"/>
      <c r="CC53" s="72"/>
      <c r="CD53" s="72"/>
      <c r="CE53" s="72"/>
      <c r="CF53" s="72"/>
      <c r="CG53" s="72"/>
    </row>
    <row r="54" spans="1:85" x14ac:dyDescent="0.2">
      <c r="A54" s="353">
        <v>37561</v>
      </c>
      <c r="B54" s="277">
        <v>3.7480000000000002</v>
      </c>
      <c r="C54" s="284">
        <v>-0.48499999999999999</v>
      </c>
      <c r="D54" s="188">
        <v>-0.38814047892595571</v>
      </c>
      <c r="E54" s="188">
        <v>-0.14000000000000001</v>
      </c>
      <c r="F54" s="285">
        <v>0.2</v>
      </c>
      <c r="G54" s="286">
        <v>0.34</v>
      </c>
      <c r="H54" s="286">
        <v>0.36</v>
      </c>
      <c r="I54" s="287">
        <v>0.49</v>
      </c>
      <c r="J54" s="286">
        <v>0.11</v>
      </c>
      <c r="K54" s="286">
        <v>0.14000000000000001</v>
      </c>
      <c r="L54" s="286">
        <v>0.72</v>
      </c>
      <c r="M54" s="285">
        <v>-0.28000000000000003</v>
      </c>
      <c r="N54" s="286">
        <v>0.5</v>
      </c>
      <c r="O54" s="287">
        <v>0.1</v>
      </c>
      <c r="P54" s="309">
        <v>0.28000000000000003</v>
      </c>
      <c r="Q54" s="215">
        <v>0.4</v>
      </c>
      <c r="R54" s="291">
        <v>0.38750000000000001</v>
      </c>
      <c r="S54" s="194">
        <v>0.38750000000000001</v>
      </c>
      <c r="T54" s="107">
        <v>0.8</v>
      </c>
      <c r="U54" s="308">
        <v>0.38750000000000001</v>
      </c>
      <c r="V54" s="61">
        <v>3.2630000000000003</v>
      </c>
      <c r="W54" s="61">
        <v>3.3598595210740445</v>
      </c>
      <c r="X54" s="197">
        <v>3.6080000000000001</v>
      </c>
      <c r="Y54" s="236"/>
      <c r="Z54" s="281">
        <v>0.14000000000000001</v>
      </c>
      <c r="AA54" s="296">
        <v>0.49866032233503255</v>
      </c>
      <c r="AB54" s="301">
        <v>4.71631487472236</v>
      </c>
      <c r="AC54" s="145">
        <v>4.8563148747223597</v>
      </c>
      <c r="AD54" s="197">
        <v>5.2149751970573925</v>
      </c>
      <c r="AE54" s="238">
        <v>4.0280000000000005</v>
      </c>
      <c r="AF54" s="133">
        <v>3.468</v>
      </c>
      <c r="AG54" s="202">
        <v>3.8480000000000003</v>
      </c>
      <c r="AH54" s="242">
        <v>-0.28000000000000003</v>
      </c>
      <c r="AI54" s="283">
        <v>1.5249697537435101</v>
      </c>
      <c r="AJ54" s="88">
        <v>4.6407377234498205E-2</v>
      </c>
      <c r="AK54" s="88">
        <v>4.2431015008012302E-2</v>
      </c>
      <c r="AL54" s="90">
        <v>0.94007317530597123</v>
      </c>
      <c r="AM54" s="204">
        <v>0.94501197010364257</v>
      </c>
      <c r="AN54" s="184">
        <v>0.35</v>
      </c>
      <c r="AO54" s="205">
        <v>0.124</v>
      </c>
      <c r="AP54" s="72"/>
      <c r="AQ54" s="184">
        <v>-3.4403088072635666</v>
      </c>
      <c r="AR54" s="206">
        <v>-2.9553088072635667</v>
      </c>
      <c r="AS54" s="72"/>
      <c r="AT54" s="273">
        <v>7.4999999999999997E-3</v>
      </c>
      <c r="AU54" s="72"/>
      <c r="AV54" s="184">
        <v>8.0000000000000002E-3</v>
      </c>
      <c r="AW54" s="244"/>
      <c r="AX54" s="90">
        <v>5.0000000000000001E-3</v>
      </c>
      <c r="AY54" s="90"/>
      <c r="AZ54" s="302">
        <v>0.8</v>
      </c>
      <c r="BA54" s="302">
        <v>0.8</v>
      </c>
      <c r="BB54" s="252">
        <v>-0.48499999999999999</v>
      </c>
      <c r="BC54" s="247"/>
      <c r="BD54" s="90"/>
      <c r="BE54" s="72"/>
      <c r="BF54" s="151"/>
      <c r="BG54" s="72"/>
      <c r="BH54" s="125"/>
      <c r="BI54" s="125"/>
      <c r="BJ54" s="72"/>
      <c r="BK54" s="151"/>
      <c r="BL54" s="72"/>
      <c r="BM54" s="72"/>
      <c r="BN54" s="90"/>
      <c r="BO54" s="90"/>
      <c r="BP54" s="125"/>
      <c r="BQ54" s="72"/>
      <c r="BR54" s="125"/>
      <c r="BS54" s="72"/>
      <c r="BT54" s="72"/>
      <c r="BU54" s="72"/>
      <c r="BV54" s="72"/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72"/>
    </row>
    <row r="55" spans="1:85" x14ac:dyDescent="0.2">
      <c r="A55" s="354">
        <v>37591</v>
      </c>
      <c r="B55" s="277">
        <v>3.89</v>
      </c>
      <c r="C55" s="307">
        <v>-0.48499999999999999</v>
      </c>
      <c r="D55" s="188">
        <v>-0.38815746821963826</v>
      </c>
      <c r="E55" s="188">
        <v>-0.11999999999999922</v>
      </c>
      <c r="F55" s="285">
        <v>0.22</v>
      </c>
      <c r="G55" s="286">
        <v>0.36</v>
      </c>
      <c r="H55" s="286">
        <v>0.38</v>
      </c>
      <c r="I55" s="287">
        <v>0.51</v>
      </c>
      <c r="J55" s="286">
        <v>0.13</v>
      </c>
      <c r="K55" s="286">
        <v>0.16</v>
      </c>
      <c r="L55" s="286">
        <v>1.1200000000000001</v>
      </c>
      <c r="M55" s="285">
        <v>-0.28000000000000003</v>
      </c>
      <c r="N55" s="286">
        <v>0.5</v>
      </c>
      <c r="O55" s="287">
        <v>0.1</v>
      </c>
      <c r="P55" s="309">
        <v>0.38</v>
      </c>
      <c r="Q55" s="215">
        <v>0.40250000000000002</v>
      </c>
      <c r="R55" s="291">
        <v>0.39</v>
      </c>
      <c r="S55" s="194">
        <v>0.39</v>
      </c>
      <c r="T55" s="107">
        <v>1</v>
      </c>
      <c r="U55" s="308">
        <v>0.39</v>
      </c>
      <c r="V55" s="61">
        <v>3.4049999999999998</v>
      </c>
      <c r="W55" s="61">
        <v>3.5018425317803619</v>
      </c>
      <c r="X55" s="197">
        <v>3.77</v>
      </c>
      <c r="Y55" s="116" t="s">
        <v>250</v>
      </c>
      <c r="Z55" s="281">
        <v>0.14000000000000001</v>
      </c>
      <c r="AA55" s="296">
        <v>0.52766071952656546</v>
      </c>
      <c r="AB55" s="301">
        <v>4.9224239725697414</v>
      </c>
      <c r="AC55" s="145">
        <v>5.0624239725697411</v>
      </c>
      <c r="AD55" s="197">
        <v>5.4500846920963069</v>
      </c>
      <c r="AE55" s="238">
        <v>4.2699999999999996</v>
      </c>
      <c r="AF55" s="133">
        <v>3.61</v>
      </c>
      <c r="AG55" s="202">
        <v>3.99</v>
      </c>
      <c r="AH55" s="242">
        <v>-0.28000000000000003</v>
      </c>
      <c r="AI55" s="283">
        <v>1.5252372824680001</v>
      </c>
      <c r="AJ55" s="88">
        <v>4.68111744098509E-2</v>
      </c>
      <c r="AK55" s="88">
        <v>4.2937009527598005E-2</v>
      </c>
      <c r="AL55" s="90">
        <v>0.93600950088183554</v>
      </c>
      <c r="AM55" s="204">
        <v>0.94109201548400911</v>
      </c>
      <c r="AN55" s="184">
        <v>0.37</v>
      </c>
      <c r="AO55" s="205">
        <v>0.12</v>
      </c>
      <c r="AP55" s="72"/>
      <c r="AQ55" s="184">
        <v>-3.5603160336749204</v>
      </c>
      <c r="AR55" s="206">
        <v>-3.0753160336749206</v>
      </c>
      <c r="AS55" s="72"/>
      <c r="AT55" s="273">
        <v>7.4999999999999997E-3</v>
      </c>
      <c r="AU55" s="72"/>
      <c r="AV55" s="184">
        <v>8.0000000000000002E-3</v>
      </c>
      <c r="AW55" s="244"/>
      <c r="AX55" s="90">
        <v>0.01</v>
      </c>
      <c r="AY55" s="90"/>
      <c r="AZ55" s="302">
        <v>1</v>
      </c>
      <c r="BA55" s="302">
        <v>1</v>
      </c>
      <c r="BB55" s="252">
        <v>-0.48499999999999999</v>
      </c>
      <c r="BC55" s="247"/>
      <c r="BD55" s="90"/>
      <c r="BE55" s="72"/>
      <c r="BF55" s="151"/>
      <c r="BG55" s="72"/>
      <c r="BH55" s="125"/>
      <c r="BI55" s="125"/>
      <c r="BJ55" s="72"/>
      <c r="BK55" s="151"/>
      <c r="BL55" s="72"/>
      <c r="BM55" s="72"/>
      <c r="BN55" s="90"/>
      <c r="BO55" s="90"/>
      <c r="BP55" s="125"/>
      <c r="BQ55" s="72"/>
      <c r="BR55" s="125"/>
      <c r="BS55" s="72"/>
      <c r="BT55" s="72"/>
      <c r="BU55" s="72"/>
      <c r="BV55" s="72"/>
      <c r="BW55" s="72"/>
      <c r="BX55" s="72"/>
      <c r="BY55" s="72"/>
      <c r="BZ55" s="72"/>
      <c r="CA55" s="72"/>
      <c r="CB55" s="72"/>
      <c r="CC55" s="72"/>
      <c r="CD55" s="72"/>
      <c r="CE55" s="72"/>
      <c r="CF55" s="72"/>
      <c r="CG55" s="72"/>
    </row>
    <row r="56" spans="1:85" x14ac:dyDescent="0.2">
      <c r="A56" s="354">
        <v>37622</v>
      </c>
      <c r="B56" s="277">
        <v>3.95</v>
      </c>
      <c r="C56" s="307">
        <v>-0.48499999999999999</v>
      </c>
      <c r="D56" s="188">
        <v>-0.38817123292224975</v>
      </c>
      <c r="E56" s="188">
        <v>-0.11000000000000076</v>
      </c>
      <c r="F56" s="285">
        <v>0.23</v>
      </c>
      <c r="G56" s="286">
        <v>0.37</v>
      </c>
      <c r="H56" s="286">
        <v>0.39</v>
      </c>
      <c r="I56" s="287">
        <v>0.52</v>
      </c>
      <c r="J56" s="286">
        <v>0.14000000000000001</v>
      </c>
      <c r="K56" s="286">
        <v>0.17</v>
      </c>
      <c r="L56" s="286">
        <v>1.6</v>
      </c>
      <c r="M56" s="285">
        <v>-0.28000000000000003</v>
      </c>
      <c r="N56" s="286">
        <v>0.4</v>
      </c>
      <c r="O56" s="287">
        <v>0</v>
      </c>
      <c r="P56" s="309">
        <v>0.55000000000000004</v>
      </c>
      <c r="Q56" s="215">
        <v>0.40500000000000003</v>
      </c>
      <c r="R56" s="291">
        <v>0.39250000000000002</v>
      </c>
      <c r="S56" s="194">
        <v>0.39250000000000002</v>
      </c>
      <c r="T56" s="107">
        <v>1</v>
      </c>
      <c r="U56" s="308">
        <v>0.39250000000000002</v>
      </c>
      <c r="V56" s="61">
        <v>3.4649999999999999</v>
      </c>
      <c r="W56" s="61">
        <v>3.5618287670777504</v>
      </c>
      <c r="X56" s="197">
        <v>3.84</v>
      </c>
      <c r="Y56" s="236"/>
      <c r="Z56" s="281">
        <v>0.14000000000000001</v>
      </c>
      <c r="AA56" s="296">
        <v>0.54219424231482893</v>
      </c>
      <c r="AB56" s="301">
        <v>5.0098747989890269</v>
      </c>
      <c r="AC56" s="145">
        <v>5.1498747989890266</v>
      </c>
      <c r="AD56" s="197">
        <v>5.5520690413038558</v>
      </c>
      <c r="AE56" s="238">
        <v>4.5</v>
      </c>
      <c r="AF56" s="133">
        <v>3.67</v>
      </c>
      <c r="AG56" s="202">
        <v>3.95</v>
      </c>
      <c r="AH56" s="242">
        <v>-0.28000000000000003</v>
      </c>
      <c r="AI56" s="283">
        <v>1.5254541027192399</v>
      </c>
      <c r="AJ56" s="88">
        <v>4.7228431548330903E-2</v>
      </c>
      <c r="AK56" s="88">
        <v>4.3474576242227503E-2</v>
      </c>
      <c r="AL56" s="90">
        <v>0.93176548512923318</v>
      </c>
      <c r="AM56" s="204">
        <v>0.93695812924361876</v>
      </c>
      <c r="AN56" s="184">
        <v>0.38</v>
      </c>
      <c r="AO56" s="205">
        <v>0.12</v>
      </c>
      <c r="AP56" s="72"/>
      <c r="AQ56" s="184">
        <v>-3.6103126098515728</v>
      </c>
      <c r="AR56" s="206">
        <v>-3.1253126098515729</v>
      </c>
      <c r="AS56" s="72"/>
      <c r="AT56" s="273">
        <v>7.4999999999999997E-3</v>
      </c>
      <c r="AU56" s="72"/>
      <c r="AV56" s="184">
        <v>8.0000000000000002E-3</v>
      </c>
      <c r="AW56" s="244"/>
      <c r="AX56" s="90">
        <v>0.03</v>
      </c>
      <c r="AY56" s="90"/>
      <c r="AZ56" s="302">
        <v>1</v>
      </c>
      <c r="BA56" s="302">
        <v>1</v>
      </c>
      <c r="BB56" s="252">
        <v>-0.48499999999999999</v>
      </c>
      <c r="BC56" s="247"/>
      <c r="BD56" s="90"/>
      <c r="BE56" s="72"/>
      <c r="BF56" s="151"/>
      <c r="BG56" s="72"/>
      <c r="BH56" s="125"/>
      <c r="BI56" s="125"/>
      <c r="BJ56" s="72"/>
      <c r="BK56" s="151"/>
      <c r="BL56" s="72"/>
      <c r="BM56" s="72"/>
      <c r="BN56" s="90"/>
      <c r="BO56" s="90"/>
      <c r="BP56" s="125"/>
      <c r="BQ56" s="72"/>
      <c r="BR56" s="125"/>
      <c r="BS56" s="72"/>
      <c r="BT56" s="72"/>
      <c r="BU56" s="72"/>
      <c r="BV56" s="72"/>
      <c r="BW56" s="72"/>
      <c r="BX56" s="72"/>
      <c r="BY56" s="72"/>
      <c r="BZ56" s="72"/>
      <c r="CA56" s="72"/>
      <c r="CB56" s="72"/>
      <c r="CC56" s="72"/>
      <c r="CD56" s="72"/>
      <c r="CE56" s="72"/>
      <c r="CF56" s="72"/>
      <c r="CG56" s="72"/>
    </row>
    <row r="57" spans="1:85" x14ac:dyDescent="0.2">
      <c r="A57" s="354">
        <v>37653</v>
      </c>
      <c r="B57" s="277">
        <v>3.83</v>
      </c>
      <c r="C57" s="307">
        <v>-0.48499999999999999</v>
      </c>
      <c r="D57" s="188">
        <v>-0.38818035157728215</v>
      </c>
      <c r="E57" s="188">
        <v>-0.11</v>
      </c>
      <c r="F57" s="285">
        <v>0.23</v>
      </c>
      <c r="G57" s="286">
        <v>0.37</v>
      </c>
      <c r="H57" s="286">
        <v>0.39</v>
      </c>
      <c r="I57" s="287">
        <v>0.52</v>
      </c>
      <c r="J57" s="286">
        <v>0.14000000000000001</v>
      </c>
      <c r="K57" s="286">
        <v>0.17</v>
      </c>
      <c r="L57" s="286">
        <v>1.6</v>
      </c>
      <c r="M57" s="285">
        <v>-0.28000000000000003</v>
      </c>
      <c r="N57" s="286">
        <v>0.4</v>
      </c>
      <c r="O57" s="287">
        <v>0</v>
      </c>
      <c r="P57" s="309">
        <v>0.28999999999999998</v>
      </c>
      <c r="Q57" s="215">
        <v>0.39500000000000002</v>
      </c>
      <c r="R57" s="291">
        <v>0.38250000000000001</v>
      </c>
      <c r="S57" s="194">
        <v>0.38250000000000001</v>
      </c>
      <c r="T57" s="107">
        <v>1</v>
      </c>
      <c r="U57" s="308">
        <v>0.38250000000000001</v>
      </c>
      <c r="V57" s="61">
        <v>3.3450000000000002</v>
      </c>
      <c r="W57" s="61">
        <v>3.4418196484227179</v>
      </c>
      <c r="X57" s="197">
        <v>3.72</v>
      </c>
      <c r="Y57" s="62"/>
      <c r="Z57" s="281">
        <v>0.14000000000000001</v>
      </c>
      <c r="AA57" s="296">
        <v>0.54224530717962605</v>
      </c>
      <c r="AB57" s="301">
        <v>4.8368281400422637</v>
      </c>
      <c r="AC57" s="145">
        <v>4.9768281400422634</v>
      </c>
      <c r="AD57" s="197">
        <v>5.3790734472218897</v>
      </c>
      <c r="AE57" s="238">
        <v>4.12</v>
      </c>
      <c r="AF57" s="133">
        <v>3.55</v>
      </c>
      <c r="AG57" s="202">
        <v>3.83</v>
      </c>
      <c r="AH57" s="242">
        <v>-0.28000000000000003</v>
      </c>
      <c r="AI57" s="283">
        <v>1.5255977728312198</v>
      </c>
      <c r="AJ57" s="88">
        <v>4.7645688745019801E-2</v>
      </c>
      <c r="AK57" s="88">
        <v>4.4029999882389897E-2</v>
      </c>
      <c r="AL57" s="90">
        <v>0.92747665089385423</v>
      </c>
      <c r="AM57" s="204">
        <v>0.93273323200832137</v>
      </c>
      <c r="AN57" s="184">
        <v>0.38</v>
      </c>
      <c r="AO57" s="205">
        <v>0.13300000000000001</v>
      </c>
      <c r="AP57" s="72"/>
      <c r="AQ57" s="184">
        <v>-3.4903004804087066</v>
      </c>
      <c r="AR57" s="206">
        <v>-3.0053004804087067</v>
      </c>
      <c r="AS57" s="72"/>
      <c r="AT57" s="273">
        <v>7.4999999999999997E-3</v>
      </c>
      <c r="AU57" s="72"/>
      <c r="AV57" s="184">
        <v>8.0000000000000002E-3</v>
      </c>
      <c r="AW57" s="244"/>
      <c r="AX57" s="90">
        <v>2.5000000000000001E-2</v>
      </c>
      <c r="AY57" s="90"/>
      <c r="AZ57" s="302">
        <v>1</v>
      </c>
      <c r="BA57" s="302">
        <v>1</v>
      </c>
      <c r="BB57" s="252">
        <v>-0.48499999999999999</v>
      </c>
      <c r="BC57" s="247"/>
      <c r="BD57" s="90"/>
      <c r="BE57" s="72"/>
      <c r="BF57" s="151"/>
      <c r="BG57" s="72"/>
      <c r="BH57" s="125"/>
      <c r="BI57" s="125"/>
      <c r="BJ57" s="72"/>
      <c r="BK57" s="151"/>
      <c r="BL57" s="72"/>
      <c r="BM57" s="72"/>
      <c r="BN57" s="90"/>
      <c r="BO57" s="90"/>
      <c r="BP57" s="125"/>
      <c r="BQ57" s="72"/>
      <c r="BR57" s="125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  <c r="CD57" s="72"/>
      <c r="CE57" s="72"/>
      <c r="CF57" s="72"/>
      <c r="CG57" s="72"/>
    </row>
    <row r="58" spans="1:85" x14ac:dyDescent="0.2">
      <c r="A58" s="354">
        <v>37681</v>
      </c>
      <c r="B58" s="277">
        <v>3.6850000000000001</v>
      </c>
      <c r="C58" s="307">
        <v>-0.48499999999999999</v>
      </c>
      <c r="D58" s="188">
        <v>-0.38818667584475186</v>
      </c>
      <c r="E58" s="188">
        <v>-0.12</v>
      </c>
      <c r="F58" s="285">
        <v>0.22</v>
      </c>
      <c r="G58" s="286">
        <v>0.36</v>
      </c>
      <c r="H58" s="286">
        <v>0.38</v>
      </c>
      <c r="I58" s="287">
        <v>0.51</v>
      </c>
      <c r="J58" s="286">
        <v>0.13</v>
      </c>
      <c r="K58" s="286">
        <v>0.16</v>
      </c>
      <c r="L58" s="286">
        <v>0.71</v>
      </c>
      <c r="M58" s="285">
        <v>-0.28000000000000003</v>
      </c>
      <c r="N58" s="286">
        <v>0.4</v>
      </c>
      <c r="O58" s="287">
        <v>0</v>
      </c>
      <c r="P58" s="309">
        <v>0.25</v>
      </c>
      <c r="Q58" s="215">
        <v>0.3775</v>
      </c>
      <c r="R58" s="291">
        <v>0.36499999999999999</v>
      </c>
      <c r="S58" s="194">
        <v>0.36499999999999999</v>
      </c>
      <c r="T58" s="107">
        <v>0.75</v>
      </c>
      <c r="U58" s="308">
        <v>0.36499999999999999</v>
      </c>
      <c r="V58" s="61">
        <v>3.2</v>
      </c>
      <c r="W58" s="61">
        <v>3.2968133241552482</v>
      </c>
      <c r="X58" s="197">
        <v>3.5649999999999999</v>
      </c>
      <c r="Y58" s="62"/>
      <c r="Z58" s="281">
        <v>0.14000000000000001</v>
      </c>
      <c r="AA58" s="296">
        <v>0.52781990956179747</v>
      </c>
      <c r="AB58" s="301">
        <v>4.6274622208157599</v>
      </c>
      <c r="AC58" s="145">
        <v>4.7674622208157595</v>
      </c>
      <c r="AD58" s="197">
        <v>5.1552821303775573</v>
      </c>
      <c r="AE58" s="238">
        <v>3.9350000000000001</v>
      </c>
      <c r="AF58" s="133">
        <v>3.4049999999999998</v>
      </c>
      <c r="AG58" s="202">
        <v>3.6850000000000001</v>
      </c>
      <c r="AH58" s="242">
        <v>-0.28000000000000003</v>
      </c>
      <c r="AI58" s="283">
        <v>1.5256974315140599</v>
      </c>
      <c r="AJ58" s="88">
        <v>4.8022566263019199E-2</v>
      </c>
      <c r="AK58" s="88">
        <v>4.4531672936488804E-2</v>
      </c>
      <c r="AL58" s="90">
        <v>0.92356502201514501</v>
      </c>
      <c r="AM58" s="204">
        <v>0.92886010674009978</v>
      </c>
      <c r="AN58" s="184">
        <v>0.37</v>
      </c>
      <c r="AO58" s="205">
        <v>0.12</v>
      </c>
      <c r="AP58" s="72"/>
      <c r="AQ58" s="184">
        <v>-3.3552800595181123</v>
      </c>
      <c r="AR58" s="206">
        <v>-2.8702800595181124</v>
      </c>
      <c r="AS58" s="72"/>
      <c r="AT58" s="273">
        <v>7.4999999999999997E-3</v>
      </c>
      <c r="AU58" s="72"/>
      <c r="AV58" s="184">
        <v>8.0000000000000002E-3</v>
      </c>
      <c r="AW58" s="244"/>
      <c r="AX58" s="90">
        <v>5.0000000000000001E-3</v>
      </c>
      <c r="AY58" s="90"/>
      <c r="AZ58" s="302">
        <v>0.75</v>
      </c>
      <c r="BA58" s="302">
        <v>0.75</v>
      </c>
      <c r="BB58" s="252">
        <v>-0.48499999999999999</v>
      </c>
      <c r="BC58" s="247"/>
      <c r="BD58" s="90"/>
      <c r="BE58" s="72"/>
      <c r="BF58" s="151"/>
      <c r="BG58" s="72"/>
      <c r="BH58" s="125"/>
      <c r="BI58" s="125"/>
      <c r="BJ58" s="72"/>
      <c r="BK58" s="151"/>
      <c r="BL58" s="72"/>
      <c r="BM58" s="72"/>
      <c r="BN58" s="90"/>
      <c r="BO58" s="90"/>
      <c r="BP58" s="125"/>
      <c r="BQ58" s="72"/>
      <c r="BR58" s="125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</row>
    <row r="59" spans="1:85" x14ac:dyDescent="0.2">
      <c r="A59" s="354">
        <v>37712</v>
      </c>
      <c r="B59" s="277">
        <v>3.3650000000000002</v>
      </c>
      <c r="C59" s="298">
        <v>-0.52500000000000002</v>
      </c>
      <c r="D59" s="188">
        <v>-0.42819566780956109</v>
      </c>
      <c r="E59" s="188">
        <v>-0.45585404843540056</v>
      </c>
      <c r="F59" s="285">
        <v>0.12</v>
      </c>
      <c r="G59" s="286">
        <v>0.12</v>
      </c>
      <c r="H59" s="286">
        <v>0.155</v>
      </c>
      <c r="I59" s="287">
        <v>0.155</v>
      </c>
      <c r="J59" s="286">
        <v>3.5000000000000003E-2</v>
      </c>
      <c r="K59" s="286">
        <v>0.11</v>
      </c>
      <c r="L59" s="286">
        <v>0.48</v>
      </c>
      <c r="M59" s="285">
        <v>-0.47</v>
      </c>
      <c r="N59" s="286">
        <v>0.25</v>
      </c>
      <c r="O59" s="287">
        <v>-0.25</v>
      </c>
      <c r="P59" s="299">
        <v>-0.35</v>
      </c>
      <c r="Q59" s="215">
        <v>0.33500000000000002</v>
      </c>
      <c r="R59" s="291">
        <v>0.32250000000000001</v>
      </c>
      <c r="S59" s="194">
        <v>0.32250000000000001</v>
      </c>
      <c r="T59" s="107">
        <v>0.4</v>
      </c>
      <c r="U59" s="308">
        <v>0.32250000000000001</v>
      </c>
      <c r="V59" s="61">
        <v>2.84</v>
      </c>
      <c r="W59" s="61">
        <v>2.9368043321904391</v>
      </c>
      <c r="X59" s="197">
        <v>2.9091459515645997</v>
      </c>
      <c r="Y59" s="62"/>
      <c r="Z59" s="281">
        <v>0.14000000000000001</v>
      </c>
      <c r="AA59" s="296">
        <v>0.1</v>
      </c>
      <c r="AB59" s="301">
        <v>4.1072542003370147</v>
      </c>
      <c r="AC59" s="145">
        <v>4.2472542003370144</v>
      </c>
      <c r="AD59" s="197">
        <v>4.2072542003370144</v>
      </c>
      <c r="AE59" s="238">
        <v>3.0150000000000001</v>
      </c>
      <c r="AF59" s="133">
        <v>2.895</v>
      </c>
      <c r="AG59" s="202">
        <v>3.1150000000000002</v>
      </c>
      <c r="AH59" s="242">
        <v>-0.315</v>
      </c>
      <c r="AI59" s="283">
        <v>1.5258391505601299</v>
      </c>
      <c r="AJ59" s="88">
        <v>4.8439823570460401E-2</v>
      </c>
      <c r="AK59" s="88">
        <v>4.5062466702167299E-2</v>
      </c>
      <c r="AL59" s="90">
        <v>0.91919314893639759</v>
      </c>
      <c r="AM59" s="204">
        <v>0.92454903992999371</v>
      </c>
      <c r="AN59" s="184">
        <v>0.12</v>
      </c>
      <c r="AO59" s="205">
        <v>0.124</v>
      </c>
      <c r="AP59" s="72"/>
      <c r="AQ59" s="184">
        <v>-3.3258829505644254</v>
      </c>
      <c r="AR59" s="206">
        <v>-2.8008829505644255</v>
      </c>
      <c r="AS59" s="72"/>
      <c r="AT59" s="273">
        <v>7.4999999999999997E-3</v>
      </c>
      <c r="AU59" s="72"/>
      <c r="AV59" s="184">
        <v>2.5000000000000001E-3</v>
      </c>
      <c r="AW59" s="244"/>
      <c r="AX59" s="90">
        <v>-0.105</v>
      </c>
      <c r="AY59" s="90"/>
      <c r="AZ59" s="302">
        <v>0.4</v>
      </c>
      <c r="BA59" s="302">
        <v>0.4</v>
      </c>
      <c r="BB59" s="252">
        <v>-0.52500000000000002</v>
      </c>
      <c r="BC59" s="247"/>
      <c r="BD59" s="90"/>
      <c r="BE59" s="72"/>
      <c r="BF59" s="151"/>
      <c r="BG59" s="72"/>
      <c r="BH59" s="125"/>
      <c r="BI59" s="125"/>
      <c r="BJ59" s="72"/>
      <c r="BK59" s="151"/>
      <c r="BL59" s="72"/>
      <c r="BM59" s="72"/>
      <c r="BN59" s="90"/>
      <c r="BO59" s="90"/>
      <c r="BP59" s="125"/>
      <c r="BQ59" s="72"/>
      <c r="BR59" s="125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  <c r="CD59" s="72"/>
      <c r="CE59" s="72"/>
      <c r="CF59" s="72"/>
      <c r="CG59" s="72"/>
    </row>
    <row r="60" spans="1:85" x14ac:dyDescent="0.2">
      <c r="A60" s="354">
        <v>37742</v>
      </c>
      <c r="B60" s="277">
        <v>3.3360000000000003</v>
      </c>
      <c r="C60" s="303">
        <v>-0.52500000000000002</v>
      </c>
      <c r="D60" s="188">
        <v>-0.42820877827209447</v>
      </c>
      <c r="E60" s="188">
        <v>-0.45586341305149647</v>
      </c>
      <c r="F60" s="285">
        <v>0.12</v>
      </c>
      <c r="G60" s="286">
        <v>0.12</v>
      </c>
      <c r="H60" s="286">
        <v>0.155</v>
      </c>
      <c r="I60" s="287">
        <v>0.155</v>
      </c>
      <c r="J60" s="286">
        <v>3.5000000000000003E-2</v>
      </c>
      <c r="K60" s="286">
        <v>0.11</v>
      </c>
      <c r="L60" s="286">
        <v>0.42</v>
      </c>
      <c r="M60" s="285">
        <v>-0.47</v>
      </c>
      <c r="N60" s="286">
        <v>0.25</v>
      </c>
      <c r="O60" s="287">
        <v>-0.25</v>
      </c>
      <c r="P60" s="239">
        <v>-0.35</v>
      </c>
      <c r="Q60" s="215">
        <v>0.33250000000000002</v>
      </c>
      <c r="R60" s="291">
        <v>0.32</v>
      </c>
      <c r="S60" s="194">
        <v>0.32</v>
      </c>
      <c r="T60" s="107">
        <v>0.45</v>
      </c>
      <c r="U60" s="308">
        <v>0.32</v>
      </c>
      <c r="V60" s="61">
        <v>2.8110000000000004</v>
      </c>
      <c r="W60" s="61">
        <v>2.9077912217279058</v>
      </c>
      <c r="X60" s="197">
        <v>2.8801365869485038</v>
      </c>
      <c r="Y60" s="62"/>
      <c r="Z60" s="281">
        <v>0.14000000000000001</v>
      </c>
      <c r="AA60" s="296">
        <v>0.1</v>
      </c>
      <c r="AB60" s="301">
        <v>4.0658645791898165</v>
      </c>
      <c r="AC60" s="145">
        <v>4.2058645791898162</v>
      </c>
      <c r="AD60" s="197">
        <v>4.1658645791898161</v>
      </c>
      <c r="AE60" s="238">
        <v>2.9860000000000002</v>
      </c>
      <c r="AF60" s="133">
        <v>2.8660000000000005</v>
      </c>
      <c r="AG60" s="202">
        <v>3.0860000000000003</v>
      </c>
      <c r="AH60" s="242">
        <v>-0.315</v>
      </c>
      <c r="AI60" s="283">
        <v>1.5260458269162898</v>
      </c>
      <c r="AJ60" s="88">
        <v>4.8843621020148803E-2</v>
      </c>
      <c r="AK60" s="88">
        <v>4.5540878215540204E-2</v>
      </c>
      <c r="AL60" s="90">
        <v>0.91492189327405948</v>
      </c>
      <c r="AM60" s="204">
        <v>0.92037754593620646</v>
      </c>
      <c r="AN60" s="184">
        <v>0.12</v>
      </c>
      <c r="AO60" s="205">
        <v>0.12</v>
      </c>
      <c r="AP60" s="72"/>
      <c r="AQ60" s="184">
        <v>-3.2968923112662298</v>
      </c>
      <c r="AR60" s="206">
        <v>-2.7718923112662299</v>
      </c>
      <c r="AS60" s="72"/>
      <c r="AT60" s="273">
        <v>7.4999999999999997E-3</v>
      </c>
      <c r="AU60" s="72"/>
      <c r="AV60" s="184">
        <v>2.5000000000000001E-3</v>
      </c>
      <c r="AW60" s="244"/>
      <c r="AX60" s="90">
        <v>-0.105</v>
      </c>
      <c r="AY60" s="90"/>
      <c r="AZ60" s="302">
        <v>0.45</v>
      </c>
      <c r="BA60" s="302">
        <v>0.45</v>
      </c>
      <c r="BB60" s="252">
        <v>-0.52500000000000002</v>
      </c>
      <c r="BC60" s="247"/>
      <c r="BD60" s="90"/>
      <c r="BE60" s="72"/>
      <c r="BF60" s="151"/>
      <c r="BG60" s="72"/>
      <c r="BH60" s="125"/>
      <c r="BI60" s="125"/>
      <c r="BJ60" s="72"/>
      <c r="BK60" s="151"/>
      <c r="BL60" s="72"/>
      <c r="BM60" s="72"/>
      <c r="BN60" s="90"/>
      <c r="BO60" s="90"/>
      <c r="BP60" s="125"/>
      <c r="BQ60" s="72"/>
      <c r="BR60" s="125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</row>
    <row r="61" spans="1:85" x14ac:dyDescent="0.2">
      <c r="A61" s="354">
        <v>37773</v>
      </c>
      <c r="B61" s="277">
        <v>3.3770000000000002</v>
      </c>
      <c r="C61" s="303">
        <v>-0.52500000000000002</v>
      </c>
      <c r="D61" s="188">
        <v>-0.42822110077123643</v>
      </c>
      <c r="E61" s="188">
        <v>-0.45587221483659723</v>
      </c>
      <c r="F61" s="285">
        <v>0.12</v>
      </c>
      <c r="G61" s="286">
        <v>0.12</v>
      </c>
      <c r="H61" s="286">
        <v>0.155</v>
      </c>
      <c r="I61" s="287">
        <v>0.155</v>
      </c>
      <c r="J61" s="286">
        <v>3.5000000000000003E-2</v>
      </c>
      <c r="K61" s="286">
        <v>0.11</v>
      </c>
      <c r="L61" s="286">
        <v>0.42</v>
      </c>
      <c r="M61" s="285">
        <v>-0.47</v>
      </c>
      <c r="N61" s="286">
        <v>0.25</v>
      </c>
      <c r="O61" s="287">
        <v>-0.25</v>
      </c>
      <c r="P61" s="239">
        <v>-0.35</v>
      </c>
      <c r="Q61" s="215">
        <v>0.33250000000000002</v>
      </c>
      <c r="R61" s="291">
        <v>0.32</v>
      </c>
      <c r="S61" s="194">
        <v>0.32</v>
      </c>
      <c r="T61" s="107">
        <v>0.45</v>
      </c>
      <c r="U61" s="308">
        <v>0.32</v>
      </c>
      <c r="V61" s="61">
        <v>2.8520000000000003</v>
      </c>
      <c r="W61" s="61">
        <v>2.9487788992287638</v>
      </c>
      <c r="X61" s="197">
        <v>2.921127785163403</v>
      </c>
      <c r="Y61" s="304" t="s">
        <v>255</v>
      </c>
      <c r="Z61" s="281">
        <v>0.14000000000000001</v>
      </c>
      <c r="AA61" s="296">
        <v>0.1</v>
      </c>
      <c r="AB61" s="301">
        <v>4.1256927200235207</v>
      </c>
      <c r="AC61" s="145">
        <v>4.2656927200235204</v>
      </c>
      <c r="AD61" s="197">
        <v>4.2256927200235204</v>
      </c>
      <c r="AE61" s="238">
        <v>3.0270000000000001</v>
      </c>
      <c r="AF61" s="133">
        <v>2.907</v>
      </c>
      <c r="AG61" s="202">
        <v>3.1270000000000002</v>
      </c>
      <c r="AH61" s="242">
        <v>-0.315</v>
      </c>
      <c r="AI61" s="283">
        <v>1.5262401326848301</v>
      </c>
      <c r="AJ61" s="88">
        <v>4.9260878442052299E-2</v>
      </c>
      <c r="AK61" s="88">
        <v>4.6035236859814706E-2</v>
      </c>
      <c r="AL61" s="90">
        <v>0.91046731309267914</v>
      </c>
      <c r="AM61" s="204">
        <v>0.91601302092272585</v>
      </c>
      <c r="AN61" s="184">
        <v>0.12</v>
      </c>
      <c r="AO61" s="205">
        <v>0.124</v>
      </c>
      <c r="AP61" s="72"/>
      <c r="AQ61" s="184">
        <v>-3.337901109372297</v>
      </c>
      <c r="AR61" s="206">
        <v>-2.8129011093722971</v>
      </c>
      <c r="AS61" s="72"/>
      <c r="AT61" s="273">
        <v>7.4999999999999997E-3</v>
      </c>
      <c r="AU61" s="72"/>
      <c r="AV61" s="184">
        <v>2.5000000000000001E-3</v>
      </c>
      <c r="AW61" s="244"/>
      <c r="AX61" s="90">
        <v>-0.105</v>
      </c>
      <c r="AY61" s="90"/>
      <c r="AZ61" s="302">
        <v>0.45</v>
      </c>
      <c r="BA61" s="302">
        <v>0.45</v>
      </c>
      <c r="BB61" s="252">
        <v>-0.52500000000000002</v>
      </c>
      <c r="BC61" s="247"/>
      <c r="BD61" s="90"/>
      <c r="BE61" s="72"/>
      <c r="BF61" s="151"/>
      <c r="BG61" s="72"/>
      <c r="BH61" s="125"/>
      <c r="BI61" s="125"/>
      <c r="BJ61" s="72"/>
      <c r="BK61" s="151"/>
      <c r="BL61" s="72"/>
      <c r="BM61" s="72"/>
      <c r="BN61" s="90"/>
      <c r="BO61" s="90"/>
      <c r="BP61" s="125"/>
      <c r="BQ61" s="72"/>
      <c r="BR61" s="125"/>
      <c r="BS61" s="72"/>
      <c r="BT61" s="72"/>
      <c r="BU61" s="72"/>
      <c r="BV61" s="72"/>
      <c r="BW61" s="72"/>
      <c r="BX61" s="72"/>
      <c r="BY61" s="72"/>
      <c r="BZ61" s="72"/>
      <c r="CA61" s="72"/>
      <c r="CB61" s="72"/>
      <c r="CC61" s="72"/>
      <c r="CD61" s="72"/>
      <c r="CE61" s="72"/>
      <c r="CF61" s="72"/>
      <c r="CG61" s="72"/>
    </row>
    <row r="62" spans="1:85" x14ac:dyDescent="0.2">
      <c r="A62" s="354">
        <v>37803</v>
      </c>
      <c r="B62" s="277">
        <v>3.4249999999999998</v>
      </c>
      <c r="C62" s="303">
        <v>-0.52500000000000002</v>
      </c>
      <c r="D62" s="188">
        <v>-0.42823057026585154</v>
      </c>
      <c r="E62" s="188">
        <v>-0.45587897876132244</v>
      </c>
      <c r="F62" s="285">
        <v>0.12</v>
      </c>
      <c r="G62" s="286">
        <v>0.12</v>
      </c>
      <c r="H62" s="286">
        <v>0.155</v>
      </c>
      <c r="I62" s="287">
        <v>0.155</v>
      </c>
      <c r="J62" s="286">
        <v>3.5000000000000003E-2</v>
      </c>
      <c r="K62" s="286">
        <v>0.11</v>
      </c>
      <c r="L62" s="286">
        <v>0.48</v>
      </c>
      <c r="M62" s="285">
        <v>-0.47</v>
      </c>
      <c r="N62" s="286">
        <v>0.25</v>
      </c>
      <c r="O62" s="287">
        <v>-0.25</v>
      </c>
      <c r="P62" s="239">
        <v>-0.35</v>
      </c>
      <c r="Q62" s="215">
        <v>0.33250000000000002</v>
      </c>
      <c r="R62" s="291">
        <v>0.32</v>
      </c>
      <c r="S62" s="194">
        <v>0.32</v>
      </c>
      <c r="T62" s="107">
        <v>0.5</v>
      </c>
      <c r="U62" s="308">
        <v>0.32</v>
      </c>
      <c r="V62" s="61">
        <v>2.9</v>
      </c>
      <c r="W62" s="61">
        <v>2.9967694297341483</v>
      </c>
      <c r="X62" s="197">
        <v>2.9691210212386774</v>
      </c>
      <c r="Y62" s="236">
        <v>4.3759123416174122</v>
      </c>
      <c r="Z62" s="281">
        <v>0.14000000000000001</v>
      </c>
      <c r="AA62" s="296">
        <v>0.1</v>
      </c>
      <c r="AB62" s="301">
        <v>4.195539863316216</v>
      </c>
      <c r="AC62" s="145">
        <v>4.3355398633162157</v>
      </c>
      <c r="AD62" s="197">
        <v>4.2955398633162156</v>
      </c>
      <c r="AE62" s="238">
        <v>3.0750000000000002</v>
      </c>
      <c r="AF62" s="133">
        <v>2.9550000000000001</v>
      </c>
      <c r="AG62" s="202">
        <v>3.1749999999999998</v>
      </c>
      <c r="AH62" s="242">
        <v>-0.315</v>
      </c>
      <c r="AI62" s="283">
        <v>1.52638948483826</v>
      </c>
      <c r="AJ62" s="88">
        <v>4.9649136634344802E-2</v>
      </c>
      <c r="AK62" s="88">
        <v>4.6504822248651899E-2</v>
      </c>
      <c r="AL62" s="90">
        <v>0.90614518926445886</v>
      </c>
      <c r="AM62" s="204">
        <v>0.91175378288071496</v>
      </c>
      <c r="AN62" s="184">
        <v>0.12</v>
      </c>
      <c r="AO62" s="205">
        <v>0.12</v>
      </c>
      <c r="AP62" s="72"/>
      <c r="AQ62" s="184">
        <v>-3.3859078704697874</v>
      </c>
      <c r="AR62" s="206">
        <v>-2.8609078704697875</v>
      </c>
      <c r="AS62" s="72"/>
      <c r="AT62" s="273">
        <v>7.4999999999999997E-3</v>
      </c>
      <c r="AU62" s="72"/>
      <c r="AV62" s="184">
        <v>2.5000000000000001E-3</v>
      </c>
      <c r="AW62" s="244"/>
      <c r="AX62" s="90">
        <v>-0.105</v>
      </c>
      <c r="AY62" s="90"/>
      <c r="AZ62" s="302">
        <v>0.5</v>
      </c>
      <c r="BA62" s="302">
        <v>0.5</v>
      </c>
      <c r="BB62" s="252">
        <v>-0.52500000000000002</v>
      </c>
      <c r="BC62" s="247"/>
      <c r="BD62" s="90"/>
      <c r="BE62" s="72"/>
      <c r="BF62" s="151"/>
      <c r="BG62" s="72"/>
      <c r="BH62" s="125"/>
      <c r="BI62" s="125"/>
      <c r="BJ62" s="72"/>
      <c r="BK62" s="151"/>
      <c r="BL62" s="72"/>
      <c r="BM62" s="72"/>
      <c r="BN62" s="90"/>
      <c r="BO62" s="90"/>
      <c r="BP62" s="125"/>
      <c r="BQ62" s="72"/>
      <c r="BR62" s="125"/>
      <c r="BS62" s="72"/>
      <c r="BT62" s="72"/>
      <c r="BU62" s="72"/>
      <c r="BV62" s="72"/>
      <c r="BW62" s="72"/>
      <c r="BX62" s="72"/>
      <c r="BY62" s="72"/>
      <c r="BZ62" s="72"/>
      <c r="CA62" s="72"/>
      <c r="CB62" s="72"/>
      <c r="CC62" s="72"/>
      <c r="CD62" s="72"/>
      <c r="CE62" s="72"/>
      <c r="CF62" s="72"/>
      <c r="CG62" s="72"/>
    </row>
    <row r="63" spans="1:85" x14ac:dyDescent="0.2">
      <c r="A63" s="354">
        <v>37834</v>
      </c>
      <c r="B63" s="277">
        <v>3.4540000000000002</v>
      </c>
      <c r="C63" s="303">
        <v>-0.52500000000000002</v>
      </c>
      <c r="D63" s="188">
        <v>-0.42822089021236298</v>
      </c>
      <c r="E63" s="188">
        <v>-0.45587206443740191</v>
      </c>
      <c r="F63" s="285">
        <v>0.12</v>
      </c>
      <c r="G63" s="286">
        <v>0.12</v>
      </c>
      <c r="H63" s="286">
        <v>0.155</v>
      </c>
      <c r="I63" s="287">
        <v>0.155</v>
      </c>
      <c r="J63" s="286">
        <v>3.5000000000000003E-2</v>
      </c>
      <c r="K63" s="286">
        <v>0.11</v>
      </c>
      <c r="L63" s="286">
        <v>0.48</v>
      </c>
      <c r="M63" s="285">
        <v>-0.47</v>
      </c>
      <c r="N63" s="286">
        <v>0.25</v>
      </c>
      <c r="O63" s="287">
        <v>-0.25</v>
      </c>
      <c r="P63" s="239">
        <v>-0.35</v>
      </c>
      <c r="Q63" s="215">
        <v>0.33250000000000002</v>
      </c>
      <c r="R63" s="291">
        <v>0.32</v>
      </c>
      <c r="S63" s="194">
        <v>0.32</v>
      </c>
      <c r="T63" s="107">
        <v>0.55000000000000004</v>
      </c>
      <c r="U63" s="308">
        <v>0.32</v>
      </c>
      <c r="V63" s="61">
        <v>2.9290000000000003</v>
      </c>
      <c r="W63" s="61">
        <v>3.0257791097876372</v>
      </c>
      <c r="X63" s="197">
        <v>2.9981279355625983</v>
      </c>
      <c r="Y63" s="236">
        <v>4.6601534045230668</v>
      </c>
      <c r="Z63" s="281">
        <v>0.14000000000000001</v>
      </c>
      <c r="AA63" s="296">
        <v>0.1</v>
      </c>
      <c r="AB63" s="301">
        <v>4.2370714186129428</v>
      </c>
      <c r="AC63" s="145">
        <v>4.3770714186129425</v>
      </c>
      <c r="AD63" s="197">
        <v>4.3370714186129424</v>
      </c>
      <c r="AE63" s="238">
        <v>3.1040000000000001</v>
      </c>
      <c r="AF63" s="133">
        <v>2.984</v>
      </c>
      <c r="AG63" s="202">
        <v>3.2040000000000002</v>
      </c>
      <c r="AH63" s="242">
        <v>-0.315</v>
      </c>
      <c r="AI63" s="283">
        <v>1.5262368120983598</v>
      </c>
      <c r="AJ63" s="88">
        <v>4.9945964051349101E-2</v>
      </c>
      <c r="AK63" s="88">
        <v>4.6977414835379407E-2</v>
      </c>
      <c r="AL63" s="90">
        <v>0.90183404907698728</v>
      </c>
      <c r="AM63" s="204">
        <v>0.90732519716876625</v>
      </c>
      <c r="AN63" s="184">
        <v>0.12</v>
      </c>
      <c r="AO63" s="205">
        <v>0.12</v>
      </c>
      <c r="AP63" s="72"/>
      <c r="AQ63" s="184">
        <v>-3.4149009590359669</v>
      </c>
      <c r="AR63" s="206">
        <v>-2.889900959035967</v>
      </c>
      <c r="AS63" s="72"/>
      <c r="AT63" s="273">
        <v>7.4999999999999997E-3</v>
      </c>
      <c r="AU63" s="72"/>
      <c r="AV63" s="184">
        <v>2.5000000000000001E-3</v>
      </c>
      <c r="AW63" s="244"/>
      <c r="AX63" s="90">
        <v>-0.105</v>
      </c>
      <c r="AY63" s="90"/>
      <c r="AZ63" s="302">
        <v>0.55000000000000004</v>
      </c>
      <c r="BA63" s="302">
        <v>0.55000000000000004</v>
      </c>
      <c r="BB63" s="252">
        <v>-0.52500000000000002</v>
      </c>
      <c r="BC63" s="247"/>
      <c r="BD63" s="90"/>
      <c r="BE63" s="72"/>
      <c r="BF63" s="151"/>
      <c r="BG63" s="72"/>
      <c r="BH63" s="125"/>
      <c r="BI63" s="125"/>
      <c r="BJ63" s="72"/>
      <c r="BK63" s="151"/>
      <c r="BL63" s="72"/>
      <c r="BM63" s="72"/>
      <c r="BN63" s="90"/>
      <c r="BO63" s="90"/>
      <c r="BP63" s="125"/>
      <c r="BQ63" s="72"/>
      <c r="BR63" s="125"/>
      <c r="BS63" s="72"/>
      <c r="BT63" s="72"/>
      <c r="BU63" s="72"/>
      <c r="BV63" s="72"/>
      <c r="BW63" s="72"/>
      <c r="BX63" s="72"/>
      <c r="BY63" s="72"/>
      <c r="BZ63" s="72"/>
      <c r="CA63" s="72"/>
      <c r="CB63" s="72"/>
      <c r="CC63" s="72"/>
      <c r="CD63" s="72"/>
      <c r="CE63" s="72"/>
      <c r="CF63" s="72"/>
      <c r="CG63" s="72"/>
    </row>
    <row r="64" spans="1:85" x14ac:dyDescent="0.2">
      <c r="A64" s="354">
        <v>37865</v>
      </c>
      <c r="B64" s="277">
        <v>3.4690000000000003</v>
      </c>
      <c r="C64" s="303">
        <v>-0.52500000000000002</v>
      </c>
      <c r="D64" s="188">
        <v>-0.42820839387497989</v>
      </c>
      <c r="E64" s="188">
        <v>-0.45586313848212834</v>
      </c>
      <c r="F64" s="285">
        <v>0.12</v>
      </c>
      <c r="G64" s="286">
        <v>0.12</v>
      </c>
      <c r="H64" s="286">
        <v>0.155</v>
      </c>
      <c r="I64" s="287">
        <v>0.155</v>
      </c>
      <c r="J64" s="286">
        <v>3.5000000000000003E-2</v>
      </c>
      <c r="K64" s="286">
        <v>0.11</v>
      </c>
      <c r="L64" s="286">
        <v>0.44</v>
      </c>
      <c r="M64" s="285">
        <v>-0.47</v>
      </c>
      <c r="N64" s="286">
        <v>0.25</v>
      </c>
      <c r="O64" s="287">
        <v>-0.25</v>
      </c>
      <c r="P64" s="239">
        <v>-0.35</v>
      </c>
      <c r="Q64" s="215">
        <v>0.33750000000000002</v>
      </c>
      <c r="R64" s="291">
        <v>0.32500000000000001</v>
      </c>
      <c r="S64" s="194">
        <v>0.32500000000000001</v>
      </c>
      <c r="T64" s="107">
        <v>0.55000000000000004</v>
      </c>
      <c r="U64" s="308">
        <v>0.32500000000000001</v>
      </c>
      <c r="V64" s="61">
        <v>2.9440000000000004</v>
      </c>
      <c r="W64" s="61">
        <v>3.0407916061250204</v>
      </c>
      <c r="X64" s="197">
        <v>3.013136861517872</v>
      </c>
      <c r="Y64" s="236">
        <v>4.1728830109705157</v>
      </c>
      <c r="Z64" s="281">
        <v>0.14000000000000001</v>
      </c>
      <c r="AA64" s="296">
        <v>0.1</v>
      </c>
      <c r="AB64" s="301">
        <v>4.258220485231309</v>
      </c>
      <c r="AC64" s="145">
        <v>4.3982204852313087</v>
      </c>
      <c r="AD64" s="197">
        <v>4.3582204852313087</v>
      </c>
      <c r="AE64" s="238">
        <v>3.1190000000000002</v>
      </c>
      <c r="AF64" s="133">
        <v>2.9990000000000006</v>
      </c>
      <c r="AG64" s="202">
        <v>3.2190000000000003</v>
      </c>
      <c r="AH64" s="242">
        <v>-0.315</v>
      </c>
      <c r="AI64" s="283">
        <v>1.52603976639477</v>
      </c>
      <c r="AJ64" s="88">
        <v>5.0242791497770806E-2</v>
      </c>
      <c r="AK64" s="88">
        <v>4.7450007496788099E-2</v>
      </c>
      <c r="AL64" s="90">
        <v>0.89749937840269878</v>
      </c>
      <c r="AM64" s="204">
        <v>0.90284755554193097</v>
      </c>
      <c r="AN64" s="184">
        <v>0.12</v>
      </c>
      <c r="AO64" s="205">
        <v>0.124</v>
      </c>
      <c r="AP64" s="72"/>
      <c r="AQ64" s="184">
        <v>-3.429892036811629</v>
      </c>
      <c r="AR64" s="206">
        <v>-2.9048920368116291</v>
      </c>
      <c r="AS64" s="72"/>
      <c r="AT64" s="273">
        <v>7.4999999999999997E-3</v>
      </c>
      <c r="AU64" s="72"/>
      <c r="AV64" s="184">
        <v>2.5000000000000001E-3</v>
      </c>
      <c r="AW64" s="244"/>
      <c r="AX64" s="90">
        <v>-0.105</v>
      </c>
      <c r="AY64" s="90"/>
      <c r="AZ64" s="302">
        <v>0.55000000000000004</v>
      </c>
      <c r="BA64" s="302">
        <v>0.55000000000000004</v>
      </c>
      <c r="BB64" s="252">
        <v>-0.52500000000000002</v>
      </c>
      <c r="BC64" s="247"/>
      <c r="BD64" s="90"/>
      <c r="BE64" s="72"/>
      <c r="BF64" s="151"/>
      <c r="BG64" s="72"/>
      <c r="BH64" s="125"/>
      <c r="BI64" s="125"/>
      <c r="BJ64" s="72"/>
      <c r="BK64" s="151"/>
      <c r="BL64" s="72"/>
      <c r="BM64" s="72"/>
      <c r="BN64" s="90"/>
      <c r="BO64" s="90"/>
      <c r="BP64" s="125"/>
      <c r="BQ64" s="72"/>
      <c r="BR64" s="125"/>
      <c r="BS64" s="72"/>
      <c r="BT64" s="72"/>
      <c r="BU64" s="72"/>
      <c r="BV64" s="72"/>
      <c r="BW64" s="72"/>
      <c r="BX64" s="72"/>
      <c r="BY64" s="72"/>
      <c r="BZ64" s="72"/>
      <c r="CA64" s="72"/>
      <c r="CB64" s="72"/>
      <c r="CC64" s="72"/>
      <c r="CD64" s="72"/>
      <c r="CE64" s="72"/>
      <c r="CF64" s="72"/>
      <c r="CG64" s="72"/>
    </row>
    <row r="65" spans="1:85" x14ac:dyDescent="0.2">
      <c r="A65" s="354">
        <v>37895</v>
      </c>
      <c r="B65" s="277">
        <v>3.4930000000000003</v>
      </c>
      <c r="C65" s="303">
        <v>-0.52500000000000002</v>
      </c>
      <c r="D65" s="188">
        <v>-0.4281975077787763</v>
      </c>
      <c r="E65" s="188">
        <v>-0.45585536269912597</v>
      </c>
      <c r="F65" s="285">
        <v>0.12</v>
      </c>
      <c r="G65" s="286">
        <v>0.12</v>
      </c>
      <c r="H65" s="286">
        <v>0.155</v>
      </c>
      <c r="I65" s="287">
        <v>0.155</v>
      </c>
      <c r="J65" s="286">
        <v>3.5000000000000003E-2</v>
      </c>
      <c r="K65" s="286">
        <v>0.11</v>
      </c>
      <c r="L65" s="286">
        <v>0.45</v>
      </c>
      <c r="M65" s="285">
        <v>-0.47</v>
      </c>
      <c r="N65" s="286">
        <v>0.25</v>
      </c>
      <c r="O65" s="287">
        <v>-0.25</v>
      </c>
      <c r="P65" s="239">
        <v>-0.35</v>
      </c>
      <c r="Q65" s="215">
        <v>0.34</v>
      </c>
      <c r="R65" s="291">
        <v>0.32750000000000001</v>
      </c>
      <c r="S65" s="194">
        <v>0.32750000000000001</v>
      </c>
      <c r="T65" s="107">
        <v>0.6</v>
      </c>
      <c r="U65" s="308">
        <v>0.32750000000000001</v>
      </c>
      <c r="V65" s="61">
        <v>2.9680000000000004</v>
      </c>
      <c r="W65" s="61">
        <v>3.064802492221224</v>
      </c>
      <c r="X65" s="197">
        <v>3.0371446373008744</v>
      </c>
      <c r="Y65" s="116" t="s">
        <v>252</v>
      </c>
      <c r="Z65" s="281">
        <v>0.14000000000000001</v>
      </c>
      <c r="AA65" s="296">
        <v>0.1</v>
      </c>
      <c r="AB65" s="301">
        <v>4.292451469641998</v>
      </c>
      <c r="AC65" s="145">
        <v>4.4324514696419977</v>
      </c>
      <c r="AD65" s="197">
        <v>4.3924514696419976</v>
      </c>
      <c r="AE65" s="238">
        <v>3.1430000000000002</v>
      </c>
      <c r="AF65" s="133">
        <v>3.0230000000000006</v>
      </c>
      <c r="AG65" s="202">
        <v>3.2430000000000003</v>
      </c>
      <c r="AH65" s="242">
        <v>-0.315</v>
      </c>
      <c r="AI65" s="283">
        <v>1.5258681528822799</v>
      </c>
      <c r="AJ65" s="88">
        <v>5.05300438932825E-2</v>
      </c>
      <c r="AK65" s="88">
        <v>4.7889169371805998E-2</v>
      </c>
      <c r="AL65" s="90">
        <v>0.89328264684755976</v>
      </c>
      <c r="AM65" s="204">
        <v>0.89850464228548255</v>
      </c>
      <c r="AN65" s="184">
        <v>0.12</v>
      </c>
      <c r="AO65" s="205">
        <v>0.12</v>
      </c>
      <c r="AP65" s="72"/>
      <c r="AQ65" s="184">
        <v>-3.453884264278805</v>
      </c>
      <c r="AR65" s="206">
        <v>-2.9288842642788051</v>
      </c>
      <c r="AS65" s="72"/>
      <c r="AT65" s="273">
        <v>7.4999999999999997E-3</v>
      </c>
      <c r="AU65" s="72"/>
      <c r="AV65" s="184">
        <v>2.5000000000000001E-3</v>
      </c>
      <c r="AW65" s="244"/>
      <c r="AX65" s="90">
        <v>-0.105</v>
      </c>
      <c r="AY65" s="90"/>
      <c r="AZ65" s="302">
        <v>0.6</v>
      </c>
      <c r="BA65" s="302">
        <v>0.6</v>
      </c>
      <c r="BB65" s="252">
        <v>-0.52500000000000002</v>
      </c>
      <c r="BC65" s="247"/>
      <c r="BD65" s="90"/>
      <c r="BE65" s="72"/>
      <c r="BF65" s="151"/>
      <c r="BG65" s="72"/>
      <c r="BH65" s="125"/>
      <c r="BI65" s="125"/>
      <c r="BJ65" s="72"/>
      <c r="BK65" s="151"/>
      <c r="BL65" s="72"/>
      <c r="BM65" s="72"/>
      <c r="BN65" s="90"/>
      <c r="BO65" s="90"/>
      <c r="BP65" s="125"/>
      <c r="BQ65" s="72"/>
      <c r="BR65" s="125"/>
      <c r="BS65" s="72"/>
      <c r="BT65" s="72"/>
      <c r="BU65" s="72"/>
      <c r="BV65" s="72"/>
      <c r="BW65" s="72"/>
      <c r="BX65" s="72"/>
      <c r="BY65" s="72"/>
      <c r="BZ65" s="72"/>
      <c r="CA65" s="72"/>
      <c r="CB65" s="72"/>
      <c r="CC65" s="72"/>
      <c r="CD65" s="72"/>
      <c r="CE65" s="72"/>
      <c r="CF65" s="72"/>
      <c r="CG65" s="72"/>
    </row>
    <row r="66" spans="1:85" x14ac:dyDescent="0.2">
      <c r="A66" s="353">
        <v>37926</v>
      </c>
      <c r="B66" s="277">
        <v>3.633</v>
      </c>
      <c r="C66" s="284">
        <v>-0.48499999999999999</v>
      </c>
      <c r="D66" s="188">
        <v>-0.38818884106896245</v>
      </c>
      <c r="E66" s="188">
        <v>-0.11500000000000066</v>
      </c>
      <c r="F66" s="285">
        <v>0.255</v>
      </c>
      <c r="G66" s="286">
        <v>0.39500000000000002</v>
      </c>
      <c r="H66" s="286">
        <v>0.40500000000000003</v>
      </c>
      <c r="I66" s="287">
        <v>0.54500000000000004</v>
      </c>
      <c r="J66" s="286">
        <v>0.13500000000000001</v>
      </c>
      <c r="K66" s="286">
        <v>0.17499999999999999</v>
      </c>
      <c r="L66" s="286">
        <v>0.72</v>
      </c>
      <c r="M66" s="285">
        <v>-0.24</v>
      </c>
      <c r="N66" s="286">
        <v>0.28000000000000003</v>
      </c>
      <c r="O66" s="287">
        <v>0.13</v>
      </c>
      <c r="P66" s="309">
        <v>0.18</v>
      </c>
      <c r="Q66" s="215">
        <v>0.34499999999999997</v>
      </c>
      <c r="R66" s="291">
        <v>0.33250000000000002</v>
      </c>
      <c r="S66" s="194">
        <v>0.33250000000000002</v>
      </c>
      <c r="T66" s="107">
        <v>0.8</v>
      </c>
      <c r="U66" s="308">
        <v>0.33250000000000002</v>
      </c>
      <c r="V66" s="61">
        <v>3.1480000000000001</v>
      </c>
      <c r="W66" s="61">
        <v>3.2448111589310376</v>
      </c>
      <c r="X66" s="197">
        <v>3.5179999999999993</v>
      </c>
      <c r="Y66" s="236"/>
      <c r="Z66" s="281">
        <v>0.14000000000000001</v>
      </c>
      <c r="AA66" s="296">
        <v>0.53506228591787863</v>
      </c>
      <c r="AB66" s="301">
        <v>4.5523677731607703</v>
      </c>
      <c r="AC66" s="145">
        <v>4.69236777316077</v>
      </c>
      <c r="AD66" s="197">
        <v>5.087430059078649</v>
      </c>
      <c r="AE66" s="238">
        <v>3.8130000000000002</v>
      </c>
      <c r="AF66" s="133">
        <v>3.3929999999999998</v>
      </c>
      <c r="AG66" s="202">
        <v>3.7629999999999999</v>
      </c>
      <c r="AH66" s="242">
        <v>-0.13500000000000001</v>
      </c>
      <c r="AI66" s="283">
        <v>1.5257315544091199</v>
      </c>
      <c r="AJ66" s="88">
        <v>5.0826871397579201E-2</v>
      </c>
      <c r="AK66" s="88">
        <v>4.8320173660849605E-2</v>
      </c>
      <c r="AL66" s="90">
        <v>0.88890327190902207</v>
      </c>
      <c r="AM66" s="204">
        <v>0.89401962476539609</v>
      </c>
      <c r="AN66" s="184">
        <v>0.40500000000000003</v>
      </c>
      <c r="AO66" s="205">
        <v>0.124</v>
      </c>
      <c r="AP66" s="72"/>
      <c r="AQ66" s="184">
        <v>-3.2931919343774205</v>
      </c>
      <c r="AR66" s="206">
        <v>-2.8081919343774207</v>
      </c>
      <c r="AS66" s="72"/>
      <c r="AT66" s="273">
        <v>7.4999999999999997E-3</v>
      </c>
      <c r="AU66" s="72"/>
      <c r="AV66" s="184">
        <v>8.0000000000000002E-3</v>
      </c>
      <c r="AW66" s="244"/>
      <c r="AX66" s="90">
        <v>5.0000000000000001E-3</v>
      </c>
      <c r="AY66" s="90"/>
      <c r="AZ66" s="302">
        <v>0.8</v>
      </c>
      <c r="BA66" s="302">
        <v>0.8</v>
      </c>
      <c r="BB66" s="252">
        <v>-0.48499999999999999</v>
      </c>
      <c r="BC66" s="247"/>
      <c r="BD66" s="90"/>
      <c r="BE66" s="72"/>
      <c r="BF66" s="151"/>
      <c r="BG66" s="72"/>
      <c r="BH66" s="125"/>
      <c r="BI66" s="125"/>
      <c r="BJ66" s="72"/>
      <c r="BK66" s="151"/>
      <c r="BL66" s="72"/>
      <c r="BM66" s="72"/>
      <c r="BN66" s="90"/>
      <c r="BO66" s="90"/>
      <c r="BP66" s="125"/>
      <c r="BQ66" s="72"/>
      <c r="BR66" s="125"/>
      <c r="BS66" s="72"/>
      <c r="BT66" s="72"/>
      <c r="BU66" s="72"/>
      <c r="BV66" s="72"/>
      <c r="BW66" s="72"/>
      <c r="BX66" s="72"/>
      <c r="BY66" s="72"/>
      <c r="BZ66" s="72"/>
      <c r="CA66" s="72"/>
      <c r="CB66" s="72"/>
      <c r="CC66" s="72"/>
      <c r="CD66" s="72"/>
      <c r="CE66" s="72"/>
      <c r="CF66" s="72"/>
      <c r="CG66" s="72"/>
    </row>
    <row r="67" spans="1:85" x14ac:dyDescent="0.2">
      <c r="A67" s="354">
        <v>37956</v>
      </c>
      <c r="B67" s="277">
        <v>3.778</v>
      </c>
      <c r="C67" s="307">
        <v>-0.48499999999999999</v>
      </c>
      <c r="D67" s="188">
        <v>-0.38817840761469791</v>
      </c>
      <c r="E67" s="188">
        <v>-0.115</v>
      </c>
      <c r="F67" s="285">
        <v>0.255</v>
      </c>
      <c r="G67" s="286">
        <v>0.39500000000000002</v>
      </c>
      <c r="H67" s="286">
        <v>0.40500000000000003</v>
      </c>
      <c r="I67" s="287">
        <v>0.54500000000000004</v>
      </c>
      <c r="J67" s="286">
        <v>0.13500000000000001</v>
      </c>
      <c r="K67" s="286">
        <v>0.17499999999999999</v>
      </c>
      <c r="L67" s="286">
        <v>1.1200000000000001</v>
      </c>
      <c r="M67" s="285">
        <v>-0.24</v>
      </c>
      <c r="N67" s="286">
        <v>0.28000000000000003</v>
      </c>
      <c r="O67" s="287">
        <v>0.13</v>
      </c>
      <c r="P67" s="309">
        <v>0.28000000000000003</v>
      </c>
      <c r="Q67" s="215">
        <v>0.34749999999999998</v>
      </c>
      <c r="R67" s="291">
        <v>0.33500000000000002</v>
      </c>
      <c r="S67" s="194">
        <v>0.33500000000000002</v>
      </c>
      <c r="T67" s="107">
        <v>1</v>
      </c>
      <c r="U67" s="308">
        <v>0.33500000000000002</v>
      </c>
      <c r="V67" s="61">
        <v>3.2930000000000001</v>
      </c>
      <c r="W67" s="61">
        <v>3.3898215923853021</v>
      </c>
      <c r="X67" s="197">
        <v>3.6630000000000003</v>
      </c>
      <c r="Y67" s="116" t="s">
        <v>250</v>
      </c>
      <c r="Z67" s="281">
        <v>0.14000000000000001</v>
      </c>
      <c r="AA67" s="296">
        <v>0.53500462782993097</v>
      </c>
      <c r="AB67" s="301">
        <v>4.7615411876863796</v>
      </c>
      <c r="AC67" s="145">
        <v>4.9015411876863793</v>
      </c>
      <c r="AD67" s="197">
        <v>5.2965458155163105</v>
      </c>
      <c r="AE67" s="238">
        <v>4.0579999999999998</v>
      </c>
      <c r="AF67" s="133">
        <v>3.5380000000000003</v>
      </c>
      <c r="AG67" s="202">
        <v>3.9079999999999999</v>
      </c>
      <c r="AH67" s="242">
        <v>-0.13500000000000001</v>
      </c>
      <c r="AI67" s="283">
        <v>1.5255671422154999</v>
      </c>
      <c r="AJ67" s="88">
        <v>5.1114123849090198E-2</v>
      </c>
      <c r="AK67" s="88">
        <v>4.8737274644833996E-2</v>
      </c>
      <c r="AL67" s="90">
        <v>0.88464430448411124</v>
      </c>
      <c r="AM67" s="204">
        <v>0.88964026596508905</v>
      </c>
      <c r="AN67" s="184">
        <v>0.40500000000000003</v>
      </c>
      <c r="AO67" s="205">
        <v>0.12</v>
      </c>
      <c r="AP67" s="72"/>
      <c r="AQ67" s="184">
        <v>-3.4381837162470466</v>
      </c>
      <c r="AR67" s="206">
        <v>-2.9531837162470467</v>
      </c>
      <c r="AS67" s="72"/>
      <c r="AT67" s="273">
        <v>7.4999999999999997E-3</v>
      </c>
      <c r="AU67" s="72"/>
      <c r="AV67" s="184">
        <v>8.0000000000000002E-3</v>
      </c>
      <c r="AW67" s="244"/>
      <c r="AX67" s="90">
        <v>0.01</v>
      </c>
      <c r="AY67" s="90"/>
      <c r="AZ67" s="302">
        <v>1</v>
      </c>
      <c r="BA67" s="302">
        <v>1</v>
      </c>
      <c r="BB67" s="252">
        <v>-0.48499999999999999</v>
      </c>
      <c r="BC67" s="247"/>
      <c r="BD67" s="90"/>
      <c r="BE67" s="72"/>
      <c r="BF67" s="151"/>
      <c r="BG67" s="72"/>
      <c r="BH67" s="125"/>
      <c r="BI67" s="125"/>
      <c r="BJ67" s="72"/>
      <c r="BK67" s="151"/>
      <c r="BL67" s="72"/>
      <c r="BM67" s="72"/>
      <c r="BN67" s="90"/>
      <c r="BO67" s="90"/>
      <c r="BP67" s="125"/>
      <c r="BQ67" s="72"/>
      <c r="BR67" s="125"/>
      <c r="BS67" s="72"/>
      <c r="BT67" s="72"/>
      <c r="BU67" s="72"/>
      <c r="BV67" s="72"/>
      <c r="BW67" s="72"/>
      <c r="BX67" s="72"/>
      <c r="BY67" s="72"/>
      <c r="BZ67" s="72"/>
      <c r="CA67" s="72"/>
      <c r="CB67" s="72"/>
      <c r="CC67" s="72"/>
      <c r="CD67" s="72"/>
      <c r="CE67" s="72"/>
      <c r="CF67" s="72"/>
      <c r="CG67" s="72"/>
    </row>
    <row r="68" spans="1:85" x14ac:dyDescent="0.2">
      <c r="A68" s="354">
        <v>37987</v>
      </c>
      <c r="B68" s="277">
        <v>3.8330000000000002</v>
      </c>
      <c r="C68" s="307">
        <v>-0.48499999999999999</v>
      </c>
      <c r="D68" s="188">
        <v>-0.38816826118385483</v>
      </c>
      <c r="E68" s="188">
        <v>-0.115</v>
      </c>
      <c r="F68" s="285">
        <v>0.255</v>
      </c>
      <c r="G68" s="286">
        <v>0.39500000000000002</v>
      </c>
      <c r="H68" s="286">
        <v>0.40500000000000003</v>
      </c>
      <c r="I68" s="287">
        <v>0.54500000000000004</v>
      </c>
      <c r="J68" s="286">
        <v>0.13500000000000001</v>
      </c>
      <c r="K68" s="286">
        <v>0.17499999999999999</v>
      </c>
      <c r="L68" s="286">
        <v>1.6</v>
      </c>
      <c r="M68" s="285">
        <v>-0.24</v>
      </c>
      <c r="N68" s="286">
        <v>0.28000000000000003</v>
      </c>
      <c r="O68" s="287">
        <v>0.13</v>
      </c>
      <c r="P68" s="309">
        <v>0.45</v>
      </c>
      <c r="Q68" s="215">
        <v>0.35249999999999998</v>
      </c>
      <c r="R68" s="291">
        <v>0.34</v>
      </c>
      <c r="S68" s="194">
        <v>0.34</v>
      </c>
      <c r="T68" s="107">
        <v>1</v>
      </c>
      <c r="U68" s="308">
        <v>0.34</v>
      </c>
      <c r="V68" s="61">
        <v>3.3480000000000003</v>
      </c>
      <c r="W68" s="61">
        <v>3.4448317388161454</v>
      </c>
      <c r="X68" s="197">
        <v>3.718</v>
      </c>
      <c r="Y68" s="236"/>
      <c r="Z68" s="281">
        <v>0.14000000000000001</v>
      </c>
      <c r="AA68" s="296">
        <v>0.5349485678280832</v>
      </c>
      <c r="AB68" s="301">
        <v>4.840561635374117</v>
      </c>
      <c r="AC68" s="145">
        <v>4.9805616353741167</v>
      </c>
      <c r="AD68" s="197">
        <v>5.3755102032022002</v>
      </c>
      <c r="AE68" s="238">
        <v>4.2830000000000004</v>
      </c>
      <c r="AF68" s="133">
        <v>3.593</v>
      </c>
      <c r="AG68" s="202">
        <v>3.9630000000000001</v>
      </c>
      <c r="AH68" s="242">
        <v>-0.13500000000000001</v>
      </c>
      <c r="AI68" s="283">
        <v>1.5254072869687199</v>
      </c>
      <c r="AJ68" s="88">
        <v>5.1410951411246006E-2</v>
      </c>
      <c r="AK68" s="88">
        <v>4.9156706435327997E-2</v>
      </c>
      <c r="AL68" s="90">
        <v>0.8802223471627747</v>
      </c>
      <c r="AM68" s="204">
        <v>0.88510058175003736</v>
      </c>
      <c r="AN68" s="184">
        <v>0.40500000000000003</v>
      </c>
      <c r="AO68" s="205">
        <v>0.12</v>
      </c>
      <c r="AP68" s="72"/>
      <c r="AQ68" s="184">
        <v>-3.4931760486613919</v>
      </c>
      <c r="AR68" s="206">
        <v>-3.008176048661392</v>
      </c>
      <c r="AS68" s="72"/>
      <c r="AT68" s="273">
        <v>7.4999999999999997E-3</v>
      </c>
      <c r="AU68" s="72"/>
      <c r="AV68" s="184">
        <v>8.0000000000000002E-3</v>
      </c>
      <c r="AW68" s="244"/>
      <c r="AX68" s="90">
        <v>0.03</v>
      </c>
      <c r="AY68" s="90"/>
      <c r="AZ68" s="302">
        <v>1</v>
      </c>
      <c r="BA68" s="302">
        <v>1</v>
      </c>
      <c r="BB68" s="252">
        <v>-0.48499999999999999</v>
      </c>
      <c r="BC68" s="247"/>
      <c r="BD68" s="90"/>
      <c r="BE68" s="72"/>
      <c r="BF68" s="151"/>
      <c r="BG68" s="72"/>
      <c r="BH68" s="125"/>
      <c r="BI68" s="125"/>
      <c r="BJ68" s="72"/>
      <c r="BK68" s="151"/>
      <c r="BL68" s="72"/>
      <c r="BM68" s="72"/>
      <c r="BN68" s="90"/>
      <c r="BO68" s="90"/>
      <c r="BP68" s="125"/>
      <c r="BQ68" s="72"/>
      <c r="BR68" s="125"/>
      <c r="BS68" s="72"/>
      <c r="BT68" s="72"/>
      <c r="BU68" s="72"/>
      <c r="BV68" s="72"/>
      <c r="BW68" s="72"/>
      <c r="BX68" s="72"/>
      <c r="BY68" s="72"/>
      <c r="BZ68" s="72"/>
      <c r="CA68" s="72"/>
      <c r="CB68" s="72"/>
      <c r="CC68" s="72"/>
      <c r="CD68" s="72"/>
      <c r="CE68" s="72"/>
      <c r="CF68" s="72"/>
      <c r="CG68" s="72"/>
    </row>
    <row r="69" spans="1:85" x14ac:dyDescent="0.2">
      <c r="A69" s="354">
        <v>38018</v>
      </c>
      <c r="B69" s="277">
        <v>3.7149999999999999</v>
      </c>
      <c r="C69" s="307">
        <v>-0.48499999999999999</v>
      </c>
      <c r="D69" s="188">
        <v>-0.38815918242056169</v>
      </c>
      <c r="E69" s="188">
        <v>-0.11500000000000066</v>
      </c>
      <c r="F69" s="285">
        <v>0.255</v>
      </c>
      <c r="G69" s="286">
        <v>0.39500000000000002</v>
      </c>
      <c r="H69" s="286">
        <v>0.40500000000000003</v>
      </c>
      <c r="I69" s="287">
        <v>0.54500000000000004</v>
      </c>
      <c r="J69" s="286">
        <v>0.13500000000000001</v>
      </c>
      <c r="K69" s="286">
        <v>0.17499999999999999</v>
      </c>
      <c r="L69" s="286">
        <v>1.6</v>
      </c>
      <c r="M69" s="285">
        <v>-0.24</v>
      </c>
      <c r="N69" s="286">
        <v>0.28000000000000003</v>
      </c>
      <c r="O69" s="287">
        <v>0.13</v>
      </c>
      <c r="P69" s="309">
        <v>0.19</v>
      </c>
      <c r="Q69" s="215">
        <v>0.34499999999999997</v>
      </c>
      <c r="R69" s="291">
        <v>0.33250000000000002</v>
      </c>
      <c r="S69" s="194">
        <v>0.33250000000000002</v>
      </c>
      <c r="T69" s="107">
        <v>1</v>
      </c>
      <c r="U69" s="308">
        <v>0.33250000000000002</v>
      </c>
      <c r="V69" s="61">
        <v>3.23</v>
      </c>
      <c r="W69" s="61">
        <v>3.3268408175794382</v>
      </c>
      <c r="X69" s="197">
        <v>3.6</v>
      </c>
      <c r="Y69" s="62"/>
      <c r="Z69" s="281">
        <v>0.14000000000000001</v>
      </c>
      <c r="AA69" s="296">
        <v>0.53489841674981964</v>
      </c>
      <c r="AB69" s="301">
        <v>4.6695186110862714</v>
      </c>
      <c r="AC69" s="145">
        <v>4.8095186110862711</v>
      </c>
      <c r="AD69" s="197">
        <v>5.2044170278360911</v>
      </c>
      <c r="AE69" s="238">
        <v>3.9049999999999998</v>
      </c>
      <c r="AF69" s="133">
        <v>3.4750000000000001</v>
      </c>
      <c r="AG69" s="202">
        <v>3.8450000000000002</v>
      </c>
      <c r="AH69" s="242">
        <v>-0.13500000000000001</v>
      </c>
      <c r="AI69" s="283">
        <v>1.52526428103351</v>
      </c>
      <c r="AJ69" s="88">
        <v>5.1707779002798201E-2</v>
      </c>
      <c r="AK69" s="88">
        <v>4.9563794154173106E-2</v>
      </c>
      <c r="AL69" s="90">
        <v>0.87577956362454867</v>
      </c>
      <c r="AM69" s="204">
        <v>0.88055061730760875</v>
      </c>
      <c r="AN69" s="184">
        <v>0.40500000000000003</v>
      </c>
      <c r="AO69" s="205">
        <v>0.13300000000000001</v>
      </c>
      <c r="AP69" s="72"/>
      <c r="AQ69" s="184">
        <v>-3.3751694335493565</v>
      </c>
      <c r="AR69" s="206">
        <v>-2.8901694335493566</v>
      </c>
      <c r="AS69" s="72"/>
      <c r="AT69" s="273">
        <v>7.4999999999999997E-3</v>
      </c>
      <c r="AU69" s="72"/>
      <c r="AV69" s="184">
        <v>8.0000000000000002E-3</v>
      </c>
      <c r="AW69" s="244"/>
      <c r="AX69" s="90">
        <v>2.5000000000000001E-2</v>
      </c>
      <c r="AY69" s="90"/>
      <c r="AZ69" s="302">
        <v>1</v>
      </c>
      <c r="BA69" s="302">
        <v>1</v>
      </c>
      <c r="BB69" s="252">
        <v>-0.48499999999999999</v>
      </c>
      <c r="BC69" s="247"/>
      <c r="BD69" s="90"/>
      <c r="BE69" s="72"/>
      <c r="BF69" s="151"/>
      <c r="BG69" s="72"/>
      <c r="BH69" s="125"/>
      <c r="BI69" s="125"/>
      <c r="BJ69" s="72"/>
      <c r="BK69" s="151"/>
      <c r="BL69" s="72"/>
      <c r="BM69" s="72"/>
      <c r="BN69" s="90"/>
      <c r="BO69" s="90"/>
      <c r="BP69" s="125"/>
      <c r="BQ69" s="72"/>
      <c r="BR69" s="125"/>
      <c r="BS69" s="72"/>
      <c r="BT69" s="72"/>
      <c r="BU69" s="72"/>
      <c r="BV69" s="72"/>
      <c r="BW69" s="72"/>
      <c r="BX69" s="72"/>
      <c r="BY69" s="72"/>
      <c r="BZ69" s="72"/>
      <c r="CA69" s="72"/>
      <c r="CB69" s="72"/>
      <c r="CC69" s="72"/>
      <c r="CD69" s="72"/>
      <c r="CE69" s="72"/>
      <c r="CF69" s="72"/>
      <c r="CG69" s="72"/>
    </row>
    <row r="70" spans="1:85" x14ac:dyDescent="0.2">
      <c r="A70" s="354">
        <v>38047</v>
      </c>
      <c r="B70" s="277">
        <v>3.5820000000000003</v>
      </c>
      <c r="C70" s="307">
        <v>-0.48499999999999999</v>
      </c>
      <c r="D70" s="188">
        <v>-0.38814909117950247</v>
      </c>
      <c r="E70" s="188">
        <v>-0.115</v>
      </c>
      <c r="F70" s="285">
        <v>0.255</v>
      </c>
      <c r="G70" s="286">
        <v>0.39500000000000002</v>
      </c>
      <c r="H70" s="286">
        <v>0.40500000000000003</v>
      </c>
      <c r="I70" s="287">
        <v>0.54500000000000004</v>
      </c>
      <c r="J70" s="286">
        <v>0.13500000000000001</v>
      </c>
      <c r="K70" s="286">
        <v>0.17499999999999999</v>
      </c>
      <c r="L70" s="286">
        <v>0.71</v>
      </c>
      <c r="M70" s="285">
        <v>-0.24</v>
      </c>
      <c r="N70" s="286">
        <v>0.28000000000000003</v>
      </c>
      <c r="O70" s="287">
        <v>0.13</v>
      </c>
      <c r="P70" s="309">
        <v>0.15</v>
      </c>
      <c r="Q70" s="215">
        <v>0.33250000000000002</v>
      </c>
      <c r="R70" s="291">
        <v>0.32</v>
      </c>
      <c r="S70" s="194">
        <v>0.32</v>
      </c>
      <c r="T70" s="107">
        <v>0.75</v>
      </c>
      <c r="U70" s="308">
        <v>0.32</v>
      </c>
      <c r="V70" s="61">
        <v>3.0970000000000004</v>
      </c>
      <c r="W70" s="61">
        <v>3.1938509088204978</v>
      </c>
      <c r="X70" s="197">
        <v>3.4670000000000005</v>
      </c>
      <c r="Y70" s="62"/>
      <c r="Z70" s="281">
        <v>0.14000000000000001</v>
      </c>
      <c r="AA70" s="296">
        <v>0.53484268377910293</v>
      </c>
      <c r="AB70" s="301">
        <v>4.4767778153077922</v>
      </c>
      <c r="AC70" s="145">
        <v>4.6167778153077919</v>
      </c>
      <c r="AD70" s="197">
        <v>5.0116204990868951</v>
      </c>
      <c r="AE70" s="238">
        <v>3.7320000000000002</v>
      </c>
      <c r="AF70" s="133">
        <v>3.3420000000000005</v>
      </c>
      <c r="AG70" s="202">
        <v>3.7120000000000002</v>
      </c>
      <c r="AH70" s="242">
        <v>-0.13500000000000001</v>
      </c>
      <c r="AI70" s="283">
        <v>1.5251053583168799</v>
      </c>
      <c r="AJ70" s="88">
        <v>5.1985456453763804E-2</v>
      </c>
      <c r="AK70" s="88">
        <v>4.9944618199324997E-2</v>
      </c>
      <c r="AL70" s="90">
        <v>0.87160504332022704</v>
      </c>
      <c r="AM70" s="204">
        <v>0.87626204476182723</v>
      </c>
      <c r="AN70" s="184">
        <v>0.40500000000000003</v>
      </c>
      <c r="AO70" s="205">
        <v>0.12</v>
      </c>
      <c r="AP70" s="72"/>
      <c r="AQ70" s="184">
        <v>-3.2421628999714387</v>
      </c>
      <c r="AR70" s="206">
        <v>-2.7571628999714388</v>
      </c>
      <c r="AS70" s="72"/>
      <c r="AT70" s="273">
        <v>7.4999999999999997E-3</v>
      </c>
      <c r="AU70" s="72"/>
      <c r="AV70" s="184">
        <v>8.0000000000000002E-3</v>
      </c>
      <c r="AW70" s="244"/>
      <c r="AX70" s="90">
        <v>5.0000000000000001E-3</v>
      </c>
      <c r="AY70" s="90"/>
      <c r="AZ70" s="302">
        <v>0.75</v>
      </c>
      <c r="BA70" s="302">
        <v>0.75</v>
      </c>
      <c r="BB70" s="252">
        <v>-0.48499999999999999</v>
      </c>
      <c r="BC70" s="247"/>
      <c r="BD70" s="90"/>
      <c r="BE70" s="72"/>
      <c r="BF70" s="151"/>
      <c r="BG70" s="72"/>
      <c r="BH70" s="125"/>
      <c r="BI70" s="125"/>
      <c r="BJ70" s="72"/>
      <c r="BK70" s="151"/>
      <c r="BL70" s="72"/>
      <c r="BM70" s="72"/>
      <c r="BN70" s="90"/>
      <c r="BO70" s="90"/>
      <c r="BP70" s="125"/>
      <c r="BQ70" s="72"/>
      <c r="BR70" s="125"/>
      <c r="BS70" s="72"/>
      <c r="BT70" s="72"/>
      <c r="BU70" s="72"/>
      <c r="BV70" s="72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</row>
    <row r="71" spans="1:85" x14ac:dyDescent="0.2">
      <c r="A71" s="354">
        <v>38078</v>
      </c>
      <c r="B71" s="277">
        <v>3.3620000000000001</v>
      </c>
      <c r="C71" s="298">
        <v>-0.54500000000000004</v>
      </c>
      <c r="D71" s="188">
        <v>-0.44814467828346682</v>
      </c>
      <c r="E71" s="188">
        <v>-0.47581762734533406</v>
      </c>
      <c r="F71" s="285">
        <v>0.125</v>
      </c>
      <c r="G71" s="286">
        <v>0.12</v>
      </c>
      <c r="H71" s="286">
        <v>0.16</v>
      </c>
      <c r="I71" s="287">
        <v>0.16</v>
      </c>
      <c r="J71" s="286">
        <v>3.5000000000000003E-2</v>
      </c>
      <c r="K71" s="286">
        <v>0.105</v>
      </c>
      <c r="L71" s="286">
        <v>0.48</v>
      </c>
      <c r="M71" s="285">
        <v>-0.27</v>
      </c>
      <c r="N71" s="286">
        <v>0.25</v>
      </c>
      <c r="O71" s="287">
        <v>-0.23</v>
      </c>
      <c r="P71" s="299">
        <v>-0.3</v>
      </c>
      <c r="Q71" s="215">
        <v>0.3175</v>
      </c>
      <c r="R71" s="291">
        <v>0.30499999999999999</v>
      </c>
      <c r="S71" s="194">
        <v>0.30499999999999999</v>
      </c>
      <c r="T71" s="107">
        <v>0.4</v>
      </c>
      <c r="U71" s="308">
        <v>0.30499999999999999</v>
      </c>
      <c r="V71" s="61">
        <v>2.8170000000000002</v>
      </c>
      <c r="W71" s="61">
        <v>2.9138553217165333</v>
      </c>
      <c r="X71" s="197">
        <v>2.886182372654666</v>
      </c>
      <c r="Y71" s="62"/>
      <c r="Z71" s="281">
        <v>0.14000000000000001</v>
      </c>
      <c r="AA71" s="296">
        <v>0.1</v>
      </c>
      <c r="AB71" s="301">
        <v>4.0718464717326679</v>
      </c>
      <c r="AC71" s="145">
        <v>4.2118464717326676</v>
      </c>
      <c r="AD71" s="197">
        <v>4.1718464717326675</v>
      </c>
      <c r="AE71" s="238">
        <v>3.0620000000000003</v>
      </c>
      <c r="AF71" s="133">
        <v>3.0920000000000001</v>
      </c>
      <c r="AG71" s="202">
        <v>3.1320000000000001</v>
      </c>
      <c r="AH71" s="242">
        <v>-0.1</v>
      </c>
      <c r="AI71" s="283">
        <v>1.5250358718780199</v>
      </c>
      <c r="AJ71" s="88">
        <v>5.2282284102202203E-2</v>
      </c>
      <c r="AK71" s="88">
        <v>5.0320739406394498E-2</v>
      </c>
      <c r="AL71" s="90">
        <v>0.86712351007572375</v>
      </c>
      <c r="AM71" s="204">
        <v>0.87171684786701698</v>
      </c>
      <c r="AN71" s="184">
        <v>0.12</v>
      </c>
      <c r="AO71" s="205">
        <v>0.124</v>
      </c>
      <c r="AP71" s="72"/>
      <c r="AQ71" s="184">
        <v>-3.3228465446979105</v>
      </c>
      <c r="AR71" s="206">
        <v>-2.7778465446979106</v>
      </c>
      <c r="AS71" s="72"/>
      <c r="AT71" s="273">
        <v>7.4999999999999997E-3</v>
      </c>
      <c r="AU71" s="72"/>
      <c r="AV71" s="184">
        <v>2.5000000000000001E-3</v>
      </c>
      <c r="AW71" s="244"/>
      <c r="AX71" s="90">
        <v>-0.105</v>
      </c>
      <c r="AY71" s="90"/>
      <c r="AZ71" s="302">
        <v>0.4</v>
      </c>
      <c r="BA71" s="302">
        <v>0.4</v>
      </c>
      <c r="BB71" s="252">
        <v>-0.54500000000000004</v>
      </c>
      <c r="BC71" s="247"/>
      <c r="BD71" s="90"/>
      <c r="BE71" s="72"/>
      <c r="BF71" s="151"/>
      <c r="BG71" s="72"/>
      <c r="BH71" s="125"/>
      <c r="BI71" s="125"/>
      <c r="BJ71" s="72"/>
      <c r="BK71" s="151"/>
      <c r="BL71" s="72"/>
      <c r="BM71" s="72"/>
      <c r="BN71" s="90"/>
      <c r="BO71" s="90"/>
      <c r="BP71" s="125"/>
      <c r="BQ71" s="72"/>
      <c r="BR71" s="125"/>
      <c r="BS71" s="72"/>
      <c r="BT71" s="72"/>
      <c r="BU71" s="72"/>
      <c r="BV71" s="72"/>
      <c r="BW71" s="72"/>
      <c r="BX71" s="72"/>
      <c r="BY71" s="72"/>
      <c r="BZ71" s="72"/>
      <c r="CA71" s="72"/>
      <c r="CB71" s="72"/>
      <c r="CC71" s="72"/>
      <c r="CD71" s="72"/>
      <c r="CE71" s="72"/>
      <c r="CF71" s="72"/>
      <c r="CG71" s="72"/>
    </row>
    <row r="72" spans="1:85" x14ac:dyDescent="0.2">
      <c r="A72" s="354">
        <v>38108</v>
      </c>
      <c r="B72" s="277">
        <v>3.3520000000000003</v>
      </c>
      <c r="C72" s="303">
        <v>-0.54500000000000004</v>
      </c>
      <c r="D72" s="188">
        <v>-0.44814778839777425</v>
      </c>
      <c r="E72" s="188">
        <v>-0.4758198488555534</v>
      </c>
      <c r="F72" s="285">
        <v>0.125</v>
      </c>
      <c r="G72" s="286">
        <v>0.12</v>
      </c>
      <c r="H72" s="286">
        <v>0.16</v>
      </c>
      <c r="I72" s="287">
        <v>0.16</v>
      </c>
      <c r="J72" s="286">
        <v>3.5000000000000003E-2</v>
      </c>
      <c r="K72" s="286">
        <v>0.105</v>
      </c>
      <c r="L72" s="286">
        <v>0.42</v>
      </c>
      <c r="M72" s="285">
        <v>-0.27</v>
      </c>
      <c r="N72" s="286">
        <v>0.25</v>
      </c>
      <c r="O72" s="287">
        <v>-0.23</v>
      </c>
      <c r="P72" s="239">
        <v>-0.3</v>
      </c>
      <c r="Q72" s="215">
        <v>0.315</v>
      </c>
      <c r="R72" s="291">
        <v>0.30249999999999999</v>
      </c>
      <c r="S72" s="194">
        <v>0.30249999999999999</v>
      </c>
      <c r="T72" s="107">
        <v>0.45</v>
      </c>
      <c r="U72" s="308">
        <v>0.30249999999999999</v>
      </c>
      <c r="V72" s="61">
        <v>2.8070000000000004</v>
      </c>
      <c r="W72" s="61">
        <v>2.9038522116022261</v>
      </c>
      <c r="X72" s="197">
        <v>2.8761801511444469</v>
      </c>
      <c r="Y72" s="62"/>
      <c r="Z72" s="281">
        <v>0.14000000000000001</v>
      </c>
      <c r="AA72" s="296">
        <v>0.1</v>
      </c>
      <c r="AB72" s="301">
        <v>4.0575222134728275</v>
      </c>
      <c r="AC72" s="145">
        <v>4.1975222134728272</v>
      </c>
      <c r="AD72" s="197">
        <v>4.1575222134728271</v>
      </c>
      <c r="AE72" s="238">
        <v>3.0520000000000005</v>
      </c>
      <c r="AF72" s="133">
        <v>3.0820000000000003</v>
      </c>
      <c r="AG72" s="202">
        <v>3.1220000000000003</v>
      </c>
      <c r="AH72" s="242">
        <v>-0.1</v>
      </c>
      <c r="AI72" s="283">
        <v>1.52508484376836</v>
      </c>
      <c r="AJ72" s="88">
        <v>5.2569536693185107E-2</v>
      </c>
      <c r="AK72" s="88">
        <v>5.0652762170647E-2</v>
      </c>
      <c r="AL72" s="90">
        <v>0.86276824141305097</v>
      </c>
      <c r="AM72" s="204">
        <v>0.86736636035842352</v>
      </c>
      <c r="AN72" s="184">
        <v>0.12</v>
      </c>
      <c r="AO72" s="205">
        <v>0.12</v>
      </c>
      <c r="AP72" s="72"/>
      <c r="AQ72" s="184">
        <v>-3.3128487652795675</v>
      </c>
      <c r="AR72" s="206">
        <v>-2.7678487652795676</v>
      </c>
      <c r="AS72" s="72"/>
      <c r="AT72" s="273">
        <v>7.4999999999999997E-3</v>
      </c>
      <c r="AU72" s="72"/>
      <c r="AV72" s="184">
        <v>2.5000000000000001E-3</v>
      </c>
      <c r="AW72" s="244"/>
      <c r="AX72" s="90">
        <v>-0.105</v>
      </c>
      <c r="AY72" s="90"/>
      <c r="AZ72" s="302">
        <v>0.45</v>
      </c>
      <c r="BA72" s="302">
        <v>0.45</v>
      </c>
      <c r="BB72" s="252">
        <v>-0.54500000000000004</v>
      </c>
      <c r="BC72" s="247"/>
      <c r="BD72" s="90"/>
      <c r="BE72" s="72"/>
      <c r="BF72" s="151"/>
      <c r="BG72" s="72"/>
      <c r="BH72" s="125"/>
      <c r="BI72" s="125"/>
      <c r="BJ72" s="72"/>
      <c r="BK72" s="151"/>
      <c r="BL72" s="72"/>
      <c r="BM72" s="72"/>
      <c r="BN72" s="90"/>
      <c r="BO72" s="90"/>
      <c r="BP72" s="125"/>
      <c r="BQ72" s="72"/>
      <c r="BR72" s="125"/>
      <c r="BS72" s="72"/>
      <c r="BT72" s="72"/>
      <c r="BU72" s="72"/>
      <c r="BV72" s="72"/>
      <c r="BW72" s="72"/>
      <c r="BX72" s="72"/>
      <c r="BY72" s="72"/>
      <c r="BZ72" s="72"/>
      <c r="CA72" s="72"/>
      <c r="CB72" s="72"/>
      <c r="CC72" s="72"/>
      <c r="CD72" s="72"/>
      <c r="CE72" s="72"/>
      <c r="CF72" s="72"/>
      <c r="CG72" s="72"/>
    </row>
    <row r="73" spans="1:85" x14ac:dyDescent="0.2">
      <c r="A73" s="354">
        <v>38139</v>
      </c>
      <c r="B73" s="277">
        <v>3.3880000000000003</v>
      </c>
      <c r="C73" s="303">
        <v>-0.54500000000000004</v>
      </c>
      <c r="D73" s="188">
        <v>-0.44815027174419342</v>
      </c>
      <c r="E73" s="188">
        <v>-0.47582162267442341</v>
      </c>
      <c r="F73" s="285">
        <v>0.125</v>
      </c>
      <c r="G73" s="286">
        <v>0.12</v>
      </c>
      <c r="H73" s="286">
        <v>0.16</v>
      </c>
      <c r="I73" s="287">
        <v>0.16</v>
      </c>
      <c r="J73" s="286">
        <v>3.5000000000000003E-2</v>
      </c>
      <c r="K73" s="286">
        <v>0.105</v>
      </c>
      <c r="L73" s="286">
        <v>0.42</v>
      </c>
      <c r="M73" s="285">
        <v>-0.27</v>
      </c>
      <c r="N73" s="286">
        <v>0.25</v>
      </c>
      <c r="O73" s="287">
        <v>-0.23</v>
      </c>
      <c r="P73" s="239">
        <v>-0.3</v>
      </c>
      <c r="Q73" s="215">
        <v>0.315</v>
      </c>
      <c r="R73" s="291">
        <v>0.30249999999999999</v>
      </c>
      <c r="S73" s="194">
        <v>0.30249999999999999</v>
      </c>
      <c r="T73" s="107">
        <v>0.45</v>
      </c>
      <c r="U73" s="308">
        <v>0.30249999999999999</v>
      </c>
      <c r="V73" s="61">
        <v>2.8430000000000004</v>
      </c>
      <c r="W73" s="61">
        <v>2.9398497282558069</v>
      </c>
      <c r="X73" s="197">
        <v>2.9121783773255769</v>
      </c>
      <c r="Y73" s="304" t="s">
        <v>256</v>
      </c>
      <c r="Z73" s="281">
        <v>0.14000000000000001</v>
      </c>
      <c r="AA73" s="296">
        <v>0.1</v>
      </c>
      <c r="AB73" s="301">
        <v>4.109665635289347</v>
      </c>
      <c r="AC73" s="145">
        <v>4.2496656352893467</v>
      </c>
      <c r="AD73" s="197">
        <v>4.2096656352893467</v>
      </c>
      <c r="AE73" s="238">
        <v>3.0880000000000005</v>
      </c>
      <c r="AF73" s="133">
        <v>3.1180000000000003</v>
      </c>
      <c r="AG73" s="202">
        <v>3.1580000000000004</v>
      </c>
      <c r="AH73" s="242">
        <v>-0.1</v>
      </c>
      <c r="AI73" s="283">
        <v>1.52512394882372</v>
      </c>
      <c r="AJ73" s="88">
        <v>5.2866364399441104E-2</v>
      </c>
      <c r="AK73" s="88">
        <v>5.09958523990304E-2</v>
      </c>
      <c r="AL73" s="90">
        <v>0.85824942007436766</v>
      </c>
      <c r="AM73" s="204">
        <v>0.86284557984145538</v>
      </c>
      <c r="AN73" s="184">
        <v>0.12</v>
      </c>
      <c r="AO73" s="205">
        <v>0.124</v>
      </c>
      <c r="AP73" s="72"/>
      <c r="AQ73" s="184">
        <v>-3.3488505383570044</v>
      </c>
      <c r="AR73" s="206">
        <v>-2.8038505383570045</v>
      </c>
      <c r="AS73" s="72"/>
      <c r="AT73" s="273">
        <v>7.4999999999999997E-3</v>
      </c>
      <c r="AU73" s="72"/>
      <c r="AV73" s="184">
        <v>2.5000000000000001E-3</v>
      </c>
      <c r="AW73" s="244"/>
      <c r="AX73" s="90">
        <v>-0.105</v>
      </c>
      <c r="AY73" s="90"/>
      <c r="AZ73" s="302">
        <v>0.45</v>
      </c>
      <c r="BA73" s="302">
        <v>0.45</v>
      </c>
      <c r="BB73" s="252">
        <v>-0.54500000000000004</v>
      </c>
      <c r="BC73" s="247"/>
      <c r="BD73" s="90"/>
      <c r="BE73" s="72"/>
      <c r="BF73" s="151"/>
      <c r="BG73" s="72"/>
      <c r="BH73" s="125"/>
      <c r="BI73" s="125"/>
      <c r="BJ73" s="72"/>
      <c r="BK73" s="151"/>
      <c r="BL73" s="72"/>
      <c r="BM73" s="72"/>
      <c r="BN73" s="90"/>
      <c r="BO73" s="90"/>
      <c r="BP73" s="125"/>
      <c r="BQ73" s="72"/>
      <c r="BR73" s="125"/>
      <c r="BS73" s="72"/>
      <c r="BT73" s="72"/>
      <c r="BU73" s="72"/>
      <c r="BV73" s="72"/>
      <c r="BW73" s="72"/>
      <c r="BX73" s="72"/>
      <c r="BY73" s="72"/>
      <c r="BZ73" s="72"/>
      <c r="CA73" s="72"/>
      <c r="CB73" s="72"/>
      <c r="CC73" s="72"/>
      <c r="CD73" s="72"/>
      <c r="CE73" s="72"/>
      <c r="CF73" s="72"/>
      <c r="CG73" s="72"/>
    </row>
    <row r="74" spans="1:85" x14ac:dyDescent="0.2">
      <c r="A74" s="354">
        <v>38169</v>
      </c>
      <c r="B74" s="277">
        <v>3.43</v>
      </c>
      <c r="C74" s="303">
        <v>-0.54500000000000004</v>
      </c>
      <c r="D74" s="188">
        <v>-0.4481521503830983</v>
      </c>
      <c r="E74" s="188">
        <v>-0.47582296455935635</v>
      </c>
      <c r="F74" s="285">
        <v>0.125</v>
      </c>
      <c r="G74" s="286">
        <v>0.12</v>
      </c>
      <c r="H74" s="286">
        <v>0.16</v>
      </c>
      <c r="I74" s="287">
        <v>0.16</v>
      </c>
      <c r="J74" s="286">
        <v>3.5000000000000003E-2</v>
      </c>
      <c r="K74" s="286">
        <v>0.105</v>
      </c>
      <c r="L74" s="286">
        <v>0.48</v>
      </c>
      <c r="M74" s="285">
        <v>-0.27</v>
      </c>
      <c r="N74" s="286">
        <v>0.25</v>
      </c>
      <c r="O74" s="287">
        <v>-0.23</v>
      </c>
      <c r="P74" s="239">
        <v>-0.3</v>
      </c>
      <c r="Q74" s="215">
        <v>0.315</v>
      </c>
      <c r="R74" s="291">
        <v>0.30249999999999999</v>
      </c>
      <c r="S74" s="194">
        <v>0.30249999999999999</v>
      </c>
      <c r="T74" s="107">
        <v>0.5</v>
      </c>
      <c r="U74" s="308">
        <v>0.30249999999999999</v>
      </c>
      <c r="V74" s="61">
        <v>2.8849999999999998</v>
      </c>
      <c r="W74" s="61">
        <v>2.9818478496169019</v>
      </c>
      <c r="X74" s="197">
        <v>2.9541770354406438</v>
      </c>
      <c r="Y74" s="236">
        <v>4.3995049355493769</v>
      </c>
      <c r="Z74" s="281">
        <v>0.14000000000000001</v>
      </c>
      <c r="AA74" s="296">
        <v>0.1</v>
      </c>
      <c r="AB74" s="301">
        <v>4.1704591438807803</v>
      </c>
      <c r="AC74" s="145">
        <v>4.31045914388078</v>
      </c>
      <c r="AD74" s="197">
        <v>4.27045914388078</v>
      </c>
      <c r="AE74" s="238">
        <v>3.13</v>
      </c>
      <c r="AF74" s="133">
        <v>3.16</v>
      </c>
      <c r="AG74" s="202">
        <v>3.2</v>
      </c>
      <c r="AH74" s="242">
        <v>-0.1</v>
      </c>
      <c r="AI74" s="283">
        <v>1.5251535329311199</v>
      </c>
      <c r="AJ74" s="88">
        <v>5.3139982827678206E-2</v>
      </c>
      <c r="AK74" s="88">
        <v>5.1313613494696805E-2</v>
      </c>
      <c r="AL74" s="90">
        <v>0.85389324750492868</v>
      </c>
      <c r="AM74" s="204">
        <v>0.85848273116556861</v>
      </c>
      <c r="AN74" s="184">
        <v>0.12</v>
      </c>
      <c r="AO74" s="205">
        <v>0.12</v>
      </c>
      <c r="AP74" s="72"/>
      <c r="AQ74" s="184">
        <v>-3.3908518796810454</v>
      </c>
      <c r="AR74" s="206">
        <v>-2.8458518796810455</v>
      </c>
      <c r="AS74" s="72"/>
      <c r="AT74" s="273">
        <v>7.4999999999999997E-3</v>
      </c>
      <c r="AU74" s="72"/>
      <c r="AV74" s="184">
        <v>2.5000000000000001E-3</v>
      </c>
      <c r="AW74" s="244"/>
      <c r="AX74" s="90">
        <v>-0.105</v>
      </c>
      <c r="AY74" s="90"/>
      <c r="AZ74" s="302">
        <v>0.5</v>
      </c>
      <c r="BA74" s="302">
        <v>0.5</v>
      </c>
      <c r="BB74" s="252">
        <v>-0.54500000000000004</v>
      </c>
      <c r="BC74" s="247"/>
      <c r="BD74" s="90"/>
      <c r="BE74" s="72"/>
      <c r="BF74" s="151"/>
      <c r="BG74" s="72"/>
      <c r="BH74" s="125"/>
      <c r="BI74" s="125"/>
      <c r="BJ74" s="72"/>
      <c r="BK74" s="151"/>
      <c r="BL74" s="72"/>
      <c r="BM74" s="72"/>
      <c r="BN74" s="90"/>
      <c r="BO74" s="90"/>
      <c r="BP74" s="125"/>
      <c r="BQ74" s="72"/>
      <c r="BR74" s="125"/>
      <c r="BS74" s="72"/>
      <c r="BT74" s="72"/>
      <c r="BU74" s="72"/>
      <c r="BV74" s="72"/>
      <c r="BW74" s="72"/>
      <c r="BX74" s="72"/>
      <c r="BY74" s="72"/>
      <c r="BZ74" s="72"/>
      <c r="CA74" s="72"/>
      <c r="CB74" s="72"/>
      <c r="CC74" s="72"/>
      <c r="CD74" s="72"/>
      <c r="CE74" s="72"/>
      <c r="CF74" s="72"/>
      <c r="CG74" s="72"/>
    </row>
    <row r="75" spans="1:85" x14ac:dyDescent="0.2">
      <c r="A75" s="354">
        <v>38200</v>
      </c>
      <c r="B75" s="277">
        <v>3.4790000000000001</v>
      </c>
      <c r="C75" s="303">
        <v>-0.54500000000000004</v>
      </c>
      <c r="D75" s="188">
        <v>-0.44812090747711686</v>
      </c>
      <c r="E75" s="188">
        <v>-0.47580064819794066</v>
      </c>
      <c r="F75" s="285">
        <v>0.125</v>
      </c>
      <c r="G75" s="286">
        <v>0.12</v>
      </c>
      <c r="H75" s="286">
        <v>0.16</v>
      </c>
      <c r="I75" s="287">
        <v>0.16</v>
      </c>
      <c r="J75" s="286">
        <v>3.5000000000000003E-2</v>
      </c>
      <c r="K75" s="286">
        <v>0.105</v>
      </c>
      <c r="L75" s="286">
        <v>0.48</v>
      </c>
      <c r="M75" s="285">
        <v>-0.27</v>
      </c>
      <c r="N75" s="286">
        <v>0.25</v>
      </c>
      <c r="O75" s="287">
        <v>-0.23</v>
      </c>
      <c r="P75" s="239">
        <v>-0.3</v>
      </c>
      <c r="Q75" s="215">
        <v>0.315</v>
      </c>
      <c r="R75" s="291">
        <v>0.30249999999999999</v>
      </c>
      <c r="S75" s="194">
        <v>0.30249999999999999</v>
      </c>
      <c r="T75" s="107">
        <v>0.55000000000000004</v>
      </c>
      <c r="U75" s="308">
        <v>0.30249999999999999</v>
      </c>
      <c r="V75" s="61">
        <v>2.9340000000000002</v>
      </c>
      <c r="W75" s="61">
        <v>3.0308790925228832</v>
      </c>
      <c r="X75" s="197">
        <v>3.0031993518020594</v>
      </c>
      <c r="Y75" s="236">
        <v>4.6849943983382953</v>
      </c>
      <c r="Z75" s="281">
        <v>0.14000000000000001</v>
      </c>
      <c r="AA75" s="296">
        <v>0.1</v>
      </c>
      <c r="AB75" s="301">
        <v>4.2399241085270889</v>
      </c>
      <c r="AC75" s="145">
        <v>4.3799241085270886</v>
      </c>
      <c r="AD75" s="197">
        <v>4.3399241085270885</v>
      </c>
      <c r="AE75" s="238">
        <v>3.1790000000000003</v>
      </c>
      <c r="AF75" s="133">
        <v>3.2090000000000001</v>
      </c>
      <c r="AG75" s="202">
        <v>3.2490000000000001</v>
      </c>
      <c r="AH75" s="242">
        <v>-0.1</v>
      </c>
      <c r="AI75" s="283">
        <v>1.5246616803838298</v>
      </c>
      <c r="AJ75" s="88">
        <v>5.3295923653608607E-2</v>
      </c>
      <c r="AK75" s="88">
        <v>5.1626307734962601E-2</v>
      </c>
      <c r="AL75" s="90">
        <v>0.84970100930572334</v>
      </c>
      <c r="AM75" s="204">
        <v>0.85399246451674415</v>
      </c>
      <c r="AN75" s="184">
        <v>0.12</v>
      </c>
      <c r="AO75" s="205">
        <v>0.12</v>
      </c>
      <c r="AP75" s="72"/>
      <c r="AQ75" s="184">
        <v>-3.4398295726475858</v>
      </c>
      <c r="AR75" s="206">
        <v>-2.8948295726475859</v>
      </c>
      <c r="AS75" s="72"/>
      <c r="AT75" s="273">
        <v>7.4999999999999997E-3</v>
      </c>
      <c r="AU75" s="72"/>
      <c r="AV75" s="184">
        <v>2.5000000000000001E-3</v>
      </c>
      <c r="AW75" s="244"/>
      <c r="AX75" s="90">
        <v>-0.105</v>
      </c>
      <c r="AY75" s="90"/>
      <c r="AZ75" s="302">
        <v>0.55000000000000004</v>
      </c>
      <c r="BA75" s="302">
        <v>0.55000000000000004</v>
      </c>
      <c r="BB75" s="252">
        <v>-0.54500000000000004</v>
      </c>
      <c r="BC75" s="247"/>
      <c r="BD75" s="90"/>
      <c r="BE75" s="72"/>
      <c r="BF75" s="151"/>
      <c r="BG75" s="72"/>
      <c r="BH75" s="125"/>
      <c r="BI75" s="125"/>
      <c r="BJ75" s="72"/>
      <c r="BK75" s="151"/>
      <c r="BL75" s="72"/>
      <c r="BM75" s="72"/>
      <c r="BN75" s="90"/>
      <c r="BO75" s="90"/>
      <c r="BP75" s="125"/>
      <c r="BQ75" s="72"/>
      <c r="BR75" s="125"/>
      <c r="BS75" s="72"/>
      <c r="BT75" s="72"/>
      <c r="BU75" s="72"/>
      <c r="BV75" s="72"/>
      <c r="BW75" s="72"/>
      <c r="BX75" s="72"/>
      <c r="BY75" s="72"/>
      <c r="BZ75" s="72"/>
      <c r="CA75" s="72"/>
      <c r="CB75" s="72"/>
      <c r="CC75" s="72"/>
      <c r="CD75" s="72"/>
      <c r="CE75" s="72"/>
      <c r="CF75" s="72"/>
      <c r="CG75" s="72"/>
    </row>
    <row r="76" spans="1:85" x14ac:dyDescent="0.2">
      <c r="A76" s="354">
        <v>38231</v>
      </c>
      <c r="B76" s="277">
        <v>3.4940000000000002</v>
      </c>
      <c r="C76" s="303">
        <v>-0.54500000000000004</v>
      </c>
      <c r="D76" s="188">
        <v>-0.44808714915905501</v>
      </c>
      <c r="E76" s="188">
        <v>-0.47577653511361095</v>
      </c>
      <c r="F76" s="285">
        <v>0.125</v>
      </c>
      <c r="G76" s="286">
        <v>0.12</v>
      </c>
      <c r="H76" s="286">
        <v>0.16</v>
      </c>
      <c r="I76" s="287">
        <v>0.16</v>
      </c>
      <c r="J76" s="286">
        <v>3.5000000000000003E-2</v>
      </c>
      <c r="K76" s="286">
        <v>0.105</v>
      </c>
      <c r="L76" s="286">
        <v>0.44</v>
      </c>
      <c r="M76" s="285">
        <v>-0.27</v>
      </c>
      <c r="N76" s="286">
        <v>0.25</v>
      </c>
      <c r="O76" s="287">
        <v>-0.23</v>
      </c>
      <c r="P76" s="239">
        <v>-0.3</v>
      </c>
      <c r="Q76" s="215">
        <v>0.315</v>
      </c>
      <c r="R76" s="291">
        <v>0.30249999999999999</v>
      </c>
      <c r="S76" s="194">
        <v>0.30249999999999999</v>
      </c>
      <c r="T76" s="107">
        <v>0.55000000000000004</v>
      </c>
      <c r="U76" s="308">
        <v>0.30249999999999999</v>
      </c>
      <c r="V76" s="61">
        <v>2.9490000000000003</v>
      </c>
      <c r="W76" s="61">
        <v>3.0459128508409452</v>
      </c>
      <c r="X76" s="197">
        <v>3.0182234648863893</v>
      </c>
      <c r="Y76" s="236">
        <v>4.1955838907001493</v>
      </c>
      <c r="Z76" s="281">
        <v>0.14000000000000001</v>
      </c>
      <c r="AA76" s="296">
        <v>0.1</v>
      </c>
      <c r="AB76" s="301">
        <v>4.2601161395777352</v>
      </c>
      <c r="AC76" s="145">
        <v>4.4001161395777348</v>
      </c>
      <c r="AD76" s="197">
        <v>4.3601161395777348</v>
      </c>
      <c r="AE76" s="238">
        <v>3.1940000000000004</v>
      </c>
      <c r="AF76" s="133">
        <v>3.2240000000000002</v>
      </c>
      <c r="AG76" s="202">
        <v>3.2640000000000002</v>
      </c>
      <c r="AH76" s="242">
        <v>-0.1</v>
      </c>
      <c r="AI76" s="283">
        <v>1.524130584523</v>
      </c>
      <c r="AJ76" s="88">
        <v>5.3451864487644905E-2</v>
      </c>
      <c r="AK76" s="88">
        <v>5.1939002007848997E-2</v>
      </c>
      <c r="AL76" s="90">
        <v>0.84550758300440942</v>
      </c>
      <c r="AM76" s="204">
        <v>0.84948185016686795</v>
      </c>
      <c r="AN76" s="184">
        <v>0.12</v>
      </c>
      <c r="AO76" s="205">
        <v>0.124</v>
      </c>
      <c r="AP76" s="72"/>
      <c r="AQ76" s="184">
        <v>-3.4548054696422184</v>
      </c>
      <c r="AR76" s="206">
        <v>-2.9098054696422184</v>
      </c>
      <c r="AS76" s="72"/>
      <c r="AT76" s="273">
        <v>7.4999999999999997E-3</v>
      </c>
      <c r="AU76" s="72"/>
      <c r="AV76" s="184">
        <v>2.5000000000000001E-3</v>
      </c>
      <c r="AW76" s="244"/>
      <c r="AX76" s="90">
        <v>-0.105</v>
      </c>
      <c r="AY76" s="90"/>
      <c r="AZ76" s="302">
        <v>0.55000000000000004</v>
      </c>
      <c r="BA76" s="302">
        <v>0.55000000000000004</v>
      </c>
      <c r="BB76" s="252">
        <v>-0.54500000000000004</v>
      </c>
      <c r="BC76" s="247"/>
      <c r="BD76" s="90"/>
      <c r="BE76" s="72"/>
      <c r="BF76" s="151"/>
      <c r="BG76" s="72"/>
      <c r="BH76" s="125"/>
      <c r="BI76" s="125"/>
      <c r="BJ76" s="72"/>
      <c r="BK76" s="151"/>
      <c r="BL76" s="72"/>
      <c r="BM76" s="72"/>
      <c r="BN76" s="90"/>
      <c r="BO76" s="90"/>
      <c r="BP76" s="125"/>
      <c r="BQ76" s="72"/>
      <c r="BR76" s="125"/>
      <c r="BS76" s="72"/>
      <c r="BT76" s="72"/>
      <c r="BU76" s="72"/>
      <c r="BV76" s="72"/>
      <c r="BW76" s="72"/>
      <c r="BX76" s="72"/>
      <c r="BY76" s="72"/>
      <c r="BZ76" s="72"/>
      <c r="CA76" s="72"/>
      <c r="CB76" s="72"/>
      <c r="CC76" s="72"/>
      <c r="CD76" s="72"/>
      <c r="CE76" s="72"/>
      <c r="CF76" s="72"/>
      <c r="CG76" s="72"/>
    </row>
    <row r="77" spans="1:85" x14ac:dyDescent="0.2">
      <c r="A77" s="354">
        <v>38261</v>
      </c>
      <c r="B77" s="277">
        <v>3.5230000000000001</v>
      </c>
      <c r="C77" s="303">
        <v>-0.54500000000000004</v>
      </c>
      <c r="D77" s="188">
        <v>-0.44805645530028571</v>
      </c>
      <c r="E77" s="188">
        <v>-0.47575461092877536</v>
      </c>
      <c r="F77" s="285">
        <v>0.125</v>
      </c>
      <c r="G77" s="286">
        <v>0.12</v>
      </c>
      <c r="H77" s="286">
        <v>0.16</v>
      </c>
      <c r="I77" s="287">
        <v>0.16</v>
      </c>
      <c r="J77" s="286">
        <v>3.5000000000000003E-2</v>
      </c>
      <c r="K77" s="286">
        <v>0.105</v>
      </c>
      <c r="L77" s="286">
        <v>0.45</v>
      </c>
      <c r="M77" s="285">
        <v>-0.27</v>
      </c>
      <c r="N77" s="286">
        <v>0.25</v>
      </c>
      <c r="O77" s="287">
        <v>-0.23</v>
      </c>
      <c r="P77" s="239">
        <v>-0.3</v>
      </c>
      <c r="Q77" s="215">
        <v>0.3175</v>
      </c>
      <c r="R77" s="291">
        <v>0.30499999999999999</v>
      </c>
      <c r="S77" s="194">
        <v>0.30499999999999999</v>
      </c>
      <c r="T77" s="107">
        <v>0.6</v>
      </c>
      <c r="U77" s="308">
        <v>0.30499999999999999</v>
      </c>
      <c r="V77" s="61">
        <v>2.9780000000000002</v>
      </c>
      <c r="W77" s="61">
        <v>3.0749435446997144</v>
      </c>
      <c r="X77" s="197">
        <v>3.0472453890712248</v>
      </c>
      <c r="Y77" s="116" t="s">
        <v>252</v>
      </c>
      <c r="Z77" s="281">
        <v>0.14000000000000001</v>
      </c>
      <c r="AA77" s="296">
        <v>0.1</v>
      </c>
      <c r="AB77" s="301">
        <v>4.3006473643131642</v>
      </c>
      <c r="AC77" s="145">
        <v>4.4406473643131639</v>
      </c>
      <c r="AD77" s="197">
        <v>4.4006473643131638</v>
      </c>
      <c r="AE77" s="238">
        <v>3.2230000000000003</v>
      </c>
      <c r="AF77" s="133">
        <v>3.2530000000000001</v>
      </c>
      <c r="AG77" s="202">
        <v>3.2930000000000001</v>
      </c>
      <c r="AH77" s="242">
        <v>-0.1</v>
      </c>
      <c r="AI77" s="283">
        <v>1.5236480206859599</v>
      </c>
      <c r="AJ77" s="88">
        <v>5.3602774979914204E-2</v>
      </c>
      <c r="AK77" s="88">
        <v>5.2227429366275203E-2</v>
      </c>
      <c r="AL77" s="90">
        <v>0.84144850803035121</v>
      </c>
      <c r="AM77" s="204">
        <v>0.84513602753434403</v>
      </c>
      <c r="AN77" s="184">
        <v>0.12</v>
      </c>
      <c r="AO77" s="205">
        <v>0.12</v>
      </c>
      <c r="AP77" s="72"/>
      <c r="AQ77" s="184">
        <v>-3.4837835546214144</v>
      </c>
      <c r="AR77" s="206">
        <v>-2.9387835546214145</v>
      </c>
      <c r="AS77" s="72"/>
      <c r="AT77" s="273">
        <v>7.4999999999999997E-3</v>
      </c>
      <c r="AU77" s="72"/>
      <c r="AV77" s="184">
        <v>2.5000000000000001E-3</v>
      </c>
      <c r="AW77" s="244"/>
      <c r="AX77" s="90">
        <v>-0.105</v>
      </c>
      <c r="AY77" s="90"/>
      <c r="AZ77" s="302">
        <v>0.6</v>
      </c>
      <c r="BA77" s="302">
        <v>0.6</v>
      </c>
      <c r="BB77" s="252">
        <v>-0.54500000000000004</v>
      </c>
      <c r="BC77" s="247"/>
      <c r="BD77" s="90"/>
      <c r="BE77" s="72"/>
      <c r="BF77" s="151"/>
      <c r="BG77" s="72"/>
      <c r="BH77" s="125"/>
      <c r="BI77" s="125"/>
      <c r="BJ77" s="72"/>
      <c r="BK77" s="151"/>
      <c r="BL77" s="72"/>
      <c r="BM77" s="72"/>
      <c r="BN77" s="90"/>
      <c r="BO77" s="90"/>
      <c r="BP77" s="125"/>
      <c r="BQ77" s="72"/>
      <c r="BR77" s="125"/>
      <c r="BS77" s="72"/>
      <c r="BT77" s="72"/>
      <c r="BU77" s="72"/>
      <c r="BV77" s="72"/>
      <c r="BW77" s="72"/>
      <c r="BX77" s="72"/>
      <c r="BY77" s="72"/>
      <c r="BZ77" s="72"/>
      <c r="CA77" s="72"/>
      <c r="CB77" s="72"/>
      <c r="CC77" s="72"/>
      <c r="CD77" s="72"/>
      <c r="CE77" s="72"/>
      <c r="CF77" s="72"/>
      <c r="CG77" s="72"/>
    </row>
    <row r="78" spans="1:85" x14ac:dyDescent="0.2">
      <c r="A78" s="353">
        <v>38292</v>
      </c>
      <c r="B78" s="277">
        <v>3.6630000000000003</v>
      </c>
      <c r="C78" s="284">
        <v>-0.49</v>
      </c>
      <c r="D78" s="188">
        <v>-0.39302680797677825</v>
      </c>
      <c r="E78" s="188">
        <v>-0.10999999999999943</v>
      </c>
      <c r="F78" s="285">
        <v>0.26</v>
      </c>
      <c r="G78" s="286">
        <v>0.41</v>
      </c>
      <c r="H78" s="286">
        <v>0.41</v>
      </c>
      <c r="I78" s="287">
        <v>0.56000000000000005</v>
      </c>
      <c r="J78" s="286">
        <v>0.14000000000000001</v>
      </c>
      <c r="K78" s="286">
        <v>0.18</v>
      </c>
      <c r="L78" s="286">
        <v>0.72499999999999998</v>
      </c>
      <c r="M78" s="285">
        <v>-0.18</v>
      </c>
      <c r="N78" s="286">
        <v>0.27</v>
      </c>
      <c r="O78" s="287">
        <v>0.17</v>
      </c>
      <c r="P78" s="309">
        <v>0.248</v>
      </c>
      <c r="Q78" s="215">
        <v>0.3175</v>
      </c>
      <c r="R78" s="291">
        <v>0.30499999999999999</v>
      </c>
      <c r="S78" s="194">
        <v>0.30499999999999999</v>
      </c>
      <c r="T78" s="107">
        <v>0.8</v>
      </c>
      <c r="U78" s="308">
        <v>0.30499999999999999</v>
      </c>
      <c r="V78" s="61">
        <v>3.173</v>
      </c>
      <c r="W78" s="61">
        <v>3.269973192023222</v>
      </c>
      <c r="X78" s="197">
        <v>3.5530000000000008</v>
      </c>
      <c r="Y78" s="236"/>
      <c r="Z78" s="281">
        <v>0.14000000000000001</v>
      </c>
      <c r="AA78" s="296">
        <v>0.548605226764737</v>
      </c>
      <c r="AB78" s="301">
        <v>4.5808536434855549</v>
      </c>
      <c r="AC78" s="145">
        <v>4.7208536434855546</v>
      </c>
      <c r="AD78" s="197">
        <v>5.1294588702502919</v>
      </c>
      <c r="AE78" s="238">
        <v>3.9110000000000005</v>
      </c>
      <c r="AF78" s="133">
        <v>3.4830000000000001</v>
      </c>
      <c r="AG78" s="202">
        <v>3.8330000000000002</v>
      </c>
      <c r="AH78" s="242">
        <v>-0.1</v>
      </c>
      <c r="AI78" s="283">
        <v>1.52318220034078</v>
      </c>
      <c r="AJ78" s="88">
        <v>5.3758715829899599E-2</v>
      </c>
      <c r="AK78" s="88">
        <v>5.2511833758872604E-2</v>
      </c>
      <c r="AL78" s="90">
        <v>0.83725339611977634</v>
      </c>
      <c r="AM78" s="204">
        <v>0.84066543846045538</v>
      </c>
      <c r="AN78" s="184">
        <v>0.41</v>
      </c>
      <c r="AO78" s="205">
        <v>0.124</v>
      </c>
      <c r="AP78" s="72"/>
      <c r="AQ78" s="184">
        <v>-3.3131329377891561</v>
      </c>
      <c r="AR78" s="206">
        <v>-2.8231329377891559</v>
      </c>
      <c r="AS78" s="72"/>
      <c r="AT78" s="273">
        <v>7.4999999999999997E-3</v>
      </c>
      <c r="AU78" s="72"/>
      <c r="AV78" s="184">
        <v>8.0000000000000002E-3</v>
      </c>
      <c r="AW78" s="244"/>
      <c r="AX78" s="90">
        <v>5.0000000000000001E-3</v>
      </c>
      <c r="AY78" s="90"/>
      <c r="AZ78" s="302">
        <v>0.8</v>
      </c>
      <c r="BA78" s="302">
        <v>0.8</v>
      </c>
      <c r="BB78" s="252">
        <v>-0.49</v>
      </c>
      <c r="BC78" s="247"/>
      <c r="BD78" s="90"/>
      <c r="BE78" s="72"/>
      <c r="BF78" s="151"/>
      <c r="BG78" s="72"/>
      <c r="BH78" s="125"/>
      <c r="BI78" s="125"/>
      <c r="BJ78" s="72"/>
      <c r="BK78" s="151"/>
      <c r="BL78" s="72"/>
      <c r="BM78" s="72"/>
      <c r="BN78" s="90"/>
      <c r="BO78" s="90"/>
      <c r="BP78" s="125"/>
      <c r="BQ78" s="72"/>
      <c r="BR78" s="125"/>
      <c r="BS78" s="72"/>
      <c r="BT78" s="72"/>
      <c r="BU78" s="72"/>
      <c r="BV78" s="72"/>
      <c r="BW78" s="72"/>
      <c r="BX78" s="72"/>
      <c r="BY78" s="72"/>
      <c r="BZ78" s="72"/>
      <c r="CA78" s="72"/>
      <c r="CB78" s="72"/>
      <c r="CC78" s="72"/>
      <c r="CD78" s="72"/>
      <c r="CE78" s="72"/>
      <c r="CF78" s="72"/>
      <c r="CG78" s="72"/>
    </row>
    <row r="79" spans="1:85" x14ac:dyDescent="0.2">
      <c r="A79" s="354">
        <v>38322</v>
      </c>
      <c r="B79" s="277">
        <v>3.8030000000000004</v>
      </c>
      <c r="C79" s="307">
        <v>-0.49</v>
      </c>
      <c r="D79" s="188">
        <v>-0.39299615274406685</v>
      </c>
      <c r="E79" s="188">
        <v>-0.10999999999999943</v>
      </c>
      <c r="F79" s="285">
        <v>0.26</v>
      </c>
      <c r="G79" s="286">
        <v>0.41</v>
      </c>
      <c r="H79" s="286">
        <v>0.41</v>
      </c>
      <c r="I79" s="287">
        <v>0.56000000000000005</v>
      </c>
      <c r="J79" s="286">
        <v>0.14000000000000001</v>
      </c>
      <c r="K79" s="286">
        <v>0.18</v>
      </c>
      <c r="L79" s="286">
        <v>1.1299999999999999</v>
      </c>
      <c r="M79" s="285">
        <v>-0.18</v>
      </c>
      <c r="N79" s="286">
        <v>0.27</v>
      </c>
      <c r="O79" s="287">
        <v>0.17</v>
      </c>
      <c r="P79" s="309">
        <v>0.308</v>
      </c>
      <c r="Q79" s="215">
        <v>0.32</v>
      </c>
      <c r="R79" s="291">
        <v>0.3075</v>
      </c>
      <c r="S79" s="194">
        <v>0.3075</v>
      </c>
      <c r="T79" s="107">
        <v>1</v>
      </c>
      <c r="U79" s="308">
        <v>0.3075</v>
      </c>
      <c r="V79" s="61">
        <v>3.3130000000000006</v>
      </c>
      <c r="W79" s="61">
        <v>3.4100038472559335</v>
      </c>
      <c r="X79" s="197">
        <v>3.6930000000000009</v>
      </c>
      <c r="Y79" s="116" t="s">
        <v>250</v>
      </c>
      <c r="Z79" s="281">
        <v>0.14000000000000001</v>
      </c>
      <c r="AA79" s="296">
        <v>0.54843185610605616</v>
      </c>
      <c r="AB79" s="301">
        <v>4.7814598402088446</v>
      </c>
      <c r="AC79" s="145">
        <v>4.9214598402088443</v>
      </c>
      <c r="AD79" s="197">
        <v>5.3298916963149008</v>
      </c>
      <c r="AE79" s="238">
        <v>4.1110000000000007</v>
      </c>
      <c r="AF79" s="133">
        <v>3.6230000000000002</v>
      </c>
      <c r="AG79" s="202">
        <v>3.9730000000000003</v>
      </c>
      <c r="AH79" s="242">
        <v>-0.1</v>
      </c>
      <c r="AI79" s="283">
        <v>1.5227008430942899</v>
      </c>
      <c r="AJ79" s="88">
        <v>5.3909626337602198E-2</v>
      </c>
      <c r="AK79" s="88">
        <v>5.2787063841907206E-2</v>
      </c>
      <c r="AL79" s="90">
        <v>0.83319310612077402</v>
      </c>
      <c r="AM79" s="204">
        <v>0.83632422224815794</v>
      </c>
      <c r="AN79" s="184">
        <v>0.41</v>
      </c>
      <c r="AO79" s="205">
        <v>0.12</v>
      </c>
      <c r="AP79" s="72"/>
      <c r="AQ79" s="184">
        <v>-3.4531317896305835</v>
      </c>
      <c r="AR79" s="206">
        <v>-2.9631317896305838</v>
      </c>
      <c r="AS79" s="72"/>
      <c r="AT79" s="273">
        <v>7.4999999999999997E-3</v>
      </c>
      <c r="AU79" s="72"/>
      <c r="AV79" s="184">
        <v>8.0000000000000002E-3</v>
      </c>
      <c r="AW79" s="244"/>
      <c r="AX79" s="90">
        <v>0.01</v>
      </c>
      <c r="AY79" s="90"/>
      <c r="AZ79" s="302">
        <v>1</v>
      </c>
      <c r="BA79" s="302">
        <v>1</v>
      </c>
      <c r="BB79" s="252">
        <v>-0.49</v>
      </c>
      <c r="BC79" s="247"/>
      <c r="BD79" s="90"/>
      <c r="BE79" s="72"/>
      <c r="BF79" s="151"/>
      <c r="BG79" s="72"/>
      <c r="BH79" s="125"/>
      <c r="BI79" s="125"/>
      <c r="BJ79" s="72"/>
      <c r="BK79" s="151"/>
      <c r="BL79" s="72"/>
      <c r="BM79" s="72"/>
      <c r="BN79" s="90"/>
      <c r="BO79" s="90"/>
      <c r="BP79" s="125"/>
      <c r="BQ79" s="72"/>
      <c r="BR79" s="125"/>
      <c r="BS79" s="72"/>
      <c r="BT79" s="72"/>
      <c r="BU79" s="72"/>
      <c r="BV79" s="72"/>
      <c r="BW79" s="72"/>
      <c r="BX79" s="72"/>
      <c r="BY79" s="72"/>
      <c r="BZ79" s="72"/>
      <c r="CA79" s="72"/>
      <c r="CB79" s="72"/>
      <c r="CC79" s="72"/>
      <c r="CD79" s="72"/>
      <c r="CE79" s="72"/>
      <c r="CF79" s="72"/>
      <c r="CG79" s="72"/>
    </row>
    <row r="80" spans="1:85" x14ac:dyDescent="0.2">
      <c r="A80" s="354">
        <v>38353</v>
      </c>
      <c r="B80" s="277">
        <v>3.863</v>
      </c>
      <c r="C80" s="307">
        <v>-0.49</v>
      </c>
      <c r="D80" s="188">
        <v>-0.39296468339839041</v>
      </c>
      <c r="E80" s="188">
        <v>-0.11</v>
      </c>
      <c r="F80" s="285">
        <v>0.26</v>
      </c>
      <c r="G80" s="286">
        <v>0.41</v>
      </c>
      <c r="H80" s="286">
        <v>0.41</v>
      </c>
      <c r="I80" s="287">
        <v>0.56000000000000005</v>
      </c>
      <c r="J80" s="286">
        <v>0.14000000000000001</v>
      </c>
      <c r="K80" s="286">
        <v>0.18</v>
      </c>
      <c r="L80" s="286">
        <v>1.615</v>
      </c>
      <c r="M80" s="285">
        <v>-0.18</v>
      </c>
      <c r="N80" s="286">
        <v>0.27</v>
      </c>
      <c r="O80" s="287">
        <v>0.17</v>
      </c>
      <c r="P80" s="309">
        <v>0.378</v>
      </c>
      <c r="Q80" s="215">
        <v>0.32500000000000001</v>
      </c>
      <c r="R80" s="291">
        <v>0.3125</v>
      </c>
      <c r="S80" s="194">
        <v>0.3125</v>
      </c>
      <c r="T80" s="107">
        <v>1</v>
      </c>
      <c r="U80" s="308">
        <v>0.3125</v>
      </c>
      <c r="V80" s="61">
        <v>3.3730000000000002</v>
      </c>
      <c r="W80" s="61">
        <v>3.4700353166016096</v>
      </c>
      <c r="X80" s="197">
        <v>3.7529999999999997</v>
      </c>
      <c r="Y80" s="236"/>
      <c r="Z80" s="281">
        <v>0.14000000000000001</v>
      </c>
      <c r="AA80" s="296">
        <v>0.54825399517599482</v>
      </c>
      <c r="AB80" s="301">
        <v>4.8664755940227167</v>
      </c>
      <c r="AC80" s="145">
        <v>5.0064755940227164</v>
      </c>
      <c r="AD80" s="197">
        <v>5.4147295891987115</v>
      </c>
      <c r="AE80" s="238">
        <v>4.2409999999999997</v>
      </c>
      <c r="AF80" s="133">
        <v>3.6829999999999998</v>
      </c>
      <c r="AG80" s="202">
        <v>4.0330000000000004</v>
      </c>
      <c r="AH80" s="242">
        <v>-0.1</v>
      </c>
      <c r="AI80" s="283">
        <v>1.5222070187747498</v>
      </c>
      <c r="AJ80" s="88">
        <v>5.4065567203534802E-2</v>
      </c>
      <c r="AK80" s="88">
        <v>5.3064731101797304E-2</v>
      </c>
      <c r="AL80" s="90">
        <v>0.82899716666949141</v>
      </c>
      <c r="AM80" s="204">
        <v>0.83184265369062882</v>
      </c>
      <c r="AN80" s="184">
        <v>0.41</v>
      </c>
      <c r="AO80" s="205">
        <v>0.12</v>
      </c>
      <c r="AP80" s="72"/>
      <c r="AQ80" s="184">
        <v>-3.5131313169218452</v>
      </c>
      <c r="AR80" s="206">
        <v>-3.0231313169218454</v>
      </c>
      <c r="AS80" s="72"/>
      <c r="AT80" s="273">
        <v>7.4999999999999997E-3</v>
      </c>
      <c r="AU80" s="72"/>
      <c r="AV80" s="184">
        <v>8.0000000000000002E-3</v>
      </c>
      <c r="AW80" s="244"/>
      <c r="AX80" s="90">
        <v>0.03</v>
      </c>
      <c r="AY80" s="90"/>
      <c r="AZ80" s="302">
        <v>1</v>
      </c>
      <c r="BA80" s="302">
        <v>1</v>
      </c>
      <c r="BB80" s="252">
        <v>-0.49</v>
      </c>
      <c r="BC80" s="247"/>
      <c r="BD80" s="90"/>
      <c r="BE80" s="72"/>
      <c r="BF80" s="151"/>
      <c r="BG80" s="72"/>
      <c r="BH80" s="125"/>
      <c r="BI80" s="125"/>
      <c r="BJ80" s="72"/>
      <c r="BK80" s="151"/>
      <c r="BL80" s="72"/>
      <c r="BM80" s="72"/>
      <c r="BN80" s="90"/>
      <c r="BO80" s="90"/>
      <c r="BP80" s="125"/>
      <c r="BQ80" s="72"/>
      <c r="BR80" s="125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</row>
    <row r="81" spans="1:85" x14ac:dyDescent="0.2">
      <c r="A81" s="354">
        <v>38384</v>
      </c>
      <c r="B81" s="277">
        <v>3.7450000000000001</v>
      </c>
      <c r="C81" s="307">
        <v>-0.49</v>
      </c>
      <c r="D81" s="188">
        <v>-0.39293314591901929</v>
      </c>
      <c r="E81" s="188">
        <v>-0.11</v>
      </c>
      <c r="F81" s="285">
        <v>0.26</v>
      </c>
      <c r="G81" s="286">
        <v>0.41</v>
      </c>
      <c r="H81" s="286">
        <v>0.41</v>
      </c>
      <c r="I81" s="287">
        <v>0.56000000000000005</v>
      </c>
      <c r="J81" s="286">
        <v>0.14000000000000001</v>
      </c>
      <c r="K81" s="286">
        <v>0.18</v>
      </c>
      <c r="L81" s="286">
        <v>1.615</v>
      </c>
      <c r="M81" s="285">
        <v>-0.18</v>
      </c>
      <c r="N81" s="286">
        <v>0.27</v>
      </c>
      <c r="O81" s="287">
        <v>0.17</v>
      </c>
      <c r="P81" s="309">
        <v>0.248</v>
      </c>
      <c r="Q81" s="215">
        <v>0.315</v>
      </c>
      <c r="R81" s="291">
        <v>0.30249999999999999</v>
      </c>
      <c r="S81" s="194">
        <v>0.30249999999999999</v>
      </c>
      <c r="T81" s="107">
        <v>1</v>
      </c>
      <c r="U81" s="308">
        <v>0.30249999999999999</v>
      </c>
      <c r="V81" s="61">
        <v>3.2549999999999999</v>
      </c>
      <c r="W81" s="61">
        <v>3.3520668540809808</v>
      </c>
      <c r="X81" s="197">
        <v>3.6349999999999998</v>
      </c>
      <c r="Y81" s="62"/>
      <c r="Z81" s="281">
        <v>0.14000000000000001</v>
      </c>
      <c r="AA81" s="296">
        <v>0.54807586486336657</v>
      </c>
      <c r="AB81" s="301">
        <v>4.6947024740269896</v>
      </c>
      <c r="AC81" s="145">
        <v>4.8347024740269893</v>
      </c>
      <c r="AD81" s="197">
        <v>5.2427783388903562</v>
      </c>
      <c r="AE81" s="238">
        <v>3.9930000000000003</v>
      </c>
      <c r="AF81" s="133">
        <v>3.5649999999999999</v>
      </c>
      <c r="AG81" s="202">
        <v>3.915</v>
      </c>
      <c r="AH81" s="242">
        <v>-0.1</v>
      </c>
      <c r="AI81" s="283">
        <v>1.5217124465244301</v>
      </c>
      <c r="AJ81" s="88">
        <v>5.4221508077570299E-2</v>
      </c>
      <c r="AK81" s="88">
        <v>5.3336850116246101E-2</v>
      </c>
      <c r="AL81" s="90">
        <v>0.82480113279667133</v>
      </c>
      <c r="AM81" s="204">
        <v>0.82736331554656894</v>
      </c>
      <c r="AN81" s="184">
        <v>0.41</v>
      </c>
      <c r="AO81" s="205">
        <v>0.13300000000000001</v>
      </c>
      <c r="AP81" s="72"/>
      <c r="AQ81" s="184">
        <v>-3.3951314842464377</v>
      </c>
      <c r="AR81" s="206">
        <v>-2.9051314842464375</v>
      </c>
      <c r="AS81" s="72"/>
      <c r="AT81" s="273">
        <v>7.4999999999999997E-3</v>
      </c>
      <c r="AU81" s="72"/>
      <c r="AV81" s="184">
        <v>8.0000000000000002E-3</v>
      </c>
      <c r="AW81" s="244"/>
      <c r="AX81" s="90">
        <v>2.5000000000000001E-2</v>
      </c>
      <c r="AY81" s="90"/>
      <c r="AZ81" s="302">
        <v>1</v>
      </c>
      <c r="BA81" s="302">
        <v>1</v>
      </c>
      <c r="BB81" s="252">
        <v>-0.49</v>
      </c>
      <c r="BC81" s="247"/>
      <c r="BD81" s="90"/>
      <c r="BE81" s="72"/>
      <c r="BF81" s="151"/>
      <c r="BG81" s="72"/>
      <c r="BH81" s="125"/>
      <c r="BI81" s="125"/>
      <c r="BJ81" s="72"/>
      <c r="BK81" s="151"/>
      <c r="BL81" s="72"/>
      <c r="BM81" s="72"/>
      <c r="BN81" s="90"/>
      <c r="BO81" s="90"/>
      <c r="BP81" s="125"/>
      <c r="BQ81" s="72"/>
      <c r="BR81" s="125"/>
      <c r="BS81" s="72"/>
      <c r="BT81" s="72"/>
      <c r="BU81" s="72"/>
      <c r="BV81" s="72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</row>
    <row r="82" spans="1:85" x14ac:dyDescent="0.2">
      <c r="A82" s="354">
        <v>38412</v>
      </c>
      <c r="B82" s="277">
        <v>3.6120000000000001</v>
      </c>
      <c r="C82" s="307">
        <v>-0.49</v>
      </c>
      <c r="D82" s="188">
        <v>-0.39290305471034959</v>
      </c>
      <c r="E82" s="188">
        <v>-0.11</v>
      </c>
      <c r="F82" s="285">
        <v>0.26</v>
      </c>
      <c r="G82" s="286">
        <v>0.41</v>
      </c>
      <c r="H82" s="286">
        <v>0.41</v>
      </c>
      <c r="I82" s="287">
        <v>0.56000000000000005</v>
      </c>
      <c r="J82" s="286">
        <v>0.14000000000000001</v>
      </c>
      <c r="K82" s="286">
        <v>0.18</v>
      </c>
      <c r="L82" s="286">
        <v>0.71499999999999997</v>
      </c>
      <c r="M82" s="285">
        <v>-0.18</v>
      </c>
      <c r="N82" s="286">
        <v>0.27</v>
      </c>
      <c r="O82" s="287">
        <v>0.17</v>
      </c>
      <c r="P82" s="309">
        <v>6.8000000000000005E-2</v>
      </c>
      <c r="Q82" s="215">
        <v>0.30499999999999999</v>
      </c>
      <c r="R82" s="291">
        <v>0.29249999999999998</v>
      </c>
      <c r="S82" s="194">
        <v>0.29249999999999998</v>
      </c>
      <c r="T82" s="107">
        <v>0.75</v>
      </c>
      <c r="U82" s="308">
        <v>0.29249999999999998</v>
      </c>
      <c r="V82" s="61">
        <v>3.1219999999999999</v>
      </c>
      <c r="W82" s="61">
        <v>3.2190969452896505</v>
      </c>
      <c r="X82" s="197">
        <v>3.5020000000000002</v>
      </c>
      <c r="Y82" s="62"/>
      <c r="Z82" s="281">
        <v>0.14000000000000001</v>
      </c>
      <c r="AA82" s="296">
        <v>0.54790601126841754</v>
      </c>
      <c r="AB82" s="301">
        <v>4.5014804399473682</v>
      </c>
      <c r="AC82" s="145">
        <v>4.6414804399473679</v>
      </c>
      <c r="AD82" s="197">
        <v>5.0493864512157858</v>
      </c>
      <c r="AE82" s="238">
        <v>3.68</v>
      </c>
      <c r="AF82" s="133">
        <v>3.4319999999999999</v>
      </c>
      <c r="AG82" s="202">
        <v>3.782</v>
      </c>
      <c r="AH82" s="242">
        <v>-0.1</v>
      </c>
      <c r="AI82" s="283">
        <v>1.52124085427582</v>
      </c>
      <c r="AJ82" s="88">
        <v>5.4362357906243601E-2</v>
      </c>
      <c r="AK82" s="88">
        <v>5.3582635053738101E-2</v>
      </c>
      <c r="AL82" s="90">
        <v>0.82101126715230011</v>
      </c>
      <c r="AM82" s="204">
        <v>0.8233064478660761</v>
      </c>
      <c r="AN82" s="184">
        <v>0.41</v>
      </c>
      <c r="AO82" s="205">
        <v>0.12</v>
      </c>
      <c r="AP82" s="72"/>
      <c r="AQ82" s="184">
        <v>-3.2621317116022275</v>
      </c>
      <c r="AR82" s="206">
        <v>-2.7721317116022277</v>
      </c>
      <c r="AS82" s="72"/>
      <c r="AT82" s="273">
        <v>7.4999999999999997E-3</v>
      </c>
      <c r="AU82" s="72"/>
      <c r="AV82" s="184">
        <v>8.0000000000000002E-3</v>
      </c>
      <c r="AW82" s="244"/>
      <c r="AX82" s="90">
        <v>5.0000000000000001E-3</v>
      </c>
      <c r="AY82" s="90"/>
      <c r="AZ82" s="302">
        <v>0.75</v>
      </c>
      <c r="BA82" s="302">
        <v>0.75</v>
      </c>
      <c r="BB82" s="252">
        <v>-0.49</v>
      </c>
      <c r="BC82" s="247"/>
      <c r="BD82" s="90"/>
      <c r="BE82" s="72"/>
      <c r="BF82" s="151"/>
      <c r="BG82" s="72"/>
      <c r="BH82" s="125"/>
      <c r="BI82" s="125"/>
      <c r="BJ82" s="72"/>
      <c r="BK82" s="151"/>
      <c r="BL82" s="72"/>
      <c r="BM82" s="72"/>
      <c r="BN82" s="90"/>
      <c r="BO82" s="90"/>
      <c r="BP82" s="125"/>
      <c r="BQ82" s="72"/>
      <c r="BR82" s="125"/>
      <c r="BS82" s="72"/>
      <c r="BT82" s="72"/>
      <c r="BU82" s="72"/>
      <c r="BV82" s="72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</row>
    <row r="83" spans="1:85" x14ac:dyDescent="0.2">
      <c r="A83" s="354">
        <v>38443</v>
      </c>
      <c r="B83" s="277">
        <v>3.3920000000000003</v>
      </c>
      <c r="C83" s="298">
        <v>-0.55000000000000004</v>
      </c>
      <c r="D83" s="188">
        <v>-0.45287534919719752</v>
      </c>
      <c r="E83" s="188">
        <v>-0.48062524942656948</v>
      </c>
      <c r="F83" s="285">
        <v>0.13</v>
      </c>
      <c r="G83" s="286">
        <v>0.12</v>
      </c>
      <c r="H83" s="286">
        <v>0.16500000000000001</v>
      </c>
      <c r="I83" s="287">
        <v>0.16500000000000001</v>
      </c>
      <c r="J83" s="286">
        <v>0.04</v>
      </c>
      <c r="K83" s="286">
        <v>0.105</v>
      </c>
      <c r="L83" s="286">
        <v>0.48</v>
      </c>
      <c r="M83" s="285">
        <v>-0.27</v>
      </c>
      <c r="N83" s="286">
        <v>0.25</v>
      </c>
      <c r="O83" s="287">
        <v>-0.23</v>
      </c>
      <c r="P83" s="299">
        <v>-0.25</v>
      </c>
      <c r="Q83" s="215">
        <v>0.29249999999999998</v>
      </c>
      <c r="R83" s="291">
        <v>0.28000000000000003</v>
      </c>
      <c r="S83" s="194">
        <v>0.28000000000000003</v>
      </c>
      <c r="T83" s="107">
        <v>0.4</v>
      </c>
      <c r="U83" s="308">
        <v>0.28000000000000003</v>
      </c>
      <c r="V83" s="61">
        <v>2.8420000000000005</v>
      </c>
      <c r="W83" s="61">
        <v>2.9391246508028028</v>
      </c>
      <c r="X83" s="197">
        <v>2.9113747505734309</v>
      </c>
      <c r="Y83" s="62"/>
      <c r="Z83" s="281">
        <v>0.14000000000000001</v>
      </c>
      <c r="AA83" s="296">
        <v>0.1</v>
      </c>
      <c r="AB83" s="301">
        <v>4.0965913052067169</v>
      </c>
      <c r="AC83" s="145">
        <v>4.2365913052067166</v>
      </c>
      <c r="AD83" s="197">
        <v>4.1965913052067165</v>
      </c>
      <c r="AE83" s="238">
        <v>3.1420000000000003</v>
      </c>
      <c r="AF83" s="133">
        <v>3.1220000000000003</v>
      </c>
      <c r="AG83" s="202">
        <v>3.1620000000000004</v>
      </c>
      <c r="AH83" s="242">
        <v>-0.1</v>
      </c>
      <c r="AI83" s="283">
        <v>1.52080690925622</v>
      </c>
      <c r="AJ83" s="88">
        <v>5.4518298795699999E-2</v>
      </c>
      <c r="AK83" s="88">
        <v>5.3833987426294104E-2</v>
      </c>
      <c r="AL83" s="90">
        <v>0.81681565568076797</v>
      </c>
      <c r="AM83" s="204">
        <v>0.81886545336055416</v>
      </c>
      <c r="AN83" s="184">
        <v>0.12</v>
      </c>
      <c r="AO83" s="205">
        <v>0.124</v>
      </c>
      <c r="AP83" s="72"/>
      <c r="AQ83" s="184">
        <v>-3.3526542471906722</v>
      </c>
      <c r="AR83" s="206">
        <v>-2.8026542471906719</v>
      </c>
      <c r="AS83" s="72"/>
      <c r="AT83" s="273">
        <v>7.4999999999999997E-3</v>
      </c>
      <c r="AU83" s="72"/>
      <c r="AV83" s="184">
        <v>2.5000000000000001E-3</v>
      </c>
      <c r="AW83" s="244"/>
      <c r="AX83" s="90">
        <v>-0.105</v>
      </c>
      <c r="AY83" s="90"/>
      <c r="AZ83" s="302">
        <v>0.4</v>
      </c>
      <c r="BA83" s="302">
        <v>0.4</v>
      </c>
      <c r="BB83" s="252">
        <v>-0.55000000000000004</v>
      </c>
      <c r="BC83" s="247"/>
      <c r="BD83" s="90"/>
      <c r="BE83" s="72"/>
      <c r="BF83" s="151"/>
      <c r="BG83" s="72"/>
      <c r="BH83" s="125"/>
      <c r="BI83" s="125"/>
      <c r="BJ83" s="72"/>
      <c r="BK83" s="151"/>
      <c r="BL83" s="72"/>
      <c r="BM83" s="72"/>
      <c r="BN83" s="90"/>
      <c r="BO83" s="90"/>
      <c r="BP83" s="125"/>
      <c r="BQ83" s="72"/>
      <c r="BR83" s="125"/>
      <c r="BS83" s="72"/>
      <c r="BT83" s="72"/>
      <c r="BU83" s="72"/>
      <c r="BV83" s="72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</row>
    <row r="84" spans="1:85" x14ac:dyDescent="0.2">
      <c r="A84" s="354">
        <v>38473</v>
      </c>
      <c r="B84" s="277">
        <v>3.3820000000000001</v>
      </c>
      <c r="C84" s="303">
        <v>-0.55000000000000004</v>
      </c>
      <c r="D84" s="188">
        <v>-0.45285366948857453</v>
      </c>
      <c r="E84" s="188">
        <v>-0.48060976392041121</v>
      </c>
      <c r="F84" s="285">
        <v>0.13</v>
      </c>
      <c r="G84" s="286">
        <v>0.12</v>
      </c>
      <c r="H84" s="286">
        <v>0.16500000000000001</v>
      </c>
      <c r="I84" s="287">
        <v>0.16500000000000001</v>
      </c>
      <c r="J84" s="286">
        <v>0.04</v>
      </c>
      <c r="K84" s="286">
        <v>0.105</v>
      </c>
      <c r="L84" s="286">
        <v>0.42</v>
      </c>
      <c r="M84" s="285">
        <v>-0.27</v>
      </c>
      <c r="N84" s="286">
        <v>0.25</v>
      </c>
      <c r="O84" s="287">
        <v>-0.23</v>
      </c>
      <c r="P84" s="239">
        <v>-0.25</v>
      </c>
      <c r="Q84" s="215">
        <v>0.28499999999999998</v>
      </c>
      <c r="R84" s="291">
        <v>0.27250000000000002</v>
      </c>
      <c r="S84" s="194">
        <v>0.27250000000000002</v>
      </c>
      <c r="T84" s="107">
        <v>0.45</v>
      </c>
      <c r="U84" s="308">
        <v>0.27250000000000002</v>
      </c>
      <c r="V84" s="61">
        <v>2.8319999999999999</v>
      </c>
      <c r="W84" s="61">
        <v>2.9291463305114256</v>
      </c>
      <c r="X84" s="197">
        <v>2.9013902360795889</v>
      </c>
      <c r="Y84" s="62"/>
      <c r="Z84" s="281">
        <v>0.14000000000000001</v>
      </c>
      <c r="AA84" s="296">
        <v>0.1</v>
      </c>
      <c r="AB84" s="301">
        <v>4.0812658379656135</v>
      </c>
      <c r="AC84" s="145">
        <v>4.2212658379656132</v>
      </c>
      <c r="AD84" s="197">
        <v>4.1812658379656131</v>
      </c>
      <c r="AE84" s="238">
        <v>3.1320000000000001</v>
      </c>
      <c r="AF84" s="133">
        <v>3.1120000000000001</v>
      </c>
      <c r="AG84" s="202">
        <v>3.1520000000000001</v>
      </c>
      <c r="AH84" s="242">
        <v>-0.1</v>
      </c>
      <c r="AI84" s="283">
        <v>1.52046751763441</v>
      </c>
      <c r="AJ84" s="88">
        <v>5.4669209341596602E-2</v>
      </c>
      <c r="AK84" s="88">
        <v>5.4059099870227702E-2</v>
      </c>
      <c r="AL84" s="90">
        <v>0.81275589475644017</v>
      </c>
      <c r="AM84" s="204">
        <v>0.81461367023273312</v>
      </c>
      <c r="AN84" s="184">
        <v>0.12</v>
      </c>
      <c r="AO84" s="205">
        <v>0.12</v>
      </c>
      <c r="AP84" s="72"/>
      <c r="AQ84" s="184">
        <v>-3.3426387681572574</v>
      </c>
      <c r="AR84" s="206">
        <v>-2.7926387681572571</v>
      </c>
      <c r="AS84" s="72"/>
      <c r="AT84" s="273">
        <v>7.4999999999999997E-3</v>
      </c>
      <c r="AU84" s="72"/>
      <c r="AV84" s="184">
        <v>2.5000000000000001E-3</v>
      </c>
      <c r="AW84" s="244"/>
      <c r="AX84" s="90">
        <v>-0.105</v>
      </c>
      <c r="AY84" s="90"/>
      <c r="AZ84" s="302">
        <v>0.45</v>
      </c>
      <c r="BA84" s="302">
        <v>0.45</v>
      </c>
      <c r="BB84" s="252">
        <v>-0.55000000000000004</v>
      </c>
      <c r="BC84" s="247"/>
      <c r="BD84" s="90"/>
      <c r="BE84" s="72"/>
      <c r="BF84" s="151"/>
      <c r="BG84" s="72"/>
      <c r="BH84" s="125"/>
      <c r="BI84" s="125"/>
      <c r="BJ84" s="72"/>
      <c r="BK84" s="151"/>
      <c r="BL84" s="72"/>
      <c r="BM84" s="72"/>
      <c r="BN84" s="90"/>
      <c r="BO84" s="90"/>
      <c r="BP84" s="125"/>
      <c r="BQ84" s="72"/>
      <c r="BR84" s="125"/>
      <c r="BS84" s="72"/>
      <c r="BT84" s="72"/>
      <c r="BU84" s="72"/>
      <c r="BV84" s="72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</row>
    <row r="85" spans="1:85" x14ac:dyDescent="0.2">
      <c r="A85" s="354">
        <v>38504</v>
      </c>
      <c r="B85" s="277">
        <v>3.4180000000000001</v>
      </c>
      <c r="C85" s="303">
        <v>-0.55000000000000004</v>
      </c>
      <c r="D85" s="188">
        <v>-0.45283005494976036</v>
      </c>
      <c r="E85" s="188">
        <v>-0.48059289639268599</v>
      </c>
      <c r="F85" s="285">
        <v>0.13</v>
      </c>
      <c r="G85" s="286">
        <v>0.12</v>
      </c>
      <c r="H85" s="286">
        <v>0.16500000000000001</v>
      </c>
      <c r="I85" s="287">
        <v>0.16500000000000001</v>
      </c>
      <c r="J85" s="286">
        <v>0.04</v>
      </c>
      <c r="K85" s="286">
        <v>0.105</v>
      </c>
      <c r="L85" s="286">
        <v>0.42</v>
      </c>
      <c r="M85" s="285">
        <v>-0.27</v>
      </c>
      <c r="N85" s="286">
        <v>0.25</v>
      </c>
      <c r="O85" s="287">
        <v>-0.23</v>
      </c>
      <c r="P85" s="239">
        <v>-0.25</v>
      </c>
      <c r="Q85" s="215">
        <v>0.28000000000000003</v>
      </c>
      <c r="R85" s="291">
        <v>0.26750000000000002</v>
      </c>
      <c r="S85" s="194">
        <v>0.26750000000000002</v>
      </c>
      <c r="T85" s="107">
        <v>0.45</v>
      </c>
      <c r="U85" s="308">
        <v>0.26750000000000002</v>
      </c>
      <c r="V85" s="61">
        <v>2.8680000000000003</v>
      </c>
      <c r="W85" s="61">
        <v>2.9651699450502398</v>
      </c>
      <c r="X85" s="197">
        <v>2.9374071036073142</v>
      </c>
      <c r="Y85" s="304" t="s">
        <v>257</v>
      </c>
      <c r="Z85" s="281">
        <v>0.14000000000000001</v>
      </c>
      <c r="AA85" s="296">
        <v>0.1</v>
      </c>
      <c r="AB85" s="301">
        <v>4.1321418859751651</v>
      </c>
      <c r="AC85" s="145">
        <v>4.2721418859751648</v>
      </c>
      <c r="AD85" s="197">
        <v>4.2321418859751647</v>
      </c>
      <c r="AE85" s="238">
        <v>3.1680000000000001</v>
      </c>
      <c r="AF85" s="133">
        <v>3.1480000000000001</v>
      </c>
      <c r="AG85" s="202">
        <v>3.1880000000000002</v>
      </c>
      <c r="AH85" s="242">
        <v>-0.1</v>
      </c>
      <c r="AI85" s="283">
        <v>1.52009800894331</v>
      </c>
      <c r="AJ85" s="88">
        <v>5.4825150246993602E-2</v>
      </c>
      <c r="AK85" s="88">
        <v>5.4291716080031797E-2</v>
      </c>
      <c r="AL85" s="90">
        <v>0.80856154281901016</v>
      </c>
      <c r="AM85" s="204">
        <v>0.81021278269433483</v>
      </c>
      <c r="AN85" s="184">
        <v>0.12</v>
      </c>
      <c r="AO85" s="205">
        <v>0.124</v>
      </c>
      <c r="AP85" s="72"/>
      <c r="AQ85" s="184">
        <v>-3.3786219076799453</v>
      </c>
      <c r="AR85" s="206">
        <v>-2.8286219076799455</v>
      </c>
      <c r="AS85" s="72"/>
      <c r="AT85" s="273">
        <v>7.4999999999999997E-3</v>
      </c>
      <c r="AU85" s="72"/>
      <c r="AV85" s="184">
        <v>2.5000000000000001E-3</v>
      </c>
      <c r="AW85" s="244"/>
      <c r="AX85" s="90">
        <v>-0.105</v>
      </c>
      <c r="AY85" s="90"/>
      <c r="AZ85" s="302">
        <v>0.45</v>
      </c>
      <c r="BA85" s="302">
        <v>0.45</v>
      </c>
      <c r="BB85" s="252">
        <v>-0.55000000000000004</v>
      </c>
      <c r="BC85" s="247"/>
      <c r="BD85" s="90"/>
      <c r="BE85" s="72"/>
      <c r="BF85" s="151"/>
      <c r="BG85" s="72"/>
      <c r="BH85" s="125"/>
      <c r="BI85" s="125"/>
      <c r="BJ85" s="72"/>
      <c r="BK85" s="151"/>
      <c r="BL85" s="72"/>
      <c r="BM85" s="72"/>
      <c r="BN85" s="90"/>
      <c r="BO85" s="90"/>
      <c r="BP85" s="125"/>
      <c r="BQ85" s="72"/>
      <c r="BR85" s="125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</row>
    <row r="86" spans="1:85" x14ac:dyDescent="0.2">
      <c r="A86" s="354">
        <v>38534</v>
      </c>
      <c r="B86" s="277">
        <v>3.46</v>
      </c>
      <c r="C86" s="303">
        <v>-0.55000000000000004</v>
      </c>
      <c r="D86" s="188">
        <v>-0.45280998114643722</v>
      </c>
      <c r="E86" s="188">
        <v>-0.4805785579617412</v>
      </c>
      <c r="F86" s="285">
        <v>0.13</v>
      </c>
      <c r="G86" s="286">
        <v>0.12</v>
      </c>
      <c r="H86" s="286">
        <v>0.16500000000000001</v>
      </c>
      <c r="I86" s="287">
        <v>0.16500000000000001</v>
      </c>
      <c r="J86" s="286">
        <v>0.04</v>
      </c>
      <c r="K86" s="286">
        <v>0.105</v>
      </c>
      <c r="L86" s="286">
        <v>0.48</v>
      </c>
      <c r="M86" s="285">
        <v>-0.27</v>
      </c>
      <c r="N86" s="286">
        <v>0.25</v>
      </c>
      <c r="O86" s="287">
        <v>-0.23</v>
      </c>
      <c r="P86" s="239">
        <v>-0.25</v>
      </c>
      <c r="Q86" s="215">
        <v>0.28000000000000003</v>
      </c>
      <c r="R86" s="291">
        <v>0.26750000000000002</v>
      </c>
      <c r="S86" s="194">
        <v>0.26750000000000002</v>
      </c>
      <c r="T86" s="107">
        <v>0.5</v>
      </c>
      <c r="U86" s="308">
        <v>0.26750000000000002</v>
      </c>
      <c r="V86" s="61">
        <v>2.91</v>
      </c>
      <c r="W86" s="61">
        <v>3.0071900188535627</v>
      </c>
      <c r="X86" s="197">
        <v>2.9794214420382588</v>
      </c>
      <c r="Y86" s="236">
        <v>4.4424632925175294</v>
      </c>
      <c r="Z86" s="281">
        <v>0.14000000000000001</v>
      </c>
      <c r="AA86" s="296">
        <v>0.1</v>
      </c>
      <c r="AB86" s="301">
        <v>4.1917884655813662</v>
      </c>
      <c r="AC86" s="145">
        <v>4.3317884655813659</v>
      </c>
      <c r="AD86" s="197">
        <v>4.2917884655813658</v>
      </c>
      <c r="AE86" s="238">
        <v>3.21</v>
      </c>
      <c r="AF86" s="133">
        <v>3.19</v>
      </c>
      <c r="AG86" s="202">
        <v>3.23</v>
      </c>
      <c r="AH86" s="242">
        <v>-0.1</v>
      </c>
      <c r="AI86" s="283">
        <v>1.5197840451348501</v>
      </c>
      <c r="AJ86" s="88">
        <v>5.4976060808315602E-2</v>
      </c>
      <c r="AK86" s="88">
        <v>5.4506413087155502E-2</v>
      </c>
      <c r="AL86" s="90">
        <v>0.80450340233884787</v>
      </c>
      <c r="AM86" s="204">
        <v>0.80597985176749232</v>
      </c>
      <c r="AN86" s="184">
        <v>0.12</v>
      </c>
      <c r="AO86" s="205">
        <v>0.12</v>
      </c>
      <c r="AP86" s="72"/>
      <c r="AQ86" s="184">
        <v>-3.4206075752422826</v>
      </c>
      <c r="AR86" s="206">
        <v>-2.8706075752422828</v>
      </c>
      <c r="AS86" s="72"/>
      <c r="AT86" s="273">
        <v>7.4999999999999997E-3</v>
      </c>
      <c r="AU86" s="72"/>
      <c r="AV86" s="184">
        <v>2.5000000000000001E-3</v>
      </c>
      <c r="AW86" s="244"/>
      <c r="AX86" s="90">
        <v>-0.105</v>
      </c>
      <c r="AY86" s="90"/>
      <c r="AZ86" s="302">
        <v>0.5</v>
      </c>
      <c r="BA86" s="302">
        <v>0.5</v>
      </c>
      <c r="BB86" s="252">
        <v>-0.55000000000000004</v>
      </c>
      <c r="BC86" s="247"/>
      <c r="BD86" s="90"/>
      <c r="BE86" s="72"/>
      <c r="BF86" s="151"/>
      <c r="BG86" s="72"/>
      <c r="BH86" s="125"/>
      <c r="BI86" s="125"/>
      <c r="BJ86" s="72"/>
      <c r="BK86" s="151"/>
      <c r="BL86" s="72"/>
      <c r="BM86" s="72"/>
      <c r="BN86" s="90"/>
      <c r="BO86" s="90"/>
      <c r="BP86" s="125"/>
      <c r="BQ86" s="72"/>
      <c r="BR86" s="125"/>
      <c r="BS86" s="72"/>
      <c r="BT86" s="72"/>
      <c r="BU86" s="72"/>
      <c r="BV86" s="72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</row>
    <row r="87" spans="1:85" x14ac:dyDescent="0.2">
      <c r="A87" s="354">
        <v>38565</v>
      </c>
      <c r="B87" s="277">
        <v>3.5090000000000003</v>
      </c>
      <c r="C87" s="303">
        <v>-0.55000000000000004</v>
      </c>
      <c r="D87" s="188">
        <v>-0.45279236717992166</v>
      </c>
      <c r="E87" s="188">
        <v>-0.4805659765570871</v>
      </c>
      <c r="F87" s="285">
        <v>0.13</v>
      </c>
      <c r="G87" s="286">
        <v>0.12</v>
      </c>
      <c r="H87" s="286">
        <v>0.16500000000000001</v>
      </c>
      <c r="I87" s="287">
        <v>0.16500000000000001</v>
      </c>
      <c r="J87" s="286">
        <v>0.04</v>
      </c>
      <c r="K87" s="286">
        <v>0.105</v>
      </c>
      <c r="L87" s="286">
        <v>0.48</v>
      </c>
      <c r="M87" s="285">
        <v>-0.27</v>
      </c>
      <c r="N87" s="286">
        <v>0.25</v>
      </c>
      <c r="O87" s="287">
        <v>-0.23</v>
      </c>
      <c r="P87" s="239">
        <v>-0.25</v>
      </c>
      <c r="Q87" s="215">
        <v>0.28000000000000003</v>
      </c>
      <c r="R87" s="291">
        <v>0.26750000000000002</v>
      </c>
      <c r="S87" s="194">
        <v>0.26750000000000002</v>
      </c>
      <c r="T87" s="107">
        <v>0.55000000000000004</v>
      </c>
      <c r="U87" s="308">
        <v>0.26750000000000002</v>
      </c>
      <c r="V87" s="61">
        <v>2.9590000000000005</v>
      </c>
      <c r="W87" s="61">
        <v>3.0562076328200787</v>
      </c>
      <c r="X87" s="197">
        <v>3.0284340234429132</v>
      </c>
      <c r="Y87" s="236">
        <v>4.7236449326500862</v>
      </c>
      <c r="Z87" s="281">
        <v>0.14000000000000001</v>
      </c>
      <c r="AA87" s="296">
        <v>0.1</v>
      </c>
      <c r="AB87" s="301">
        <v>4.2615995059436749</v>
      </c>
      <c r="AC87" s="145">
        <v>4.4015995059436746</v>
      </c>
      <c r="AD87" s="197">
        <v>4.3615995059436745</v>
      </c>
      <c r="AE87" s="238">
        <v>3.2590000000000003</v>
      </c>
      <c r="AF87" s="133">
        <v>3.2390000000000003</v>
      </c>
      <c r="AG87" s="202">
        <v>3.2790000000000004</v>
      </c>
      <c r="AH87" s="242">
        <v>-0.1</v>
      </c>
      <c r="AI87" s="283">
        <v>1.5195086611500199</v>
      </c>
      <c r="AJ87" s="88">
        <v>5.5132001729650999E-2</v>
      </c>
      <c r="AK87" s="88">
        <v>5.47175040230439E-2</v>
      </c>
      <c r="AL87" s="90">
        <v>0.80031113747033544</v>
      </c>
      <c r="AM87" s="204">
        <v>0.80163461107514911</v>
      </c>
      <c r="AN87" s="184">
        <v>0.12</v>
      </c>
      <c r="AO87" s="205">
        <v>0.12</v>
      </c>
      <c r="AP87" s="72"/>
      <c r="AQ87" s="184">
        <v>-3.4695949990964956</v>
      </c>
      <c r="AR87" s="206">
        <v>-2.9195949990964953</v>
      </c>
      <c r="AS87" s="72"/>
      <c r="AT87" s="273">
        <v>7.4999999999999997E-3</v>
      </c>
      <c r="AU87" s="72"/>
      <c r="AV87" s="184">
        <v>2.5000000000000001E-3</v>
      </c>
      <c r="AW87" s="244"/>
      <c r="AX87" s="90">
        <v>-0.105</v>
      </c>
      <c r="AY87" s="90"/>
      <c r="AZ87" s="302">
        <v>0.55000000000000004</v>
      </c>
      <c r="BA87" s="302">
        <v>0.55000000000000004</v>
      </c>
      <c r="BB87" s="252">
        <v>-0.55000000000000004</v>
      </c>
      <c r="BC87" s="247"/>
      <c r="BD87" s="90"/>
      <c r="BE87" s="72"/>
      <c r="BF87" s="151"/>
      <c r="BG87" s="72"/>
      <c r="BH87" s="125"/>
      <c r="BI87" s="125"/>
      <c r="BJ87" s="72"/>
      <c r="BK87" s="151"/>
      <c r="BL87" s="72"/>
      <c r="BM87" s="72"/>
      <c r="BN87" s="90"/>
      <c r="BO87" s="90"/>
      <c r="BP87" s="125"/>
      <c r="BQ87" s="72"/>
      <c r="BR87" s="125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</row>
    <row r="88" spans="1:85" x14ac:dyDescent="0.2">
      <c r="A88" s="354">
        <v>38596</v>
      </c>
      <c r="B88" s="277">
        <v>3.524</v>
      </c>
      <c r="C88" s="303">
        <v>-0.55000000000000004</v>
      </c>
      <c r="D88" s="188">
        <v>-0.45277386739018866</v>
      </c>
      <c r="E88" s="188">
        <v>-0.48055276242156353</v>
      </c>
      <c r="F88" s="285">
        <v>0.13</v>
      </c>
      <c r="G88" s="286">
        <v>0.12</v>
      </c>
      <c r="H88" s="286">
        <v>0.16500000000000001</v>
      </c>
      <c r="I88" s="287">
        <v>0.16500000000000001</v>
      </c>
      <c r="J88" s="286">
        <v>0.04</v>
      </c>
      <c r="K88" s="286">
        <v>0.105</v>
      </c>
      <c r="L88" s="286">
        <v>0.44</v>
      </c>
      <c r="M88" s="285">
        <v>-0.27</v>
      </c>
      <c r="N88" s="286">
        <v>0.25</v>
      </c>
      <c r="O88" s="287">
        <v>-0.23</v>
      </c>
      <c r="P88" s="239">
        <v>-0.25</v>
      </c>
      <c r="Q88" s="215">
        <v>0.28000000000000003</v>
      </c>
      <c r="R88" s="291">
        <v>0.26750000000000002</v>
      </c>
      <c r="S88" s="194">
        <v>0.26750000000000002</v>
      </c>
      <c r="T88" s="107">
        <v>0.55000000000000004</v>
      </c>
      <c r="U88" s="308">
        <v>0.26750000000000002</v>
      </c>
      <c r="V88" s="61">
        <v>2.9740000000000002</v>
      </c>
      <c r="W88" s="61">
        <v>3.0712261326098114</v>
      </c>
      <c r="X88" s="197">
        <v>3.0434472375784365</v>
      </c>
      <c r="Y88" s="236">
        <v>4.2416192638514172</v>
      </c>
      <c r="Z88" s="281">
        <v>0.14000000000000001</v>
      </c>
      <c r="AA88" s="296">
        <v>0.1</v>
      </c>
      <c r="AB88" s="301">
        <v>4.2823877575274834</v>
      </c>
      <c r="AC88" s="145">
        <v>4.422387757527483</v>
      </c>
      <c r="AD88" s="197">
        <v>4.382387757527483</v>
      </c>
      <c r="AE88" s="238">
        <v>3.274</v>
      </c>
      <c r="AF88" s="133">
        <v>3.254</v>
      </c>
      <c r="AG88" s="202">
        <v>3.294</v>
      </c>
      <c r="AH88" s="242">
        <v>-0.1</v>
      </c>
      <c r="AI88" s="283">
        <v>1.5192195352743498</v>
      </c>
      <c r="AJ88" s="88">
        <v>5.52879426590853E-2</v>
      </c>
      <c r="AK88" s="88">
        <v>5.4928594973775398E-2</v>
      </c>
      <c r="AL88" s="90">
        <v>0.79612024740087828</v>
      </c>
      <c r="AM88" s="204">
        <v>0.79728505753385837</v>
      </c>
      <c r="AN88" s="184">
        <v>0.12</v>
      </c>
      <c r="AO88" s="205">
        <v>0.124</v>
      </c>
      <c r="AP88" s="72"/>
      <c r="AQ88" s="184">
        <v>-3.484581790484313</v>
      </c>
      <c r="AR88" s="206">
        <v>-2.9345817904843132</v>
      </c>
      <c r="AS88" s="72"/>
      <c r="AT88" s="273">
        <v>7.4999999999999997E-3</v>
      </c>
      <c r="AU88" s="72"/>
      <c r="AV88" s="184">
        <v>2.5000000000000001E-3</v>
      </c>
      <c r="AW88" s="244"/>
      <c r="AX88" s="90">
        <v>-0.105</v>
      </c>
      <c r="AY88" s="90"/>
      <c r="AZ88" s="302">
        <v>0.55000000000000004</v>
      </c>
      <c r="BA88" s="302">
        <v>0.55000000000000004</v>
      </c>
      <c r="BB88" s="252">
        <v>-0.55000000000000004</v>
      </c>
      <c r="BC88" s="247"/>
      <c r="BD88" s="90"/>
      <c r="BE88" s="72"/>
      <c r="BF88" s="151"/>
      <c r="BG88" s="72"/>
      <c r="BH88" s="125"/>
      <c r="BI88" s="125"/>
      <c r="BJ88" s="72"/>
      <c r="BK88" s="151"/>
      <c r="BL88" s="72"/>
      <c r="BM88" s="72"/>
      <c r="BN88" s="90"/>
      <c r="BO88" s="90"/>
      <c r="BP88" s="125"/>
      <c r="BQ88" s="72"/>
      <c r="BR88" s="125"/>
      <c r="BS88" s="72"/>
      <c r="BT88" s="72"/>
      <c r="BU88" s="72"/>
      <c r="BV88" s="72"/>
      <c r="BW88" s="72"/>
      <c r="BX88" s="72"/>
      <c r="BY88" s="72"/>
      <c r="BZ88" s="72"/>
      <c r="CA88" s="72"/>
      <c r="CB88" s="72"/>
      <c r="CC88" s="72"/>
      <c r="CD88" s="72"/>
      <c r="CE88" s="72"/>
      <c r="CF88" s="72"/>
      <c r="CG88" s="72"/>
    </row>
    <row r="89" spans="1:85" x14ac:dyDescent="0.2">
      <c r="A89" s="354">
        <v>38626</v>
      </c>
      <c r="B89" s="277">
        <v>3.5530000000000004</v>
      </c>
      <c r="C89" s="303">
        <v>-0.55000000000000004</v>
      </c>
      <c r="D89" s="188">
        <v>-0.45275512069374946</v>
      </c>
      <c r="E89" s="188">
        <v>-0.48053937192410734</v>
      </c>
      <c r="F89" s="285">
        <v>0.13</v>
      </c>
      <c r="G89" s="286">
        <v>0.12</v>
      </c>
      <c r="H89" s="286">
        <v>0.16500000000000001</v>
      </c>
      <c r="I89" s="287">
        <v>0.16500000000000001</v>
      </c>
      <c r="J89" s="286">
        <v>0.04</v>
      </c>
      <c r="K89" s="286">
        <v>0.105</v>
      </c>
      <c r="L89" s="286">
        <v>0.45</v>
      </c>
      <c r="M89" s="285">
        <v>-0.27</v>
      </c>
      <c r="N89" s="286">
        <v>0.25</v>
      </c>
      <c r="O89" s="287">
        <v>-0.23</v>
      </c>
      <c r="P89" s="239">
        <v>-0.25</v>
      </c>
      <c r="Q89" s="215">
        <v>0.28000000000000003</v>
      </c>
      <c r="R89" s="291">
        <v>0.26750000000000002</v>
      </c>
      <c r="S89" s="194">
        <v>0.26750000000000002</v>
      </c>
      <c r="T89" s="107">
        <v>0.6</v>
      </c>
      <c r="U89" s="308">
        <v>0.26750000000000002</v>
      </c>
      <c r="V89" s="61">
        <v>3.0030000000000001</v>
      </c>
      <c r="W89" s="61">
        <v>3.1002448793062509</v>
      </c>
      <c r="X89" s="197">
        <v>3.072460628075893</v>
      </c>
      <c r="Y89" s="116" t="s">
        <v>252</v>
      </c>
      <c r="Z89" s="281">
        <v>0.14000000000000001</v>
      </c>
      <c r="AA89" s="296">
        <v>0.1</v>
      </c>
      <c r="AB89" s="301">
        <v>4.3233124767010285</v>
      </c>
      <c r="AC89" s="145">
        <v>4.4633124767010282</v>
      </c>
      <c r="AD89" s="197">
        <v>4.4233124767010281</v>
      </c>
      <c r="AE89" s="238">
        <v>3.3030000000000004</v>
      </c>
      <c r="AF89" s="133">
        <v>3.2830000000000004</v>
      </c>
      <c r="AG89" s="202">
        <v>3.3230000000000004</v>
      </c>
      <c r="AH89" s="242">
        <v>-0.1</v>
      </c>
      <c r="AI89" s="283">
        <v>1.51892666280995</v>
      </c>
      <c r="AJ89" s="88">
        <v>5.5438853243668297E-2</v>
      </c>
      <c r="AK89" s="88">
        <v>5.5132876553131399E-2</v>
      </c>
      <c r="AL89" s="90">
        <v>0.79206605419965603</v>
      </c>
      <c r="AM89" s="204">
        <v>0.79307201610449984</v>
      </c>
      <c r="AN89" s="184">
        <v>0.12</v>
      </c>
      <c r="AO89" s="205">
        <v>0.12</v>
      </c>
      <c r="AP89" s="72"/>
      <c r="AQ89" s="184">
        <v>-3.5135684055839138</v>
      </c>
      <c r="AR89" s="206">
        <v>-2.9635684055839135</v>
      </c>
      <c r="AS89" s="72"/>
      <c r="AT89" s="273">
        <v>7.4999999999999997E-3</v>
      </c>
      <c r="AU89" s="72"/>
      <c r="AV89" s="184">
        <v>2.5000000000000001E-3</v>
      </c>
      <c r="AW89" s="244"/>
      <c r="AX89" s="90">
        <v>-0.105</v>
      </c>
      <c r="AY89" s="90"/>
      <c r="AZ89" s="302">
        <v>0.6</v>
      </c>
      <c r="BA89" s="302">
        <v>0.6</v>
      </c>
      <c r="BB89" s="252">
        <v>-0.55000000000000004</v>
      </c>
      <c r="BC89" s="247"/>
      <c r="BD89" s="90"/>
      <c r="BE89" s="72"/>
      <c r="BF89" s="151"/>
      <c r="BG89" s="72"/>
      <c r="BH89" s="125"/>
      <c r="BI89" s="125"/>
      <c r="BJ89" s="72"/>
      <c r="BK89" s="151"/>
      <c r="BL89" s="72"/>
      <c r="BM89" s="72"/>
      <c r="BN89" s="90"/>
      <c r="BO89" s="90"/>
      <c r="BP89" s="125"/>
      <c r="BQ89" s="72"/>
      <c r="BR89" s="125"/>
      <c r="BS89" s="72"/>
      <c r="BT89" s="72"/>
      <c r="BU89" s="72"/>
      <c r="BV89" s="72"/>
      <c r="BW89" s="72"/>
      <c r="BX89" s="72"/>
      <c r="BY89" s="72"/>
      <c r="BZ89" s="72"/>
      <c r="CA89" s="72"/>
      <c r="CB89" s="72"/>
      <c r="CC89" s="72"/>
      <c r="CD89" s="72"/>
      <c r="CE89" s="72"/>
      <c r="CF89" s="72"/>
      <c r="CG89" s="72"/>
    </row>
    <row r="90" spans="1:85" x14ac:dyDescent="0.2">
      <c r="A90" s="353">
        <v>38657</v>
      </c>
      <c r="B90" s="277">
        <v>3.6930000000000001</v>
      </c>
      <c r="C90" s="284">
        <v>-0.49</v>
      </c>
      <c r="D90" s="188">
        <v>-0.39273487702670451</v>
      </c>
      <c r="E90" s="188">
        <v>-0.11</v>
      </c>
      <c r="F90" s="285">
        <v>0.25</v>
      </c>
      <c r="G90" s="286">
        <v>0.4</v>
      </c>
      <c r="H90" s="286">
        <v>0.4</v>
      </c>
      <c r="I90" s="287">
        <v>0.56999999999999995</v>
      </c>
      <c r="J90" s="286">
        <v>0.14000000000000001</v>
      </c>
      <c r="K90" s="286">
        <v>0.18</v>
      </c>
      <c r="L90" s="286">
        <v>0.73</v>
      </c>
      <c r="M90" s="285">
        <v>-0.15</v>
      </c>
      <c r="N90" s="286">
        <v>0.27</v>
      </c>
      <c r="O90" s="287">
        <v>0.17</v>
      </c>
      <c r="P90" s="239">
        <v>0.248</v>
      </c>
      <c r="Q90" s="215">
        <v>0.28000000000000003</v>
      </c>
      <c r="R90" s="291">
        <v>0.26750000000000002</v>
      </c>
      <c r="S90" s="194">
        <v>0.26750000000000002</v>
      </c>
      <c r="T90" s="107">
        <v>0.8</v>
      </c>
      <c r="U90" s="308">
        <v>0.26750000000000002</v>
      </c>
      <c r="V90" s="61">
        <v>3.2030000000000003</v>
      </c>
      <c r="W90" s="61">
        <v>3.3002651229732956</v>
      </c>
      <c r="X90" s="197">
        <v>3.5829999999999997</v>
      </c>
      <c r="Y90" s="236"/>
      <c r="Z90" s="281">
        <v>0.14000000000000001</v>
      </c>
      <c r="AA90" s="296">
        <v>0.54695864636501046</v>
      </c>
      <c r="AB90" s="301">
        <v>4.610285642913504</v>
      </c>
      <c r="AC90" s="145">
        <v>4.7502856429135036</v>
      </c>
      <c r="AD90" s="197">
        <v>5.1572442892785144</v>
      </c>
      <c r="AE90" s="238">
        <v>3.9409999999999998</v>
      </c>
      <c r="AF90" s="133">
        <v>3.5430000000000001</v>
      </c>
      <c r="AG90" s="202">
        <v>3.863</v>
      </c>
      <c r="AH90" s="242">
        <v>-0.1</v>
      </c>
      <c r="AI90" s="283">
        <v>1.51861053052443</v>
      </c>
      <c r="AJ90" s="88">
        <v>5.5594794189037296E-2</v>
      </c>
      <c r="AK90" s="88">
        <v>5.5343967533067105E-2</v>
      </c>
      <c r="AL90" s="90">
        <v>0.78787848157194129</v>
      </c>
      <c r="AM90" s="204">
        <v>0.78871493664386971</v>
      </c>
      <c r="AN90" s="184">
        <v>0.4</v>
      </c>
      <c r="AO90" s="205">
        <v>0.124</v>
      </c>
      <c r="AP90" s="72"/>
      <c r="AQ90" s="184">
        <v>-3.343010540846727</v>
      </c>
      <c r="AR90" s="206">
        <v>-2.8530105408467268</v>
      </c>
      <c r="AS90" s="72"/>
      <c r="AT90" s="273">
        <v>7.4999999999999997E-3</v>
      </c>
      <c r="AU90" s="72"/>
      <c r="AV90" s="184">
        <v>8.0000000000000002E-3</v>
      </c>
      <c r="AW90" s="244"/>
      <c r="AX90" s="90">
        <v>5.0000000000000001E-3</v>
      </c>
      <c r="AY90" s="90"/>
      <c r="AZ90" s="302">
        <v>0.8</v>
      </c>
      <c r="BA90" s="302">
        <v>0.8</v>
      </c>
      <c r="BB90" s="252">
        <v>-0.49</v>
      </c>
      <c r="BC90" s="247"/>
      <c r="BD90" s="90"/>
      <c r="BE90" s="72"/>
      <c r="BF90" s="151"/>
      <c r="BG90" s="72"/>
      <c r="BH90" s="125"/>
      <c r="BI90" s="125"/>
      <c r="BJ90" s="72"/>
      <c r="BK90" s="151"/>
      <c r="BL90" s="72"/>
      <c r="BM90" s="72"/>
      <c r="BN90" s="90"/>
      <c r="BO90" s="90"/>
      <c r="BP90" s="125"/>
      <c r="BQ90" s="72"/>
      <c r="BR90" s="125"/>
      <c r="BS90" s="72"/>
      <c r="BT90" s="72"/>
      <c r="BU90" s="72"/>
      <c r="BV90" s="72"/>
      <c r="BW90" s="72"/>
      <c r="BX90" s="72"/>
      <c r="BY90" s="72"/>
      <c r="BZ90" s="72"/>
      <c r="CA90" s="72"/>
      <c r="CB90" s="72"/>
      <c r="CC90" s="72"/>
      <c r="CD90" s="72"/>
      <c r="CE90" s="72"/>
      <c r="CF90" s="72"/>
      <c r="CG90" s="72"/>
    </row>
    <row r="91" spans="1:85" x14ac:dyDescent="0.2">
      <c r="A91" s="354">
        <v>38687</v>
      </c>
      <c r="B91" s="277">
        <v>3.8330000000000002</v>
      </c>
      <c r="C91" s="307">
        <v>-0.49</v>
      </c>
      <c r="D91" s="188">
        <v>-0.392714442137994</v>
      </c>
      <c r="E91" s="188">
        <v>-0.11</v>
      </c>
      <c r="F91" s="285">
        <v>0.25</v>
      </c>
      <c r="G91" s="286">
        <v>0.4</v>
      </c>
      <c r="H91" s="286">
        <v>0.4</v>
      </c>
      <c r="I91" s="287">
        <v>0.56999999999999995</v>
      </c>
      <c r="J91" s="286">
        <v>0.14000000000000001</v>
      </c>
      <c r="K91" s="286">
        <v>0.18</v>
      </c>
      <c r="L91" s="286">
        <v>1.1399999999999999</v>
      </c>
      <c r="M91" s="285">
        <v>-0.15</v>
      </c>
      <c r="N91" s="286">
        <v>0.27</v>
      </c>
      <c r="O91" s="287">
        <v>0.17</v>
      </c>
      <c r="P91" s="239">
        <v>0.308</v>
      </c>
      <c r="Q91" s="215">
        <v>0.28249999999999997</v>
      </c>
      <c r="R91" s="291">
        <v>0.27</v>
      </c>
      <c r="S91" s="194">
        <v>0.27</v>
      </c>
      <c r="T91" s="107">
        <v>1</v>
      </c>
      <c r="U91" s="308">
        <v>0.27</v>
      </c>
      <c r="V91" s="61">
        <v>3.343</v>
      </c>
      <c r="W91" s="61">
        <v>3.4402855578620062</v>
      </c>
      <c r="X91" s="197">
        <v>3.7229999999999999</v>
      </c>
      <c r="Y91" s="116" t="s">
        <v>250</v>
      </c>
      <c r="Z91" s="281">
        <v>0.14000000000000001</v>
      </c>
      <c r="AA91" s="296">
        <v>0.54684375737928814</v>
      </c>
      <c r="AB91" s="301">
        <v>4.8107860024183102</v>
      </c>
      <c r="AC91" s="145">
        <v>4.9507860024183099</v>
      </c>
      <c r="AD91" s="197">
        <v>5.3576297597975984</v>
      </c>
      <c r="AE91" s="238">
        <v>4.141</v>
      </c>
      <c r="AF91" s="133">
        <v>3.6830000000000003</v>
      </c>
      <c r="AG91" s="202">
        <v>4.0030000000000001</v>
      </c>
      <c r="AH91" s="242">
        <v>-0.1</v>
      </c>
      <c r="AI91" s="283">
        <v>1.5182915454883199</v>
      </c>
      <c r="AJ91" s="88">
        <v>5.5745704789039993E-2</v>
      </c>
      <c r="AK91" s="88">
        <v>5.55482491406818E-2</v>
      </c>
      <c r="AL91" s="90">
        <v>0.78382788888149268</v>
      </c>
      <c r="AM91" s="204">
        <v>0.78449522531755489</v>
      </c>
      <c r="AN91" s="184">
        <v>0.4</v>
      </c>
      <c r="AO91" s="205">
        <v>0.12</v>
      </c>
      <c r="AP91" s="72"/>
      <c r="AQ91" s="184">
        <v>-3.4829803696386623</v>
      </c>
      <c r="AR91" s="206">
        <v>-2.9929803696386621</v>
      </c>
      <c r="AS91" s="72"/>
      <c r="AT91" s="273">
        <v>7.4999999999999997E-3</v>
      </c>
      <c r="AU91" s="72"/>
      <c r="AV91" s="184">
        <v>8.0000000000000002E-3</v>
      </c>
      <c r="AW91" s="244"/>
      <c r="AX91" s="90">
        <v>0.01</v>
      </c>
      <c r="AY91" s="90"/>
      <c r="AZ91" s="302">
        <v>1</v>
      </c>
      <c r="BA91" s="302">
        <v>1</v>
      </c>
      <c r="BB91" s="252">
        <v>-0.49</v>
      </c>
      <c r="BC91" s="247"/>
      <c r="BD91" s="90"/>
      <c r="BE91" s="72"/>
      <c r="BF91" s="151"/>
      <c r="BG91" s="72"/>
      <c r="BH91" s="125"/>
      <c r="BI91" s="125"/>
      <c r="BJ91" s="72"/>
      <c r="BK91" s="151"/>
      <c r="BL91" s="72"/>
      <c r="BM91" s="72"/>
      <c r="BN91" s="90"/>
      <c r="BO91" s="90"/>
      <c r="BP91" s="125"/>
      <c r="BQ91" s="72"/>
      <c r="BR91" s="125"/>
      <c r="BS91" s="72"/>
      <c r="BT91" s="72"/>
      <c r="BU91" s="72"/>
      <c r="BV91" s="72"/>
      <c r="BW91" s="72"/>
      <c r="BX91" s="72"/>
      <c r="BY91" s="72"/>
      <c r="BZ91" s="72"/>
      <c r="CA91" s="72"/>
      <c r="CB91" s="72"/>
      <c r="CC91" s="72"/>
      <c r="CD91" s="72"/>
      <c r="CE91" s="72"/>
      <c r="CF91" s="72"/>
      <c r="CG91" s="72"/>
    </row>
    <row r="92" spans="1:85" x14ac:dyDescent="0.2">
      <c r="A92" s="354">
        <v>38718</v>
      </c>
      <c r="B92" s="277">
        <v>3.903</v>
      </c>
      <c r="C92" s="307">
        <v>-0.49</v>
      </c>
      <c r="D92" s="188">
        <v>-0.39269245337134784</v>
      </c>
      <c r="E92" s="188">
        <v>-0.11</v>
      </c>
      <c r="F92" s="285">
        <v>0.25</v>
      </c>
      <c r="G92" s="286">
        <v>0.4</v>
      </c>
      <c r="H92" s="286">
        <v>0.4</v>
      </c>
      <c r="I92" s="287">
        <v>0.56999999999999995</v>
      </c>
      <c r="J92" s="286">
        <v>0.14000000000000001</v>
      </c>
      <c r="K92" s="286">
        <v>0.18</v>
      </c>
      <c r="L92" s="286">
        <v>1.63</v>
      </c>
      <c r="M92" s="285">
        <v>-0.15</v>
      </c>
      <c r="N92" s="286">
        <v>0.27</v>
      </c>
      <c r="O92" s="287">
        <v>0.17</v>
      </c>
      <c r="P92" s="239">
        <v>0.378</v>
      </c>
      <c r="Q92" s="215">
        <v>0.28499999999999998</v>
      </c>
      <c r="R92" s="291">
        <v>0.27250000000000002</v>
      </c>
      <c r="S92" s="194">
        <v>0.27250000000000002</v>
      </c>
      <c r="T92" s="107">
        <v>1</v>
      </c>
      <c r="U92" s="308">
        <v>0.27250000000000002</v>
      </c>
      <c r="V92" s="61">
        <v>3.4130000000000003</v>
      </c>
      <c r="W92" s="61">
        <v>3.5103075466286522</v>
      </c>
      <c r="X92" s="197">
        <v>3.7930000000000001</v>
      </c>
      <c r="Y92" s="236"/>
      <c r="Z92" s="281">
        <v>0.14000000000000001</v>
      </c>
      <c r="AA92" s="296">
        <v>0.54672018608200368</v>
      </c>
      <c r="AB92" s="301">
        <v>4.9104105134154761</v>
      </c>
      <c r="AC92" s="145">
        <v>5.0504105134154758</v>
      </c>
      <c r="AD92" s="197">
        <v>5.4571306994974798</v>
      </c>
      <c r="AE92" s="238">
        <v>4.2809999999999997</v>
      </c>
      <c r="AF92" s="133">
        <v>3.7530000000000001</v>
      </c>
      <c r="AG92" s="202">
        <v>4.0730000000000004</v>
      </c>
      <c r="AH92" s="242">
        <v>-0.1</v>
      </c>
      <c r="AI92" s="283">
        <v>1.5179484543340398</v>
      </c>
      <c r="AJ92" s="88">
        <v>5.5901645750341601E-2</v>
      </c>
      <c r="AK92" s="88">
        <v>5.5759340149815505E-2</v>
      </c>
      <c r="AL92" s="90">
        <v>0.77964443740992939</v>
      </c>
      <c r="AM92" s="204">
        <v>0.78013188444069348</v>
      </c>
      <c r="AN92" s="184">
        <v>0.4</v>
      </c>
      <c r="AO92" s="205">
        <v>0.12</v>
      </c>
      <c r="AP92" s="72"/>
      <c r="AQ92" s="184">
        <v>-3.5529481643124194</v>
      </c>
      <c r="AR92" s="206">
        <v>-3.0629481643124192</v>
      </c>
      <c r="AS92" s="72"/>
      <c r="AT92" s="273">
        <v>7.4999999999999997E-3</v>
      </c>
      <c r="AU92" s="72"/>
      <c r="AV92" s="184">
        <v>8.0000000000000002E-3</v>
      </c>
      <c r="AW92" s="244"/>
      <c r="AX92" s="90">
        <v>0.03</v>
      </c>
      <c r="AY92" s="90"/>
      <c r="AZ92" s="302">
        <v>1</v>
      </c>
      <c r="BA92" s="302">
        <v>1</v>
      </c>
      <c r="BB92" s="252">
        <v>-0.49</v>
      </c>
      <c r="BC92" s="247"/>
      <c r="BD92" s="90"/>
      <c r="BE92" s="72"/>
      <c r="BF92" s="151"/>
      <c r="BG92" s="72"/>
      <c r="BH92" s="125"/>
      <c r="BI92" s="125"/>
      <c r="BJ92" s="72"/>
      <c r="BK92" s="151"/>
      <c r="BL92" s="72"/>
      <c r="BM92" s="72"/>
      <c r="BN92" s="90"/>
      <c r="BO92" s="90"/>
      <c r="BP92" s="125"/>
      <c r="BQ92" s="72"/>
      <c r="BR92" s="125"/>
      <c r="BS92" s="72"/>
      <c r="BT92" s="72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72"/>
      <c r="CG92" s="72"/>
    </row>
    <row r="93" spans="1:85" x14ac:dyDescent="0.2">
      <c r="A93" s="354">
        <v>38749</v>
      </c>
      <c r="B93" s="277">
        <v>3.7850000000000001</v>
      </c>
      <c r="C93" s="307">
        <v>-0.49</v>
      </c>
      <c r="D93" s="188">
        <v>-0.39266957722347007</v>
      </c>
      <c r="E93" s="188">
        <v>-0.11</v>
      </c>
      <c r="F93" s="285">
        <v>0.25</v>
      </c>
      <c r="G93" s="286">
        <v>0.4</v>
      </c>
      <c r="H93" s="286">
        <v>0.4</v>
      </c>
      <c r="I93" s="287">
        <v>0.56999999999999995</v>
      </c>
      <c r="J93" s="286">
        <v>0.14000000000000001</v>
      </c>
      <c r="K93" s="286">
        <v>0.18</v>
      </c>
      <c r="L93" s="286">
        <v>1.63</v>
      </c>
      <c r="M93" s="285">
        <v>-0.15</v>
      </c>
      <c r="N93" s="286">
        <v>0.27</v>
      </c>
      <c r="O93" s="287">
        <v>0.17</v>
      </c>
      <c r="P93" s="239">
        <v>0.248</v>
      </c>
      <c r="Q93" s="215">
        <v>0.28249999999999997</v>
      </c>
      <c r="R93" s="291">
        <v>0.27</v>
      </c>
      <c r="S93" s="194">
        <v>0.27</v>
      </c>
      <c r="T93" s="107">
        <v>1</v>
      </c>
      <c r="U93" s="308">
        <v>0.27</v>
      </c>
      <c r="V93" s="61">
        <v>3.2949999999999999</v>
      </c>
      <c r="W93" s="61">
        <v>3.3923304227765301</v>
      </c>
      <c r="X93" s="197">
        <v>3.6749999999999998</v>
      </c>
      <c r="Y93" s="62"/>
      <c r="Z93" s="281">
        <v>0.14000000000000001</v>
      </c>
      <c r="AA93" s="296">
        <v>0.54659168718651063</v>
      </c>
      <c r="AB93" s="301">
        <v>4.7395252875777647</v>
      </c>
      <c r="AC93" s="145">
        <v>4.8795252875777644</v>
      </c>
      <c r="AD93" s="197">
        <v>5.2861169747642753</v>
      </c>
      <c r="AE93" s="238">
        <v>4.0330000000000004</v>
      </c>
      <c r="AF93" s="133">
        <v>3.6349999999999998</v>
      </c>
      <c r="AG93" s="202">
        <v>3.9550000000000001</v>
      </c>
      <c r="AH93" s="242">
        <v>-0.1</v>
      </c>
      <c r="AI93" s="283">
        <v>1.5175916818848698</v>
      </c>
      <c r="AJ93" s="88">
        <v>5.6057586719739504E-2</v>
      </c>
      <c r="AK93" s="88">
        <v>5.5970431173785001E-2</v>
      </c>
      <c r="AL93" s="90">
        <v>0.77546338514538427</v>
      </c>
      <c r="AM93" s="204">
        <v>0.77576584238821455</v>
      </c>
      <c r="AN93" s="184">
        <v>0.4</v>
      </c>
      <c r="AO93" s="205">
        <v>0.13300000000000001</v>
      </c>
      <c r="AP93" s="72"/>
      <c r="AQ93" s="184">
        <v>-3.4349149137545356</v>
      </c>
      <c r="AR93" s="206">
        <v>-2.9449149137545358</v>
      </c>
      <c r="AS93" s="72"/>
      <c r="AT93" s="273">
        <v>7.4999999999999997E-3</v>
      </c>
      <c r="AU93" s="72"/>
      <c r="AV93" s="184">
        <v>8.0000000000000002E-3</v>
      </c>
      <c r="AW93" s="244"/>
      <c r="AX93" s="90">
        <v>2.5000000000000001E-2</v>
      </c>
      <c r="AY93" s="90"/>
      <c r="AZ93" s="302">
        <v>1</v>
      </c>
      <c r="BA93" s="302">
        <v>1</v>
      </c>
      <c r="BB93" s="252">
        <v>-0.49</v>
      </c>
      <c r="BC93" s="247"/>
      <c r="BD93" s="90"/>
      <c r="BE93" s="72"/>
      <c r="BF93" s="151"/>
      <c r="BG93" s="72"/>
      <c r="BH93" s="125"/>
      <c r="BI93" s="125"/>
      <c r="BJ93" s="72"/>
      <c r="BK93" s="151"/>
      <c r="BL93" s="72"/>
      <c r="BM93" s="72"/>
      <c r="BN93" s="90"/>
      <c r="BO93" s="90"/>
      <c r="BP93" s="125"/>
      <c r="BQ93" s="72"/>
      <c r="BR93" s="125"/>
      <c r="BS93" s="72"/>
      <c r="BT93" s="72"/>
      <c r="BU93" s="72"/>
      <c r="BV93" s="72"/>
      <c r="BW93" s="72"/>
      <c r="BX93" s="72"/>
      <c r="BY93" s="72"/>
      <c r="BZ93" s="72"/>
      <c r="CA93" s="72"/>
      <c r="CB93" s="72"/>
      <c r="CC93" s="72"/>
      <c r="CD93" s="72"/>
      <c r="CE93" s="72"/>
      <c r="CF93" s="72"/>
      <c r="CG93" s="72"/>
    </row>
    <row r="94" spans="1:85" x14ac:dyDescent="0.2">
      <c r="A94" s="354">
        <v>38777</v>
      </c>
      <c r="B94" s="277">
        <v>3.6520000000000001</v>
      </c>
      <c r="C94" s="307">
        <v>-0.49</v>
      </c>
      <c r="D94" s="188">
        <v>-0.39264815185158053</v>
      </c>
      <c r="E94" s="188">
        <v>-0.11</v>
      </c>
      <c r="F94" s="285">
        <v>0.25</v>
      </c>
      <c r="G94" s="286">
        <v>0.4</v>
      </c>
      <c r="H94" s="286">
        <v>0.4</v>
      </c>
      <c r="I94" s="287">
        <v>0.56999999999999995</v>
      </c>
      <c r="J94" s="286">
        <v>0.14000000000000001</v>
      </c>
      <c r="K94" s="286">
        <v>0.18</v>
      </c>
      <c r="L94" s="286">
        <v>0.72</v>
      </c>
      <c r="M94" s="285">
        <v>-0.15</v>
      </c>
      <c r="N94" s="286">
        <v>0.27</v>
      </c>
      <c r="O94" s="287">
        <v>0.17</v>
      </c>
      <c r="P94" s="239">
        <v>6.8000000000000005E-2</v>
      </c>
      <c r="Q94" s="215">
        <v>0.27750000000000002</v>
      </c>
      <c r="R94" s="291">
        <v>0.26500000000000001</v>
      </c>
      <c r="S94" s="194">
        <v>0.26500000000000001</v>
      </c>
      <c r="T94" s="107">
        <v>0.75</v>
      </c>
      <c r="U94" s="308">
        <v>0.26500000000000001</v>
      </c>
      <c r="V94" s="61">
        <v>3.1619999999999999</v>
      </c>
      <c r="W94" s="61">
        <v>3.2593518481484196</v>
      </c>
      <c r="X94" s="197">
        <v>3.5420000000000003</v>
      </c>
      <c r="Y94" s="62"/>
      <c r="Z94" s="281">
        <v>0.14000000000000001</v>
      </c>
      <c r="AA94" s="296">
        <v>0.54647139229337238</v>
      </c>
      <c r="AB94" s="301">
        <v>4.5472172169253762</v>
      </c>
      <c r="AC94" s="145">
        <v>4.6872172169253759</v>
      </c>
      <c r="AD94" s="197">
        <v>5.0936886092187486</v>
      </c>
      <c r="AE94" s="238">
        <v>3.72</v>
      </c>
      <c r="AF94" s="133">
        <v>3.5020000000000002</v>
      </c>
      <c r="AG94" s="202">
        <v>3.8220000000000001</v>
      </c>
      <c r="AH94" s="242">
        <v>-0.1</v>
      </c>
      <c r="AI94" s="283">
        <v>1.5172576875459898</v>
      </c>
      <c r="AJ94" s="88">
        <v>5.6198436634540702E-2</v>
      </c>
      <c r="AK94" s="88">
        <v>5.6161094046895101E-2</v>
      </c>
      <c r="AL94" s="90">
        <v>0.77168918247705309</v>
      </c>
      <c r="AM94" s="204">
        <v>0.77182026665088177</v>
      </c>
      <c r="AN94" s="184">
        <v>0.4</v>
      </c>
      <c r="AO94" s="205">
        <v>0.12</v>
      </c>
      <c r="AP94" s="72"/>
      <c r="AQ94" s="184">
        <v>-3.3018839826193687</v>
      </c>
      <c r="AR94" s="206">
        <v>-2.8118839826193689</v>
      </c>
      <c r="AS94" s="72"/>
      <c r="AT94" s="273">
        <v>7.4999999999999997E-3</v>
      </c>
      <c r="AU94" s="72"/>
      <c r="AV94" s="184">
        <v>8.0000000000000002E-3</v>
      </c>
      <c r="AW94" s="244"/>
      <c r="AX94" s="90">
        <v>5.0000000000000001E-3</v>
      </c>
      <c r="AY94" s="90"/>
      <c r="AZ94" s="302">
        <v>0.75</v>
      </c>
      <c r="BA94" s="302">
        <v>0.75</v>
      </c>
      <c r="BB94" s="252">
        <v>-0.49</v>
      </c>
      <c r="BC94" s="247"/>
      <c r="BD94" s="90"/>
      <c r="BE94" s="72"/>
      <c r="BF94" s="151"/>
      <c r="BG94" s="72"/>
      <c r="BH94" s="125"/>
      <c r="BI94" s="125"/>
      <c r="BJ94" s="72"/>
      <c r="BK94" s="151"/>
      <c r="BL94" s="72"/>
      <c r="BM94" s="72"/>
      <c r="BN94" s="90"/>
      <c r="BO94" s="90"/>
      <c r="BP94" s="125"/>
      <c r="BQ94" s="72"/>
      <c r="BR94" s="125"/>
      <c r="BS94" s="72"/>
      <c r="BT94" s="72"/>
      <c r="BU94" s="72"/>
      <c r="BV94" s="72"/>
      <c r="BW94" s="72"/>
      <c r="BX94" s="72"/>
      <c r="BY94" s="72"/>
      <c r="BZ94" s="72"/>
      <c r="CA94" s="72"/>
      <c r="CB94" s="72"/>
      <c r="CC94" s="72"/>
      <c r="CD94" s="72"/>
      <c r="CE94" s="72"/>
      <c r="CF94" s="72"/>
      <c r="CG94" s="72"/>
    </row>
    <row r="95" spans="1:85" x14ac:dyDescent="0.2">
      <c r="A95" s="354">
        <v>38808</v>
      </c>
      <c r="B95" s="277">
        <v>3.4320000000000004</v>
      </c>
      <c r="C95" s="298">
        <v>-0.55000000000000004</v>
      </c>
      <c r="D95" s="188">
        <v>-0.45262358572671424</v>
      </c>
      <c r="E95" s="188">
        <v>-0.48044541837622434</v>
      </c>
      <c r="F95" s="285">
        <v>0.125</v>
      </c>
      <c r="G95" s="286">
        <v>0.125</v>
      </c>
      <c r="H95" s="286">
        <v>0.16</v>
      </c>
      <c r="I95" s="287">
        <v>0.16</v>
      </c>
      <c r="J95" s="286">
        <v>0.04</v>
      </c>
      <c r="K95" s="286">
        <v>0.105</v>
      </c>
      <c r="L95" s="286">
        <v>0.48</v>
      </c>
      <c r="M95" s="285">
        <v>-0.27</v>
      </c>
      <c r="N95" s="286">
        <v>0.25</v>
      </c>
      <c r="O95" s="287">
        <v>-0.23</v>
      </c>
      <c r="P95" s="299">
        <v>-0.25</v>
      </c>
      <c r="Q95" s="215">
        <v>0.27250000000000002</v>
      </c>
      <c r="R95" s="291">
        <v>0.26</v>
      </c>
      <c r="S95" s="194">
        <v>0.26</v>
      </c>
      <c r="T95" s="107">
        <v>0.4</v>
      </c>
      <c r="U95" s="308">
        <v>0.26</v>
      </c>
      <c r="V95" s="61">
        <v>2.8820000000000006</v>
      </c>
      <c r="W95" s="61">
        <v>2.9793764142732861</v>
      </c>
      <c r="X95" s="197">
        <v>2.951554581623776</v>
      </c>
      <c r="Y95" s="62"/>
      <c r="Z95" s="281">
        <v>0.14000000000000001</v>
      </c>
      <c r="AA95" s="296">
        <v>0.1</v>
      </c>
      <c r="AB95" s="301">
        <v>4.1435084975263061</v>
      </c>
      <c r="AC95" s="145">
        <v>4.2835084975263058</v>
      </c>
      <c r="AD95" s="197">
        <v>4.2435084975263058</v>
      </c>
      <c r="AE95" s="238">
        <v>3.1820000000000004</v>
      </c>
      <c r="AF95" s="133">
        <v>3.1620000000000004</v>
      </c>
      <c r="AG95" s="202">
        <v>3.2020000000000004</v>
      </c>
      <c r="AH95" s="242">
        <v>-0.1</v>
      </c>
      <c r="AI95" s="283">
        <v>1.5168749137286999</v>
      </c>
      <c r="AJ95" s="88">
        <v>5.6354377619344899E-2</v>
      </c>
      <c r="AK95" s="88">
        <v>5.6372185099096604E-2</v>
      </c>
      <c r="AL95" s="90">
        <v>0.7675132581162496</v>
      </c>
      <c r="AM95" s="204">
        <v>0.7674499717803045</v>
      </c>
      <c r="AN95" s="184">
        <v>0.125</v>
      </c>
      <c r="AO95" s="205">
        <v>0.124</v>
      </c>
      <c r="AP95" s="72"/>
      <c r="AQ95" s="184">
        <v>-3.392474491307421</v>
      </c>
      <c r="AR95" s="206">
        <v>-2.8424744913074207</v>
      </c>
      <c r="AS95" s="72"/>
      <c r="AT95" s="273">
        <v>7.4999999999999997E-3</v>
      </c>
      <c r="AU95" s="72"/>
      <c r="AV95" s="184">
        <v>2.5000000000000001E-3</v>
      </c>
      <c r="AW95" s="244"/>
      <c r="AX95" s="90">
        <v>-0.105</v>
      </c>
      <c r="AY95" s="90"/>
      <c r="AZ95" s="302">
        <v>0.4</v>
      </c>
      <c r="BA95" s="302">
        <v>0.4</v>
      </c>
      <c r="BB95" s="252">
        <v>-0.55000000000000004</v>
      </c>
      <c r="BC95" s="247"/>
      <c r="BD95" s="90"/>
      <c r="BE95" s="72"/>
      <c r="BF95" s="151"/>
      <c r="BG95" s="72"/>
      <c r="BH95" s="125"/>
      <c r="BI95" s="125"/>
      <c r="BJ95" s="72"/>
      <c r="BK95" s="151"/>
      <c r="BL95" s="72"/>
      <c r="BM95" s="72"/>
      <c r="BN95" s="90"/>
      <c r="BO95" s="90"/>
      <c r="BP95" s="125"/>
      <c r="BQ95" s="72"/>
      <c r="BR95" s="125"/>
      <c r="BS95" s="72"/>
      <c r="BT95" s="72"/>
      <c r="BU95" s="72"/>
      <c r="BV95" s="72"/>
      <c r="BW95" s="72"/>
      <c r="BX95" s="72"/>
      <c r="BY95" s="72"/>
      <c r="BZ95" s="72"/>
      <c r="CA95" s="72"/>
      <c r="CB95" s="72"/>
      <c r="CC95" s="72"/>
      <c r="CD95" s="72"/>
      <c r="CE95" s="72"/>
      <c r="CF95" s="72"/>
      <c r="CG95" s="72"/>
    </row>
    <row r="96" spans="1:85" x14ac:dyDescent="0.2">
      <c r="A96" s="354">
        <v>38838</v>
      </c>
      <c r="B96" s="277">
        <v>3.4220000000000002</v>
      </c>
      <c r="C96" s="303">
        <v>-0.55000000000000004</v>
      </c>
      <c r="D96" s="188">
        <v>-0.45259896602282579</v>
      </c>
      <c r="E96" s="188">
        <v>-0.48042783287344681</v>
      </c>
      <c r="F96" s="285">
        <v>0.125</v>
      </c>
      <c r="G96" s="286">
        <v>0.125</v>
      </c>
      <c r="H96" s="286">
        <v>0.16</v>
      </c>
      <c r="I96" s="287">
        <v>0.16</v>
      </c>
      <c r="J96" s="286">
        <v>0.04</v>
      </c>
      <c r="K96" s="286">
        <v>0.105</v>
      </c>
      <c r="L96" s="286">
        <v>0.42</v>
      </c>
      <c r="M96" s="285">
        <v>-0.27</v>
      </c>
      <c r="N96" s="286">
        <v>0.25</v>
      </c>
      <c r="O96" s="287">
        <v>-0.23</v>
      </c>
      <c r="P96" s="239">
        <v>-0.25</v>
      </c>
      <c r="Q96" s="215">
        <v>0.26500000000000001</v>
      </c>
      <c r="R96" s="291">
        <v>0.2525</v>
      </c>
      <c r="S96" s="194">
        <v>0.2525</v>
      </c>
      <c r="T96" s="107">
        <v>0.45</v>
      </c>
      <c r="U96" s="308">
        <v>0.2525</v>
      </c>
      <c r="V96" s="61">
        <v>2.8719999999999999</v>
      </c>
      <c r="W96" s="61">
        <v>2.9694010339771744</v>
      </c>
      <c r="X96" s="197">
        <v>2.9415721671265533</v>
      </c>
      <c r="Y96" s="62"/>
      <c r="Z96" s="281">
        <v>0.14000000000000001</v>
      </c>
      <c r="AA96" s="296">
        <v>0.1</v>
      </c>
      <c r="AB96" s="301">
        <v>4.1280875939594868</v>
      </c>
      <c r="AC96" s="145">
        <v>4.2680875939594864</v>
      </c>
      <c r="AD96" s="197">
        <v>4.2280875939594864</v>
      </c>
      <c r="AE96" s="238">
        <v>3.1720000000000002</v>
      </c>
      <c r="AF96" s="133">
        <v>3.1520000000000001</v>
      </c>
      <c r="AG96" s="202">
        <v>3.1920000000000002</v>
      </c>
      <c r="AH96" s="242">
        <v>-0.1</v>
      </c>
      <c r="AI96" s="283">
        <v>1.5164914987926601</v>
      </c>
      <c r="AJ96" s="88">
        <v>5.6505288257507696E-2</v>
      </c>
      <c r="AK96" s="88">
        <v>5.65764667766393E-2</v>
      </c>
      <c r="AL96" s="90">
        <v>0.76347488288012244</v>
      </c>
      <c r="AM96" s="204">
        <v>0.76321896468650341</v>
      </c>
      <c r="AN96" s="184">
        <v>0.125</v>
      </c>
      <c r="AO96" s="205">
        <v>0.12</v>
      </c>
      <c r="AP96" s="72"/>
      <c r="AQ96" s="184">
        <v>-3.3824569131551598</v>
      </c>
      <c r="AR96" s="206">
        <v>-2.83245691315516</v>
      </c>
      <c r="AS96" s="72"/>
      <c r="AT96" s="273">
        <v>7.4999999999999997E-3</v>
      </c>
      <c r="AU96" s="72"/>
      <c r="AV96" s="184">
        <v>2.5000000000000001E-3</v>
      </c>
      <c r="AW96" s="244"/>
      <c r="AX96" s="90">
        <v>-0.105</v>
      </c>
      <c r="AY96" s="90"/>
      <c r="AZ96" s="302">
        <v>0.45</v>
      </c>
      <c r="BA96" s="302">
        <v>0.45</v>
      </c>
      <c r="BB96" s="252">
        <v>-0.55000000000000004</v>
      </c>
      <c r="BC96" s="247"/>
      <c r="BD96" s="90"/>
      <c r="BE96" s="72"/>
      <c r="BF96" s="151"/>
      <c r="BG96" s="72"/>
      <c r="BH96" s="125"/>
      <c r="BI96" s="125"/>
      <c r="BJ96" s="72"/>
      <c r="BK96" s="151"/>
      <c r="BL96" s="72"/>
      <c r="BM96" s="72"/>
      <c r="BN96" s="90"/>
      <c r="BO96" s="90"/>
      <c r="BP96" s="125"/>
      <c r="BQ96" s="72"/>
      <c r="BR96" s="125"/>
      <c r="BS96" s="72"/>
      <c r="BT96" s="72"/>
      <c r="BU96" s="72"/>
      <c r="BV96" s="72"/>
      <c r="BW96" s="72"/>
      <c r="BX96" s="72"/>
      <c r="BY96" s="72"/>
      <c r="BZ96" s="72"/>
      <c r="CA96" s="72"/>
      <c r="CB96" s="72"/>
      <c r="CC96" s="72"/>
      <c r="CD96" s="72"/>
      <c r="CE96" s="72"/>
      <c r="CF96" s="72"/>
      <c r="CG96" s="72"/>
    </row>
    <row r="97" spans="1:85" x14ac:dyDescent="0.2">
      <c r="A97" s="354">
        <v>38869</v>
      </c>
      <c r="B97" s="277">
        <v>3.4580000000000002</v>
      </c>
      <c r="C97" s="303">
        <v>-0.55000000000000004</v>
      </c>
      <c r="D97" s="188">
        <v>-0.45257265098146959</v>
      </c>
      <c r="E97" s="188">
        <v>-0.4804090364153355</v>
      </c>
      <c r="F97" s="285">
        <v>0.125</v>
      </c>
      <c r="G97" s="286">
        <v>0.125</v>
      </c>
      <c r="H97" s="286">
        <v>0.16</v>
      </c>
      <c r="I97" s="287">
        <v>0.16</v>
      </c>
      <c r="J97" s="286">
        <v>0.04</v>
      </c>
      <c r="K97" s="286">
        <v>0.105</v>
      </c>
      <c r="L97" s="286">
        <v>0.42</v>
      </c>
      <c r="M97" s="285">
        <v>-0.27</v>
      </c>
      <c r="N97" s="286">
        <v>0.25</v>
      </c>
      <c r="O97" s="287">
        <v>-0.23</v>
      </c>
      <c r="P97" s="239">
        <v>-0.25</v>
      </c>
      <c r="Q97" s="215">
        <v>0.26500000000000001</v>
      </c>
      <c r="R97" s="291">
        <v>0.2525</v>
      </c>
      <c r="S97" s="194">
        <v>0.2525</v>
      </c>
      <c r="T97" s="107">
        <v>0.45</v>
      </c>
      <c r="U97" s="308">
        <v>0.2525</v>
      </c>
      <c r="V97" s="61">
        <v>2.9080000000000004</v>
      </c>
      <c r="W97" s="61">
        <v>3.0054273490185306</v>
      </c>
      <c r="X97" s="197">
        <v>2.9775909635846647</v>
      </c>
      <c r="Y97" s="304" t="s">
        <v>258</v>
      </c>
      <c r="Z97" s="281">
        <v>0.14000000000000001</v>
      </c>
      <c r="AA97" s="296">
        <v>0.1</v>
      </c>
      <c r="AB97" s="301">
        <v>4.1787034554595941</v>
      </c>
      <c r="AC97" s="145">
        <v>4.3187034554595938</v>
      </c>
      <c r="AD97" s="197">
        <v>4.2787034554595937</v>
      </c>
      <c r="AE97" s="238">
        <v>3.2080000000000002</v>
      </c>
      <c r="AF97" s="133">
        <v>3.1880000000000002</v>
      </c>
      <c r="AG97" s="202">
        <v>3.2280000000000002</v>
      </c>
      <c r="AH97" s="242">
        <v>-0.1</v>
      </c>
      <c r="AI97" s="283">
        <v>1.5160818957714499</v>
      </c>
      <c r="AJ97" s="88">
        <v>5.6661229258239097E-2</v>
      </c>
      <c r="AK97" s="88">
        <v>5.6787557858024099E-2</v>
      </c>
      <c r="AL97" s="90">
        <v>0.75930502623628127</v>
      </c>
      <c r="AM97" s="204">
        <v>0.75884548691173004</v>
      </c>
      <c r="AN97" s="184">
        <v>0.125</v>
      </c>
      <c r="AO97" s="205">
        <v>0.124</v>
      </c>
      <c r="AP97" s="72"/>
      <c r="AQ97" s="184">
        <v>-3.4184381245537292</v>
      </c>
      <c r="AR97" s="206">
        <v>-2.8684381245537294</v>
      </c>
      <c r="AS97" s="72"/>
      <c r="AT97" s="273">
        <v>7.4999999999999997E-3</v>
      </c>
      <c r="AU97" s="72"/>
      <c r="AV97" s="184">
        <v>2.5000000000000001E-3</v>
      </c>
      <c r="AW97" s="244"/>
      <c r="AX97" s="90">
        <v>-0.105</v>
      </c>
      <c r="AY97" s="90"/>
      <c r="AZ97" s="302">
        <v>0.45</v>
      </c>
      <c r="BA97" s="302">
        <v>0.45</v>
      </c>
      <c r="BB97" s="252">
        <v>-0.55000000000000004</v>
      </c>
      <c r="BC97" s="247"/>
      <c r="BD97" s="90"/>
      <c r="BE97" s="72"/>
      <c r="BF97" s="151"/>
      <c r="BG97" s="72"/>
      <c r="BH97" s="125"/>
      <c r="BI97" s="125"/>
      <c r="BJ97" s="72"/>
      <c r="BK97" s="151"/>
      <c r="BL97" s="72"/>
      <c r="BM97" s="72"/>
      <c r="BN97" s="90"/>
      <c r="BO97" s="90"/>
      <c r="BP97" s="125"/>
      <c r="BQ97" s="72"/>
      <c r="BR97" s="125"/>
      <c r="BS97" s="72"/>
      <c r="BT97" s="72"/>
      <c r="BU97" s="72"/>
      <c r="BV97" s="72"/>
      <c r="BW97" s="72"/>
      <c r="BX97" s="72"/>
      <c r="BY97" s="72"/>
      <c r="BZ97" s="72"/>
      <c r="CA97" s="72"/>
      <c r="CB97" s="72"/>
      <c r="CC97" s="72"/>
      <c r="CD97" s="72"/>
      <c r="CE97" s="72"/>
      <c r="CF97" s="72"/>
      <c r="CG97" s="72"/>
    </row>
    <row r="98" spans="1:85" x14ac:dyDescent="0.2">
      <c r="A98" s="354">
        <v>38899</v>
      </c>
      <c r="B98" s="277">
        <v>3.5</v>
      </c>
      <c r="C98" s="303">
        <v>-0.55000000000000004</v>
      </c>
      <c r="D98" s="188">
        <v>-0.45254424565347673</v>
      </c>
      <c r="E98" s="188">
        <v>-0.48038874689534072</v>
      </c>
      <c r="F98" s="285">
        <v>0.125</v>
      </c>
      <c r="G98" s="286">
        <v>0.125</v>
      </c>
      <c r="H98" s="286">
        <v>0.16</v>
      </c>
      <c r="I98" s="287">
        <v>0.16</v>
      </c>
      <c r="J98" s="286">
        <v>0.04</v>
      </c>
      <c r="K98" s="286">
        <v>0.105</v>
      </c>
      <c r="L98" s="286">
        <v>0.48</v>
      </c>
      <c r="M98" s="285">
        <v>-0.27</v>
      </c>
      <c r="N98" s="286">
        <v>0.25</v>
      </c>
      <c r="O98" s="287">
        <v>-0.23</v>
      </c>
      <c r="P98" s="239">
        <v>-0.25</v>
      </c>
      <c r="Q98" s="215">
        <v>0.26500000000000001</v>
      </c>
      <c r="R98" s="291">
        <v>0.2525</v>
      </c>
      <c r="S98" s="194">
        <v>0.2525</v>
      </c>
      <c r="T98" s="107">
        <v>0.5</v>
      </c>
      <c r="U98" s="308">
        <v>0.2525</v>
      </c>
      <c r="V98" s="61">
        <v>2.95</v>
      </c>
      <c r="W98" s="61">
        <v>3.0474557543465233</v>
      </c>
      <c r="X98" s="197">
        <v>3.0196112531046593</v>
      </c>
      <c r="Y98" s="236">
        <v>4.4977420916837092</v>
      </c>
      <c r="Z98" s="281">
        <v>0.14000000000000001</v>
      </c>
      <c r="AA98" s="296">
        <v>0.1</v>
      </c>
      <c r="AB98" s="301">
        <v>4.2378205655409165</v>
      </c>
      <c r="AC98" s="145">
        <v>4.3778205655409161</v>
      </c>
      <c r="AD98" s="197">
        <v>4.3378205655409161</v>
      </c>
      <c r="AE98" s="238">
        <v>3.25</v>
      </c>
      <c r="AF98" s="133">
        <v>3.23</v>
      </c>
      <c r="AG98" s="202">
        <v>3.27</v>
      </c>
      <c r="AH98" s="242">
        <v>-0.1</v>
      </c>
      <c r="AI98" s="283">
        <v>1.5156400049482499</v>
      </c>
      <c r="AJ98" s="88">
        <v>5.6801895351724002E-2</v>
      </c>
      <c r="AK98" s="88">
        <v>5.69860011780534E-2</v>
      </c>
      <c r="AL98" s="90">
        <v>0.75531059297845549</v>
      </c>
      <c r="AM98" s="204">
        <v>0.75463345476554489</v>
      </c>
      <c r="AN98" s="184">
        <v>0.125</v>
      </c>
      <c r="AO98" s="205">
        <v>0.12</v>
      </c>
      <c r="AP98" s="72"/>
      <c r="AQ98" s="184">
        <v>-3.4604178435144952</v>
      </c>
      <c r="AR98" s="206">
        <v>-2.9104178435144954</v>
      </c>
      <c r="AS98" s="72"/>
      <c r="AT98" s="273">
        <v>7.4999999999999997E-3</v>
      </c>
      <c r="AU98" s="72"/>
      <c r="AV98" s="184">
        <v>2.5000000000000001E-3</v>
      </c>
      <c r="AW98" s="244"/>
      <c r="AX98" s="90">
        <v>-0.105</v>
      </c>
      <c r="AY98" s="90"/>
      <c r="AZ98" s="302">
        <v>0.5</v>
      </c>
      <c r="BA98" s="302">
        <v>0.5</v>
      </c>
      <c r="BB98" s="252">
        <v>-0.55000000000000004</v>
      </c>
      <c r="BC98" s="247"/>
      <c r="BD98" s="90"/>
      <c r="BE98" s="72"/>
      <c r="BF98" s="151"/>
      <c r="BG98" s="72"/>
      <c r="BH98" s="125"/>
      <c r="BI98" s="125"/>
      <c r="BJ98" s="72"/>
      <c r="BK98" s="151"/>
      <c r="BL98" s="72"/>
      <c r="BM98" s="72"/>
      <c r="BN98" s="90"/>
      <c r="BO98" s="90"/>
      <c r="BP98" s="125"/>
      <c r="BQ98" s="72"/>
      <c r="BR98" s="125"/>
      <c r="BS98" s="72"/>
      <c r="BT98" s="72"/>
      <c r="BU98" s="72"/>
      <c r="BV98" s="72"/>
      <c r="BW98" s="72"/>
      <c r="BX98" s="72"/>
      <c r="BY98" s="72"/>
      <c r="BZ98" s="72"/>
      <c r="CA98" s="72"/>
      <c r="CB98" s="72"/>
      <c r="CC98" s="72"/>
      <c r="CD98" s="72"/>
      <c r="CE98" s="72"/>
      <c r="CF98" s="72"/>
      <c r="CG98" s="72"/>
    </row>
    <row r="99" spans="1:85" x14ac:dyDescent="0.2">
      <c r="A99" s="354">
        <v>38930</v>
      </c>
      <c r="B99" s="277">
        <v>3.5490000000000004</v>
      </c>
      <c r="C99" s="303">
        <v>-0.55000000000000004</v>
      </c>
      <c r="D99" s="188">
        <v>-0.45252149931895547</v>
      </c>
      <c r="E99" s="188">
        <v>-0.48037249951353989</v>
      </c>
      <c r="F99" s="285">
        <v>0.125</v>
      </c>
      <c r="G99" s="286">
        <v>0.125</v>
      </c>
      <c r="H99" s="286">
        <v>0.16</v>
      </c>
      <c r="I99" s="287">
        <v>0.16</v>
      </c>
      <c r="J99" s="286">
        <v>0.04</v>
      </c>
      <c r="K99" s="286">
        <v>0.105</v>
      </c>
      <c r="L99" s="286">
        <v>0.48</v>
      </c>
      <c r="M99" s="285">
        <v>-0.27</v>
      </c>
      <c r="N99" s="286">
        <v>0.25</v>
      </c>
      <c r="O99" s="287">
        <v>-0.23</v>
      </c>
      <c r="P99" s="239">
        <v>-0.25</v>
      </c>
      <c r="Q99" s="215">
        <v>0.26500000000000001</v>
      </c>
      <c r="R99" s="291">
        <v>0.2525</v>
      </c>
      <c r="S99" s="194">
        <v>0.2525</v>
      </c>
      <c r="T99" s="107">
        <v>0.55000000000000004</v>
      </c>
      <c r="U99" s="308">
        <v>0.2525</v>
      </c>
      <c r="V99" s="61">
        <v>2.9990000000000006</v>
      </c>
      <c r="W99" s="61">
        <v>3.0964785006810449</v>
      </c>
      <c r="X99" s="197">
        <v>3.0686275004864605</v>
      </c>
      <c r="Y99" s="236">
        <v>4.775425202923385</v>
      </c>
      <c r="Z99" s="281">
        <v>0.14000000000000001</v>
      </c>
      <c r="AA99" s="296">
        <v>0.1</v>
      </c>
      <c r="AB99" s="301">
        <v>4.3072061743523031</v>
      </c>
      <c r="AC99" s="145">
        <v>4.4472061743523028</v>
      </c>
      <c r="AD99" s="197">
        <v>4.4072061743523028</v>
      </c>
      <c r="AE99" s="238">
        <v>3.2990000000000004</v>
      </c>
      <c r="AF99" s="133">
        <v>3.2790000000000004</v>
      </c>
      <c r="AG99" s="202">
        <v>3.3190000000000004</v>
      </c>
      <c r="AH99" s="242">
        <v>-0.1</v>
      </c>
      <c r="AI99" s="283">
        <v>1.51528633460735</v>
      </c>
      <c r="AJ99" s="88">
        <v>5.6878441024219996E-2</v>
      </c>
      <c r="AK99" s="88">
        <v>5.7106597304142699E-2</v>
      </c>
      <c r="AL99" s="90">
        <v>0.75144350891445921</v>
      </c>
      <c r="AM99" s="204">
        <v>0.75059464751975857</v>
      </c>
      <c r="AN99" s="184">
        <v>0.125</v>
      </c>
      <c r="AO99" s="205">
        <v>0.12</v>
      </c>
      <c r="AP99" s="72"/>
      <c r="AQ99" s="184">
        <v>-3.5094016029238939</v>
      </c>
      <c r="AR99" s="206">
        <v>-2.9594016029238936</v>
      </c>
      <c r="AS99" s="72"/>
      <c r="AT99" s="273">
        <v>7.4999999999999997E-3</v>
      </c>
      <c r="AU99" s="72"/>
      <c r="AV99" s="184">
        <v>2.5000000000000001E-3</v>
      </c>
      <c r="AW99" s="244"/>
      <c r="AX99" s="90">
        <v>-0.105</v>
      </c>
      <c r="AY99" s="90"/>
      <c r="AZ99" s="302">
        <v>0.55000000000000004</v>
      </c>
      <c r="BA99" s="302">
        <v>0.55000000000000004</v>
      </c>
      <c r="BB99" s="252">
        <v>-0.55000000000000004</v>
      </c>
      <c r="BC99" s="247"/>
      <c r="BD99" s="90"/>
      <c r="BE99" s="72"/>
      <c r="BF99" s="151"/>
      <c r="BG99" s="72"/>
      <c r="BH99" s="125"/>
      <c r="BI99" s="125"/>
      <c r="BJ99" s="72"/>
      <c r="BK99" s="151"/>
      <c r="BL99" s="72"/>
      <c r="BM99" s="72"/>
      <c r="BN99" s="90"/>
      <c r="BO99" s="90"/>
      <c r="BP99" s="125"/>
      <c r="BQ99" s="72"/>
      <c r="BR99" s="125"/>
      <c r="BS99" s="72"/>
      <c r="BT99" s="72"/>
      <c r="BU99" s="72"/>
      <c r="BV99" s="72"/>
      <c r="BW99" s="72"/>
      <c r="BX99" s="72"/>
      <c r="BY99" s="72"/>
      <c r="BZ99" s="72"/>
      <c r="CA99" s="72"/>
      <c r="CB99" s="72"/>
      <c r="CC99" s="72"/>
      <c r="CD99" s="72"/>
      <c r="CE99" s="72"/>
      <c r="CF99" s="72"/>
      <c r="CG99" s="72"/>
    </row>
    <row r="100" spans="1:85" x14ac:dyDescent="0.2">
      <c r="A100" s="354">
        <v>38961</v>
      </c>
      <c r="B100" s="277">
        <v>3.5640000000000001</v>
      </c>
      <c r="C100" s="303">
        <v>-0.55000000000000004</v>
      </c>
      <c r="D100" s="188">
        <v>-0.4524980410278916</v>
      </c>
      <c r="E100" s="188">
        <v>-0.48035574359135147</v>
      </c>
      <c r="F100" s="285">
        <v>0.125</v>
      </c>
      <c r="G100" s="286">
        <v>0.125</v>
      </c>
      <c r="H100" s="286">
        <v>0.16</v>
      </c>
      <c r="I100" s="287">
        <v>0.16</v>
      </c>
      <c r="J100" s="286">
        <v>0.04</v>
      </c>
      <c r="K100" s="286">
        <v>0.105</v>
      </c>
      <c r="L100" s="286">
        <v>0.44</v>
      </c>
      <c r="M100" s="285">
        <v>-0.27</v>
      </c>
      <c r="N100" s="286">
        <v>0.25</v>
      </c>
      <c r="O100" s="287">
        <v>-0.23</v>
      </c>
      <c r="P100" s="239">
        <v>-0.25</v>
      </c>
      <c r="Q100" s="215">
        <v>0.26500000000000001</v>
      </c>
      <c r="R100" s="291">
        <v>0.2525</v>
      </c>
      <c r="S100" s="194">
        <v>0.2525</v>
      </c>
      <c r="T100" s="107">
        <v>0.55000000000000004</v>
      </c>
      <c r="U100" s="308">
        <v>0.2525</v>
      </c>
      <c r="V100" s="61">
        <v>3.0140000000000002</v>
      </c>
      <c r="W100" s="61">
        <v>3.1115019589721085</v>
      </c>
      <c r="X100" s="197">
        <v>3.0836442564086486</v>
      </c>
      <c r="Y100" s="236">
        <v>4.2993970122267964</v>
      </c>
      <c r="Z100" s="281">
        <v>0.14000000000000001</v>
      </c>
      <c r="AA100" s="296">
        <v>0.1</v>
      </c>
      <c r="AB100" s="301">
        <v>4.3277079193937782</v>
      </c>
      <c r="AC100" s="145">
        <v>4.4677079193937779</v>
      </c>
      <c r="AD100" s="197">
        <v>4.4277079193937778</v>
      </c>
      <c r="AE100" s="238">
        <v>3.3140000000000001</v>
      </c>
      <c r="AF100" s="133">
        <v>3.294</v>
      </c>
      <c r="AG100" s="202">
        <v>3.3340000000000001</v>
      </c>
      <c r="AH100" s="242">
        <v>-0.1</v>
      </c>
      <c r="AI100" s="283">
        <v>1.5149217672872999</v>
      </c>
      <c r="AJ100" s="88">
        <v>5.6954986698665604E-2</v>
      </c>
      <c r="AK100" s="88">
        <v>5.7227193435070801E-2</v>
      </c>
      <c r="AL100" s="90">
        <v>0.7475867891927348</v>
      </c>
      <c r="AM100" s="204">
        <v>0.74656262352306779</v>
      </c>
      <c r="AN100" s="184">
        <v>0.125</v>
      </c>
      <c r="AO100" s="205">
        <v>0.124</v>
      </c>
      <c r="AP100" s="72"/>
      <c r="AQ100" s="184">
        <v>-3.5243848540054681</v>
      </c>
      <c r="AR100" s="206">
        <v>-2.9743848540054678</v>
      </c>
      <c r="AS100" s="72"/>
      <c r="AT100" s="273">
        <v>7.4999999999999997E-3</v>
      </c>
      <c r="AU100" s="72"/>
      <c r="AV100" s="184">
        <v>2.5000000000000001E-3</v>
      </c>
      <c r="AW100" s="244"/>
      <c r="AX100" s="90">
        <v>-0.105</v>
      </c>
      <c r="AY100" s="90"/>
      <c r="AZ100" s="302">
        <v>0.55000000000000004</v>
      </c>
      <c r="BA100" s="302">
        <v>0.55000000000000004</v>
      </c>
      <c r="BB100" s="252">
        <v>-0.55000000000000004</v>
      </c>
      <c r="BC100" s="247"/>
      <c r="BD100" s="90"/>
      <c r="BE100" s="72"/>
      <c r="BF100" s="151"/>
      <c r="BG100" s="72"/>
      <c r="BH100" s="125"/>
      <c r="BI100" s="125"/>
      <c r="BJ100" s="72"/>
      <c r="BK100" s="151"/>
      <c r="BL100" s="72"/>
      <c r="BM100" s="72"/>
      <c r="BN100" s="90"/>
      <c r="BO100" s="90"/>
      <c r="BP100" s="125"/>
      <c r="BQ100" s="72"/>
      <c r="BR100" s="125"/>
      <c r="BS100" s="72"/>
      <c r="BT100" s="72"/>
      <c r="BU100" s="72"/>
      <c r="BV100" s="72"/>
      <c r="BW100" s="72"/>
      <c r="BX100" s="72"/>
      <c r="BY100" s="72"/>
      <c r="BZ100" s="72"/>
      <c r="CA100" s="72"/>
      <c r="CB100" s="72"/>
      <c r="CC100" s="72"/>
      <c r="CD100" s="72"/>
      <c r="CE100" s="72"/>
      <c r="CF100" s="72"/>
      <c r="CG100" s="72"/>
    </row>
    <row r="101" spans="1:85" x14ac:dyDescent="0.2">
      <c r="A101" s="354">
        <v>38991</v>
      </c>
      <c r="B101" s="277">
        <v>3.593</v>
      </c>
      <c r="C101" s="303">
        <v>-0.55000000000000004</v>
      </c>
      <c r="D101" s="188">
        <v>-0.45247466119249413</v>
      </c>
      <c r="E101" s="188">
        <v>-0.48033904370892477</v>
      </c>
      <c r="F101" s="285">
        <v>0.125</v>
      </c>
      <c r="G101" s="286">
        <v>0.125</v>
      </c>
      <c r="H101" s="286">
        <v>0.16</v>
      </c>
      <c r="I101" s="287">
        <v>0.16</v>
      </c>
      <c r="J101" s="286">
        <v>0.04</v>
      </c>
      <c r="K101" s="286">
        <v>0.105</v>
      </c>
      <c r="L101" s="286">
        <v>0.45</v>
      </c>
      <c r="M101" s="285">
        <v>-0.27</v>
      </c>
      <c r="N101" s="286">
        <v>0.25</v>
      </c>
      <c r="O101" s="287">
        <v>-0.23</v>
      </c>
      <c r="P101" s="239">
        <v>-0.25</v>
      </c>
      <c r="Q101" s="215">
        <v>0.26500000000000001</v>
      </c>
      <c r="R101" s="291">
        <v>0.2525</v>
      </c>
      <c r="S101" s="194">
        <v>0.2525</v>
      </c>
      <c r="T101" s="107">
        <v>0.6</v>
      </c>
      <c r="U101" s="308">
        <v>0.2525</v>
      </c>
      <c r="V101" s="61">
        <v>3.0430000000000001</v>
      </c>
      <c r="W101" s="61">
        <v>3.1405253388075058</v>
      </c>
      <c r="X101" s="197">
        <v>3.1126609562910752</v>
      </c>
      <c r="Y101" s="116" t="s">
        <v>252</v>
      </c>
      <c r="Z101" s="281">
        <v>0.14000000000000001</v>
      </c>
      <c r="AA101" s="296">
        <v>0.1</v>
      </c>
      <c r="AB101" s="301">
        <v>4.3683006407275373</v>
      </c>
      <c r="AC101" s="145">
        <v>4.508300640727537</v>
      </c>
      <c r="AD101" s="197">
        <v>4.468300640727537</v>
      </c>
      <c r="AE101" s="238">
        <v>3.343</v>
      </c>
      <c r="AF101" s="133">
        <v>3.323</v>
      </c>
      <c r="AG101" s="202">
        <v>3.363</v>
      </c>
      <c r="AH101" s="242">
        <v>-0.1</v>
      </c>
      <c r="AI101" s="283">
        <v>1.5145585937572899</v>
      </c>
      <c r="AJ101" s="88">
        <v>5.7029063159663301E-2</v>
      </c>
      <c r="AK101" s="88">
        <v>5.7343899372833899E-2</v>
      </c>
      <c r="AL101" s="90">
        <v>0.74386438986480774</v>
      </c>
      <c r="AM101" s="204">
        <v>0.74266724077769808</v>
      </c>
      <c r="AN101" s="184">
        <v>0.125</v>
      </c>
      <c r="AO101" s="205">
        <v>0.12</v>
      </c>
      <c r="AP101" s="72"/>
      <c r="AQ101" s="184">
        <v>-3.5533681611033794</v>
      </c>
      <c r="AR101" s="206">
        <v>-3.0033681611033796</v>
      </c>
      <c r="AS101" s="72"/>
      <c r="AT101" s="273">
        <v>7.4999999999999997E-3</v>
      </c>
      <c r="AU101" s="72"/>
      <c r="AV101" s="184">
        <v>2.5000000000000001E-3</v>
      </c>
      <c r="AW101" s="244"/>
      <c r="AX101" s="90">
        <v>-0.105</v>
      </c>
      <c r="AY101" s="90"/>
      <c r="AZ101" s="302">
        <v>0.6</v>
      </c>
      <c r="BA101" s="302">
        <v>0.6</v>
      </c>
      <c r="BB101" s="252">
        <v>-0.55000000000000004</v>
      </c>
      <c r="BC101" s="247"/>
      <c r="BD101" s="90"/>
      <c r="BE101" s="72"/>
      <c r="BF101" s="151"/>
      <c r="BG101" s="72"/>
      <c r="BH101" s="125"/>
      <c r="BI101" s="125"/>
      <c r="BJ101" s="72"/>
      <c r="BK101" s="151"/>
      <c r="BL101" s="72"/>
      <c r="BM101" s="72"/>
      <c r="BN101" s="90"/>
      <c r="BO101" s="90"/>
      <c r="BP101" s="125"/>
      <c r="BQ101" s="72"/>
      <c r="BR101" s="125"/>
      <c r="BS101" s="72"/>
      <c r="BT101" s="72"/>
      <c r="BU101" s="72"/>
      <c r="BV101" s="72"/>
      <c r="BW101" s="72"/>
      <c r="BX101" s="72"/>
      <c r="BY101" s="72"/>
      <c r="BZ101" s="72"/>
      <c r="CA101" s="72"/>
      <c r="CB101" s="72"/>
      <c r="CC101" s="72"/>
      <c r="CD101" s="72"/>
      <c r="CE101" s="72"/>
      <c r="CF101" s="72"/>
      <c r="CG101" s="72"/>
    </row>
    <row r="102" spans="1:85" x14ac:dyDescent="0.2">
      <c r="A102" s="353">
        <v>39022</v>
      </c>
      <c r="B102" s="277">
        <v>3.7330000000000001</v>
      </c>
      <c r="C102" s="284">
        <v>-0.49</v>
      </c>
      <c r="D102" s="188">
        <v>-0.39244980074326197</v>
      </c>
      <c r="E102" s="188">
        <v>-0.11</v>
      </c>
      <c r="F102" s="285">
        <v>0.23</v>
      </c>
      <c r="G102" s="286">
        <v>0.38</v>
      </c>
      <c r="H102" s="286">
        <v>0.38</v>
      </c>
      <c r="I102" s="287">
        <v>0.53</v>
      </c>
      <c r="J102" s="286">
        <v>0.14000000000000001</v>
      </c>
      <c r="K102" s="286">
        <v>0.18</v>
      </c>
      <c r="L102" s="286">
        <v>0.73</v>
      </c>
      <c r="M102" s="285">
        <v>-0.15</v>
      </c>
      <c r="N102" s="286">
        <v>0.25</v>
      </c>
      <c r="O102" s="287">
        <v>0.17</v>
      </c>
      <c r="P102" s="239">
        <v>0.248</v>
      </c>
      <c r="Q102" s="215">
        <v>0.26750000000000002</v>
      </c>
      <c r="R102" s="291">
        <v>0.255</v>
      </c>
      <c r="S102" s="194">
        <v>0.255</v>
      </c>
      <c r="T102" s="107">
        <v>0.8</v>
      </c>
      <c r="U102" s="308">
        <v>0.255</v>
      </c>
      <c r="V102" s="61">
        <v>3.2430000000000003</v>
      </c>
      <c r="W102" s="61">
        <v>3.3405501992567381</v>
      </c>
      <c r="X102" s="197">
        <v>3.6229999999999998</v>
      </c>
      <c r="Y102" s="236"/>
      <c r="Z102" s="281">
        <v>0.14000000000000001</v>
      </c>
      <c r="AA102" s="296">
        <v>0.54536023919320975</v>
      </c>
      <c r="AB102" s="301">
        <v>4.6542190939567929</v>
      </c>
      <c r="AC102" s="145">
        <v>4.7942190939567926</v>
      </c>
      <c r="AD102" s="197">
        <v>5.1995793331500026</v>
      </c>
      <c r="AE102" s="238">
        <v>3.9809999999999999</v>
      </c>
      <c r="AF102" s="133">
        <v>3.5830000000000002</v>
      </c>
      <c r="AG102" s="202">
        <v>3.903</v>
      </c>
      <c r="AH102" s="242">
        <v>-0.1</v>
      </c>
      <c r="AI102" s="283">
        <v>1.5141726119006098</v>
      </c>
      <c r="AJ102" s="88">
        <v>5.7105608837944896E-2</v>
      </c>
      <c r="AK102" s="88">
        <v>5.7464495513283302E-2</v>
      </c>
      <c r="AL102" s="90">
        <v>0.74002819360849748</v>
      </c>
      <c r="AM102" s="204">
        <v>0.73864892735416476</v>
      </c>
      <c r="AN102" s="184">
        <v>0.38</v>
      </c>
      <c r="AO102" s="205">
        <v>0.124</v>
      </c>
      <c r="AP102" s="72"/>
      <c r="AQ102" s="184">
        <v>-3.3827398432371494</v>
      </c>
      <c r="AR102" s="206">
        <v>-2.8927398432371492</v>
      </c>
      <c r="AS102" s="72"/>
      <c r="AT102" s="273">
        <v>7.4999999999999997E-3</v>
      </c>
      <c r="AU102" s="72"/>
      <c r="AV102" s="184">
        <v>8.0000000000000002E-3</v>
      </c>
      <c r="AW102" s="244"/>
      <c r="AX102" s="90">
        <v>5.0000000000000001E-3</v>
      </c>
      <c r="AY102" s="90"/>
      <c r="AZ102" s="302">
        <v>0.8</v>
      </c>
      <c r="BA102" s="302">
        <v>0.8</v>
      </c>
      <c r="BB102" s="252">
        <v>-0.49</v>
      </c>
      <c r="BC102" s="247"/>
      <c r="BD102" s="90"/>
      <c r="BE102" s="72"/>
      <c r="BF102" s="151"/>
      <c r="BG102" s="72"/>
      <c r="BH102" s="125"/>
      <c r="BI102" s="125"/>
      <c r="BJ102" s="72"/>
      <c r="BK102" s="151"/>
      <c r="BL102" s="72"/>
      <c r="BM102" s="72"/>
      <c r="BN102" s="90"/>
      <c r="BO102" s="90"/>
      <c r="BP102" s="125"/>
      <c r="BQ102" s="72"/>
      <c r="BR102" s="125"/>
      <c r="BS102" s="72"/>
      <c r="BT102" s="72"/>
      <c r="BU102" s="72"/>
      <c r="BV102" s="72"/>
      <c r="BW102" s="72"/>
      <c r="BX102" s="72"/>
      <c r="BY102" s="72"/>
      <c r="BZ102" s="72"/>
      <c r="CA102" s="72"/>
      <c r="CB102" s="72"/>
      <c r="CC102" s="72"/>
      <c r="CD102" s="72"/>
      <c r="CE102" s="72"/>
      <c r="CF102" s="72"/>
      <c r="CG102" s="72"/>
    </row>
    <row r="103" spans="1:85" x14ac:dyDescent="0.2">
      <c r="A103" s="354">
        <v>39052</v>
      </c>
      <c r="B103" s="277">
        <v>3.8730000000000002</v>
      </c>
      <c r="C103" s="307">
        <v>-0.49</v>
      </c>
      <c r="D103" s="188">
        <v>-0.39242506316979364</v>
      </c>
      <c r="E103" s="188">
        <v>-0.11</v>
      </c>
      <c r="F103" s="285">
        <v>0.23</v>
      </c>
      <c r="G103" s="286">
        <v>0.38</v>
      </c>
      <c r="H103" s="286">
        <v>0.38</v>
      </c>
      <c r="I103" s="287">
        <v>0.53</v>
      </c>
      <c r="J103" s="286">
        <v>0.14000000000000001</v>
      </c>
      <c r="K103" s="286">
        <v>0.18</v>
      </c>
      <c r="L103" s="286">
        <v>1.1399999999999999</v>
      </c>
      <c r="M103" s="285">
        <v>-0.15</v>
      </c>
      <c r="N103" s="286">
        <v>0.25</v>
      </c>
      <c r="O103" s="287">
        <v>0.17</v>
      </c>
      <c r="P103" s="239">
        <v>0.308</v>
      </c>
      <c r="Q103" s="215">
        <v>0.27250000000000002</v>
      </c>
      <c r="R103" s="291">
        <v>0.26</v>
      </c>
      <c r="S103" s="194">
        <v>0.26</v>
      </c>
      <c r="T103" s="107">
        <v>1</v>
      </c>
      <c r="U103" s="308">
        <v>0.26</v>
      </c>
      <c r="V103" s="61">
        <v>3.383</v>
      </c>
      <c r="W103" s="61">
        <v>3.4805749368302066</v>
      </c>
      <c r="X103" s="197">
        <v>3.7629999999999999</v>
      </c>
      <c r="Y103" s="116" t="s">
        <v>250</v>
      </c>
      <c r="Z103" s="281">
        <v>0.14000000000000001</v>
      </c>
      <c r="AA103" s="296">
        <v>0.54522197736673927</v>
      </c>
      <c r="AB103" s="301">
        <v>4.8539103932412617</v>
      </c>
      <c r="AC103" s="145">
        <v>4.9939103932412614</v>
      </c>
      <c r="AD103" s="197">
        <v>5.399132370608001</v>
      </c>
      <c r="AE103" s="238">
        <v>4.181</v>
      </c>
      <c r="AF103" s="133">
        <v>3.7230000000000003</v>
      </c>
      <c r="AG103" s="202">
        <v>4.0430000000000001</v>
      </c>
      <c r="AH103" s="242">
        <v>-0.1</v>
      </c>
      <c r="AI103" s="283">
        <v>1.51378873303327</v>
      </c>
      <c r="AJ103" s="88">
        <v>5.71796853026552E-2</v>
      </c>
      <c r="AK103" s="88">
        <v>5.7581201460260398E-2</v>
      </c>
      <c r="AL103" s="90">
        <v>0.73632573718973349</v>
      </c>
      <c r="AM103" s="204">
        <v>0.73476704337523868</v>
      </c>
      <c r="AN103" s="184">
        <v>0.38</v>
      </c>
      <c r="AO103" s="205">
        <v>0.12</v>
      </c>
      <c r="AP103" s="72"/>
      <c r="AQ103" s="184">
        <v>-3.522740071884864</v>
      </c>
      <c r="AR103" s="206">
        <v>-3.0327400718848638</v>
      </c>
      <c r="AS103" s="72"/>
      <c r="AT103" s="273">
        <v>7.4999999999999997E-3</v>
      </c>
      <c r="AU103" s="72"/>
      <c r="AV103" s="184">
        <v>8.0000000000000002E-3</v>
      </c>
      <c r="AW103" s="244"/>
      <c r="AX103" s="90">
        <v>0.01</v>
      </c>
      <c r="AY103" s="90"/>
      <c r="AZ103" s="302">
        <v>1</v>
      </c>
      <c r="BA103" s="302">
        <v>1</v>
      </c>
      <c r="BB103" s="252">
        <v>-0.49</v>
      </c>
      <c r="BC103" s="247"/>
      <c r="BD103" s="90"/>
      <c r="BE103" s="72"/>
      <c r="BF103" s="151"/>
      <c r="BG103" s="72"/>
      <c r="BH103" s="125"/>
      <c r="BI103" s="125"/>
      <c r="BJ103" s="72"/>
      <c r="BK103" s="151"/>
      <c r="BL103" s="72"/>
      <c r="BM103" s="72"/>
      <c r="BN103" s="90"/>
      <c r="BO103" s="90"/>
      <c r="BP103" s="125"/>
      <c r="BQ103" s="72"/>
      <c r="BR103" s="125"/>
      <c r="BS103" s="72"/>
      <c r="BT103" s="72"/>
      <c r="BU103" s="72"/>
      <c r="BV103" s="72"/>
      <c r="BW103" s="72"/>
      <c r="BX103" s="72"/>
      <c r="BY103" s="72"/>
      <c r="BZ103" s="72"/>
      <c r="CA103" s="72"/>
      <c r="CB103" s="72"/>
      <c r="CC103" s="72"/>
      <c r="CD103" s="72"/>
      <c r="CE103" s="72"/>
      <c r="CF103" s="72"/>
      <c r="CG103" s="72"/>
    </row>
    <row r="104" spans="1:85" x14ac:dyDescent="0.2">
      <c r="A104" s="354">
        <v>39083</v>
      </c>
      <c r="B104" s="277">
        <v>3.9530000000000003</v>
      </c>
      <c r="C104" s="307">
        <v>-0.49</v>
      </c>
      <c r="D104" s="188">
        <v>-0.39239879885693441</v>
      </c>
      <c r="E104" s="188">
        <v>-0.11000000000000076</v>
      </c>
      <c r="F104" s="285">
        <v>0.23</v>
      </c>
      <c r="G104" s="286">
        <v>0.38</v>
      </c>
      <c r="H104" s="286">
        <v>0.38</v>
      </c>
      <c r="I104" s="287">
        <v>0.53</v>
      </c>
      <c r="J104" s="286">
        <v>0.14000000000000001</v>
      </c>
      <c r="K104" s="286">
        <v>0.18</v>
      </c>
      <c r="L104" s="286">
        <v>1.63</v>
      </c>
      <c r="M104" s="285">
        <v>-0.15</v>
      </c>
      <c r="N104" s="286">
        <v>0.25</v>
      </c>
      <c r="O104" s="287">
        <v>0.17</v>
      </c>
      <c r="P104" s="239">
        <v>0.37800000000000006</v>
      </c>
      <c r="Q104" s="215">
        <v>0.27500000000000002</v>
      </c>
      <c r="R104" s="291">
        <v>0.26250000000000001</v>
      </c>
      <c r="S104" s="194">
        <v>0.26250000000000001</v>
      </c>
      <c r="T104" s="107">
        <v>1</v>
      </c>
      <c r="U104" s="308">
        <v>0.26250000000000001</v>
      </c>
      <c r="V104" s="61">
        <v>3.4630000000000001</v>
      </c>
      <c r="W104" s="61">
        <v>3.5606012011430659</v>
      </c>
      <c r="X104" s="197">
        <v>3.8429999999999995</v>
      </c>
      <c r="Y104" s="236"/>
      <c r="Z104" s="281">
        <v>0.14000000000000001</v>
      </c>
      <c r="AA104" s="296">
        <v>0.54507525908434307</v>
      </c>
      <c r="AB104" s="301">
        <v>4.9673569005502207</v>
      </c>
      <c r="AC104" s="145">
        <v>5.1073569005502204</v>
      </c>
      <c r="AD104" s="197">
        <v>5.5124321596345638</v>
      </c>
      <c r="AE104" s="238">
        <v>4.3310000000000004</v>
      </c>
      <c r="AF104" s="133">
        <v>3.8030000000000004</v>
      </c>
      <c r="AG104" s="202">
        <v>4.1230000000000002</v>
      </c>
      <c r="AH104" s="242">
        <v>-0.1</v>
      </c>
      <c r="AI104" s="283">
        <v>1.51338137512761</v>
      </c>
      <c r="AJ104" s="88">
        <v>5.7256230984773296E-2</v>
      </c>
      <c r="AK104" s="88">
        <v>5.7701797610229602E-2</v>
      </c>
      <c r="AL104" s="90">
        <v>0.73251023161112438</v>
      </c>
      <c r="AM104" s="204">
        <v>0.73076291470710997</v>
      </c>
      <c r="AN104" s="184">
        <v>0.38</v>
      </c>
      <c r="AO104" s="205">
        <v>0.12</v>
      </c>
      <c r="AP104" s="72"/>
      <c r="AQ104" s="184">
        <v>-3.6027405413410785</v>
      </c>
      <c r="AR104" s="206">
        <v>-3.1127405413410782</v>
      </c>
      <c r="AS104" s="72"/>
      <c r="AT104" s="273">
        <v>7.4999999999999997E-3</v>
      </c>
      <c r="AU104" s="72"/>
      <c r="AV104" s="184">
        <v>8.0000000000000002E-3</v>
      </c>
      <c r="AW104" s="244"/>
      <c r="AX104" s="90">
        <v>0.03</v>
      </c>
      <c r="AY104" s="90"/>
      <c r="AZ104" s="302">
        <v>1</v>
      </c>
      <c r="BA104" s="302">
        <v>1</v>
      </c>
      <c r="BB104" s="252">
        <v>-0.49</v>
      </c>
      <c r="BC104" s="247"/>
      <c r="BD104" s="90"/>
      <c r="BE104" s="72"/>
      <c r="BF104" s="151"/>
      <c r="BG104" s="72"/>
      <c r="BH104" s="125"/>
      <c r="BI104" s="125"/>
      <c r="BJ104" s="72"/>
      <c r="BK104" s="151"/>
      <c r="BL104" s="72"/>
      <c r="BM104" s="72"/>
      <c r="BN104" s="90"/>
      <c r="BO104" s="90"/>
      <c r="BP104" s="125"/>
      <c r="BQ104" s="72"/>
      <c r="BR104" s="125"/>
      <c r="BS104" s="72"/>
      <c r="BT104" s="72"/>
      <c r="BU104" s="72"/>
      <c r="BV104" s="72"/>
      <c r="BW104" s="72"/>
      <c r="BX104" s="72"/>
      <c r="BY104" s="72"/>
      <c r="BZ104" s="72"/>
      <c r="CA104" s="72"/>
      <c r="CB104" s="72"/>
      <c r="CC104" s="72"/>
      <c r="CD104" s="72"/>
      <c r="CE104" s="72"/>
      <c r="CF104" s="72"/>
      <c r="CG104" s="72"/>
    </row>
    <row r="105" spans="1:85" x14ac:dyDescent="0.2">
      <c r="A105" s="354">
        <v>39114</v>
      </c>
      <c r="B105" s="277">
        <v>3.835</v>
      </c>
      <c r="C105" s="307">
        <v>-0.49</v>
      </c>
      <c r="D105" s="188">
        <v>-0.39237182041361018</v>
      </c>
      <c r="E105" s="188">
        <v>-0.11</v>
      </c>
      <c r="F105" s="285">
        <v>0.23</v>
      </c>
      <c r="G105" s="286">
        <v>0.38</v>
      </c>
      <c r="H105" s="286">
        <v>0.38</v>
      </c>
      <c r="I105" s="287">
        <v>0.53</v>
      </c>
      <c r="J105" s="286">
        <v>0.14000000000000001</v>
      </c>
      <c r="K105" s="286">
        <v>0.18</v>
      </c>
      <c r="L105" s="286">
        <v>1.63</v>
      </c>
      <c r="M105" s="285">
        <v>-0.15</v>
      </c>
      <c r="N105" s="286">
        <v>0.25</v>
      </c>
      <c r="O105" s="287">
        <v>0.17</v>
      </c>
      <c r="P105" s="239">
        <v>0.248</v>
      </c>
      <c r="Q105" s="215">
        <v>0.26250000000000001</v>
      </c>
      <c r="R105" s="291">
        <v>0.25</v>
      </c>
      <c r="S105" s="194">
        <v>0.25</v>
      </c>
      <c r="T105" s="107">
        <v>1</v>
      </c>
      <c r="U105" s="308">
        <v>0.25</v>
      </c>
      <c r="V105" s="61">
        <v>3.3450000000000002</v>
      </c>
      <c r="W105" s="61">
        <v>3.4426281795863898</v>
      </c>
      <c r="X105" s="197">
        <v>3.7250000000000001</v>
      </c>
      <c r="Y105" s="62"/>
      <c r="Z105" s="281">
        <v>0.14000000000000001</v>
      </c>
      <c r="AA105" s="296">
        <v>0.54492463370090682</v>
      </c>
      <c r="AB105" s="301">
        <v>4.7967707887619202</v>
      </c>
      <c r="AC105" s="145">
        <v>4.9367707887619199</v>
      </c>
      <c r="AD105" s="197">
        <v>5.341695422462827</v>
      </c>
      <c r="AE105" s="238">
        <v>4.0830000000000002</v>
      </c>
      <c r="AF105" s="133">
        <v>3.6850000000000001</v>
      </c>
      <c r="AG105" s="202">
        <v>4.0049999999999999</v>
      </c>
      <c r="AH105" s="242">
        <v>-0.1</v>
      </c>
      <c r="AI105" s="283">
        <v>1.5129631692998498</v>
      </c>
      <c r="AJ105" s="88">
        <v>5.7332776668841401E-2</v>
      </c>
      <c r="AK105" s="88">
        <v>5.7822393765036804E-2</v>
      </c>
      <c r="AL105" s="90">
        <v>0.72870530351718621</v>
      </c>
      <c r="AM105" s="204">
        <v>0.72676617369477414</v>
      </c>
      <c r="AN105" s="184">
        <v>0.38</v>
      </c>
      <c r="AO105" s="205">
        <v>0.13300000000000001</v>
      </c>
      <c r="AP105" s="72"/>
      <c r="AQ105" s="184">
        <v>-3.484741247721844</v>
      </c>
      <c r="AR105" s="206">
        <v>-2.9947412477218442</v>
      </c>
      <c r="AS105" s="72"/>
      <c r="AT105" s="273">
        <v>7.4999999999999997E-3</v>
      </c>
      <c r="AU105" s="72"/>
      <c r="AV105" s="184">
        <v>8.0000000000000002E-3</v>
      </c>
      <c r="AW105" s="244"/>
      <c r="AX105" s="90">
        <v>2.5000000000000001E-2</v>
      </c>
      <c r="AY105" s="90"/>
      <c r="AZ105" s="302">
        <v>1</v>
      </c>
      <c r="BA105" s="302">
        <v>1</v>
      </c>
      <c r="BB105" s="252">
        <v>-0.49</v>
      </c>
      <c r="BC105" s="247"/>
      <c r="BD105" s="90"/>
      <c r="BE105" s="72"/>
      <c r="BF105" s="151"/>
      <c r="BG105" s="72"/>
      <c r="BH105" s="125"/>
      <c r="BI105" s="125"/>
      <c r="BJ105" s="72"/>
      <c r="BK105" s="151"/>
      <c r="BL105" s="72"/>
      <c r="BM105" s="72"/>
      <c r="BN105" s="90"/>
      <c r="BO105" s="90"/>
      <c r="BP105" s="125"/>
      <c r="BQ105" s="72"/>
      <c r="BR105" s="125"/>
      <c r="BS105" s="72"/>
      <c r="BT105" s="72"/>
      <c r="BU105" s="72"/>
      <c r="BV105" s="72"/>
      <c r="BW105" s="72"/>
      <c r="BX105" s="72"/>
      <c r="BY105" s="72"/>
      <c r="BZ105" s="72"/>
      <c r="CA105" s="72"/>
      <c r="CB105" s="72"/>
      <c r="CC105" s="72"/>
      <c r="CD105" s="72"/>
      <c r="CE105" s="72"/>
      <c r="CF105" s="72"/>
      <c r="CG105" s="72"/>
    </row>
    <row r="106" spans="1:85" x14ac:dyDescent="0.2">
      <c r="A106" s="354">
        <v>39142</v>
      </c>
      <c r="B106" s="277">
        <v>3.702</v>
      </c>
      <c r="C106" s="307">
        <v>-0.49</v>
      </c>
      <c r="D106" s="188">
        <v>-0.39234683857252239</v>
      </c>
      <c r="E106" s="188">
        <v>-0.10999999999999943</v>
      </c>
      <c r="F106" s="285">
        <v>0.23</v>
      </c>
      <c r="G106" s="286">
        <v>0.38</v>
      </c>
      <c r="H106" s="286">
        <v>0.38</v>
      </c>
      <c r="I106" s="287">
        <v>0.53</v>
      </c>
      <c r="J106" s="286">
        <v>0.14000000000000001</v>
      </c>
      <c r="K106" s="286">
        <v>0.18</v>
      </c>
      <c r="L106" s="286">
        <v>0.72</v>
      </c>
      <c r="M106" s="285">
        <v>-0.15</v>
      </c>
      <c r="N106" s="286">
        <v>0.25</v>
      </c>
      <c r="O106" s="287">
        <v>0.17</v>
      </c>
      <c r="P106" s="239">
        <v>6.8000000000000005E-2</v>
      </c>
      <c r="Q106" s="215">
        <v>0.255</v>
      </c>
      <c r="R106" s="291">
        <v>0.24249999999999999</v>
      </c>
      <c r="S106" s="194">
        <v>0.24249999999999999</v>
      </c>
      <c r="T106" s="107">
        <v>0.75</v>
      </c>
      <c r="U106" s="308">
        <v>0.24249999999999999</v>
      </c>
      <c r="V106" s="61">
        <v>3.2119999999999997</v>
      </c>
      <c r="W106" s="61">
        <v>3.3096531614274776</v>
      </c>
      <c r="X106" s="197">
        <v>3.5920000000000005</v>
      </c>
      <c r="Y106" s="62"/>
      <c r="Z106" s="281">
        <v>0.14000000000000001</v>
      </c>
      <c r="AA106" s="296">
        <v>0.5447852299130016</v>
      </c>
      <c r="AB106" s="301">
        <v>4.6048688381067313</v>
      </c>
      <c r="AC106" s="145">
        <v>4.744868838106731</v>
      </c>
      <c r="AD106" s="197">
        <v>5.1496540680197329</v>
      </c>
      <c r="AE106" s="238">
        <v>3.77</v>
      </c>
      <c r="AF106" s="133">
        <v>3.552</v>
      </c>
      <c r="AG106" s="202">
        <v>3.8719999999999999</v>
      </c>
      <c r="AH106" s="242">
        <v>-0.1</v>
      </c>
      <c r="AI106" s="283">
        <v>1.51257611981866</v>
      </c>
      <c r="AJ106" s="88">
        <v>5.7401914707738901E-2</v>
      </c>
      <c r="AK106" s="88">
        <v>5.7931319328374802E-2</v>
      </c>
      <c r="AL106" s="90">
        <v>0.72527772023233261</v>
      </c>
      <c r="AM106" s="204">
        <v>0.7231626630586353</v>
      </c>
      <c r="AN106" s="184">
        <v>0.38</v>
      </c>
      <c r="AO106" s="205">
        <v>0.12</v>
      </c>
      <c r="AP106" s="72"/>
      <c r="AQ106" s="184">
        <v>-3.3517420893130101</v>
      </c>
      <c r="AR106" s="206">
        <v>-2.8617420893130099</v>
      </c>
      <c r="AS106" s="72"/>
      <c r="AT106" s="273">
        <v>7.4999999999999997E-3</v>
      </c>
      <c r="AU106" s="72"/>
      <c r="AV106" s="184">
        <v>8.0000000000000002E-3</v>
      </c>
      <c r="AW106" s="244"/>
      <c r="AX106" s="90">
        <v>5.0000000000000001E-3</v>
      </c>
      <c r="AY106" s="90"/>
      <c r="AZ106" s="302">
        <v>0.75</v>
      </c>
      <c r="BA106" s="302">
        <v>0.75</v>
      </c>
      <c r="BB106" s="252">
        <v>-0.49</v>
      </c>
      <c r="BC106" s="247"/>
      <c r="BD106" s="90"/>
      <c r="BE106" s="72"/>
      <c r="BF106" s="151"/>
      <c r="BG106" s="72"/>
      <c r="BH106" s="125"/>
      <c r="BI106" s="125"/>
      <c r="BJ106" s="72"/>
      <c r="BK106" s="151"/>
      <c r="BL106" s="72"/>
      <c r="BM106" s="72"/>
      <c r="BN106" s="90"/>
      <c r="BO106" s="90"/>
      <c r="BP106" s="125"/>
      <c r="BQ106" s="72"/>
      <c r="BR106" s="125"/>
      <c r="BS106" s="72"/>
      <c r="BT106" s="72"/>
      <c r="BU106" s="72"/>
      <c r="BV106" s="72"/>
      <c r="BW106" s="72"/>
      <c r="BX106" s="72"/>
      <c r="BY106" s="72"/>
      <c r="BZ106" s="72"/>
      <c r="CA106" s="72"/>
      <c r="CB106" s="72"/>
      <c r="CC106" s="72"/>
      <c r="CD106" s="72"/>
      <c r="CE106" s="72"/>
      <c r="CF106" s="72"/>
      <c r="CG106" s="72"/>
    </row>
    <row r="107" spans="1:85" x14ac:dyDescent="0.2">
      <c r="A107" s="354">
        <v>39173</v>
      </c>
      <c r="B107" s="277">
        <v>3.4820000000000002</v>
      </c>
      <c r="C107" s="298">
        <v>-0.55000000000000004</v>
      </c>
      <c r="D107" s="188">
        <v>-0.45231849962016435</v>
      </c>
      <c r="E107" s="188">
        <v>-0.48022749972868839</v>
      </c>
      <c r="F107" s="285">
        <v>0.13500000000000001</v>
      </c>
      <c r="G107" s="286">
        <v>0.13500000000000001</v>
      </c>
      <c r="H107" s="286">
        <v>0.17</v>
      </c>
      <c r="I107" s="287">
        <v>0.13</v>
      </c>
      <c r="J107" s="286">
        <v>0.04</v>
      </c>
      <c r="K107" s="286">
        <v>0.105</v>
      </c>
      <c r="L107" s="286">
        <v>0.48</v>
      </c>
      <c r="M107" s="285">
        <v>-0.22</v>
      </c>
      <c r="N107" s="286">
        <v>0.25</v>
      </c>
      <c r="O107" s="287">
        <v>-0.23</v>
      </c>
      <c r="P107" s="299">
        <v>-0.25</v>
      </c>
      <c r="Q107" s="215">
        <v>0.255</v>
      </c>
      <c r="R107" s="291">
        <v>0.24249999999999999</v>
      </c>
      <c r="S107" s="194">
        <v>0.24249999999999999</v>
      </c>
      <c r="T107" s="107">
        <v>0.4</v>
      </c>
      <c r="U107" s="308">
        <v>0.24249999999999999</v>
      </c>
      <c r="V107" s="61">
        <v>2.9320000000000004</v>
      </c>
      <c r="W107" s="61">
        <v>3.0296815003798359</v>
      </c>
      <c r="X107" s="197">
        <v>3.0017725002713118</v>
      </c>
      <c r="Y107" s="62"/>
      <c r="Z107" s="281">
        <v>0.14000000000000001</v>
      </c>
      <c r="AA107" s="296">
        <v>0.1</v>
      </c>
      <c r="AB107" s="301">
        <v>4.2022286554142028</v>
      </c>
      <c r="AC107" s="145">
        <v>4.3422286554142024</v>
      </c>
      <c r="AD107" s="197">
        <v>4.3022286554142024</v>
      </c>
      <c r="AE107" s="238">
        <v>3.2320000000000002</v>
      </c>
      <c r="AF107" s="133">
        <v>3.262</v>
      </c>
      <c r="AG107" s="202">
        <v>3.2520000000000002</v>
      </c>
      <c r="AH107" s="242">
        <v>-0.1</v>
      </c>
      <c r="AI107" s="283">
        <v>1.5121372974988698</v>
      </c>
      <c r="AJ107" s="88">
        <v>5.7478460395517003E-2</v>
      </c>
      <c r="AK107" s="88">
        <v>5.8051915492388396E-2</v>
      </c>
      <c r="AL107" s="90">
        <v>0.72149303713541124</v>
      </c>
      <c r="AM107" s="204">
        <v>0.71918031070414812</v>
      </c>
      <c r="AN107" s="184">
        <v>0.13500000000000001</v>
      </c>
      <c r="AO107" s="205">
        <v>0.124</v>
      </c>
      <c r="AP107" s="72"/>
      <c r="AQ107" s="184">
        <v>-3.4422566637471101</v>
      </c>
      <c r="AR107" s="206">
        <v>-2.8922566637471103</v>
      </c>
      <c r="AS107" s="72"/>
      <c r="AT107" s="273">
        <v>7.4999999999999997E-3</v>
      </c>
      <c r="AU107" s="72"/>
      <c r="AV107" s="184">
        <v>2.5000000000000001E-3</v>
      </c>
      <c r="AW107" s="244"/>
      <c r="AX107" s="90">
        <v>-0.105</v>
      </c>
      <c r="AY107" s="90"/>
      <c r="AZ107" s="302">
        <v>0.4</v>
      </c>
      <c r="BA107" s="302">
        <v>0.4</v>
      </c>
      <c r="BB107" s="252">
        <v>-0.55000000000000004</v>
      </c>
      <c r="BC107" s="247"/>
      <c r="BD107" s="90"/>
      <c r="BE107" s="72"/>
      <c r="BF107" s="151"/>
      <c r="BG107" s="72"/>
      <c r="BH107" s="125"/>
      <c r="BI107" s="125"/>
      <c r="BJ107" s="72"/>
      <c r="BK107" s="151"/>
      <c r="BL107" s="72"/>
      <c r="BM107" s="72"/>
      <c r="BN107" s="90"/>
      <c r="BO107" s="90"/>
      <c r="BP107" s="125"/>
      <c r="BQ107" s="72"/>
      <c r="BR107" s="125"/>
      <c r="BS107" s="72"/>
      <c r="BT107" s="72"/>
      <c r="BU107" s="72"/>
      <c r="BV107" s="72"/>
      <c r="BW107" s="72"/>
      <c r="BX107" s="72"/>
      <c r="BY107" s="72"/>
      <c r="BZ107" s="72"/>
      <c r="CA107" s="72"/>
      <c r="CB107" s="72"/>
      <c r="CC107" s="72"/>
      <c r="CD107" s="72"/>
      <c r="CE107" s="72"/>
      <c r="CF107" s="72"/>
      <c r="CG107" s="72"/>
    </row>
    <row r="108" spans="1:85" x14ac:dyDescent="0.2">
      <c r="A108" s="354">
        <v>39203</v>
      </c>
      <c r="B108" s="277">
        <v>3.472</v>
      </c>
      <c r="C108" s="303">
        <v>-0.55000000000000004</v>
      </c>
      <c r="D108" s="188">
        <v>-0.45229039349933631</v>
      </c>
      <c r="E108" s="188">
        <v>-0.48020742392809757</v>
      </c>
      <c r="F108" s="285">
        <v>0.13500000000000001</v>
      </c>
      <c r="G108" s="286">
        <v>0.13500000000000001</v>
      </c>
      <c r="H108" s="286">
        <v>0.17</v>
      </c>
      <c r="I108" s="287">
        <v>0.13</v>
      </c>
      <c r="J108" s="286">
        <v>0.04</v>
      </c>
      <c r="K108" s="286">
        <v>0.105</v>
      </c>
      <c r="L108" s="286">
        <v>0.42</v>
      </c>
      <c r="M108" s="285">
        <v>-0.27</v>
      </c>
      <c r="N108" s="286">
        <v>0.25</v>
      </c>
      <c r="O108" s="287">
        <v>-0.23</v>
      </c>
      <c r="P108" s="239">
        <v>-0.25</v>
      </c>
      <c r="Q108" s="215">
        <v>0.255</v>
      </c>
      <c r="R108" s="291">
        <v>0.24249999999999999</v>
      </c>
      <c r="S108" s="194">
        <v>0.24249999999999999</v>
      </c>
      <c r="T108" s="107">
        <v>0.45</v>
      </c>
      <c r="U108" s="308">
        <v>0.24249999999999999</v>
      </c>
      <c r="V108" s="61">
        <v>2.9219999999999997</v>
      </c>
      <c r="W108" s="61">
        <v>3.0197096065006637</v>
      </c>
      <c r="X108" s="197">
        <v>2.9917925760719024</v>
      </c>
      <c r="Y108" s="62"/>
      <c r="Z108" s="281">
        <v>0.14000000000000001</v>
      </c>
      <c r="AA108" s="296">
        <v>0.1</v>
      </c>
      <c r="AB108" s="301">
        <v>4.1866917148747405</v>
      </c>
      <c r="AC108" s="145">
        <v>4.3266917148747401</v>
      </c>
      <c r="AD108" s="197">
        <v>4.2866917148747401</v>
      </c>
      <c r="AE108" s="238">
        <v>3.222</v>
      </c>
      <c r="AF108" s="133">
        <v>3.202</v>
      </c>
      <c r="AG108" s="202">
        <v>3.242</v>
      </c>
      <c r="AH108" s="242">
        <v>-0.1</v>
      </c>
      <c r="AI108" s="283">
        <v>1.51170233194007</v>
      </c>
      <c r="AJ108" s="88">
        <v>5.7552536869415402E-2</v>
      </c>
      <c r="AK108" s="88">
        <v>5.8168621462168203E-2</v>
      </c>
      <c r="AL108" s="90">
        <v>0.71784062395464032</v>
      </c>
      <c r="AM108" s="204">
        <v>0.71533378061538644</v>
      </c>
      <c r="AN108" s="184">
        <v>0.13500000000000001</v>
      </c>
      <c r="AO108" s="205">
        <v>0.12</v>
      </c>
      <c r="AP108" s="72"/>
      <c r="AQ108" s="184">
        <v>-3.4322365963379484</v>
      </c>
      <c r="AR108" s="206">
        <v>-2.8822365963379486</v>
      </c>
      <c r="AS108" s="72"/>
      <c r="AT108" s="273">
        <v>7.4999999999999997E-3</v>
      </c>
      <c r="AU108" s="72"/>
      <c r="AV108" s="184">
        <v>2.5000000000000001E-3</v>
      </c>
      <c r="AW108" s="244"/>
      <c r="AX108" s="90">
        <v>-0.105</v>
      </c>
      <c r="AY108" s="90"/>
      <c r="AZ108" s="302">
        <v>0.45</v>
      </c>
      <c r="BA108" s="302">
        <v>0.45</v>
      </c>
      <c r="BB108" s="252">
        <v>-0.55000000000000004</v>
      </c>
      <c r="BC108" s="247"/>
      <c r="BD108" s="90"/>
      <c r="BE108" s="72"/>
      <c r="BF108" s="151"/>
      <c r="BG108" s="72"/>
      <c r="BH108" s="125"/>
      <c r="BI108" s="125"/>
      <c r="BJ108" s="72"/>
      <c r="BK108" s="151"/>
      <c r="BL108" s="72"/>
      <c r="BM108" s="72"/>
      <c r="BN108" s="90"/>
      <c r="BO108" s="90"/>
      <c r="BP108" s="125"/>
      <c r="BQ108" s="72"/>
      <c r="BR108" s="125"/>
      <c r="BS108" s="72"/>
      <c r="BT108" s="72"/>
      <c r="BU108" s="72"/>
      <c r="BV108" s="72"/>
      <c r="BW108" s="72"/>
      <c r="BX108" s="72"/>
      <c r="BY108" s="72"/>
      <c r="BZ108" s="72"/>
      <c r="CA108" s="72"/>
      <c r="CB108" s="72"/>
      <c r="CC108" s="72"/>
      <c r="CD108" s="72"/>
      <c r="CE108" s="72"/>
      <c r="CF108" s="72"/>
      <c r="CG108" s="72"/>
    </row>
    <row r="109" spans="1:85" x14ac:dyDescent="0.2">
      <c r="A109" s="354">
        <v>39234</v>
      </c>
      <c r="B109" s="277">
        <v>3.508</v>
      </c>
      <c r="C109" s="303">
        <v>-0.55000000000000004</v>
      </c>
      <c r="D109" s="188">
        <v>-0.45226064595111648</v>
      </c>
      <c r="E109" s="188">
        <v>-0.48018617567936905</v>
      </c>
      <c r="F109" s="285">
        <v>0.13500000000000001</v>
      </c>
      <c r="G109" s="286">
        <v>0.13500000000000001</v>
      </c>
      <c r="H109" s="286">
        <v>0.17</v>
      </c>
      <c r="I109" s="287">
        <v>0.13</v>
      </c>
      <c r="J109" s="286">
        <v>0.04</v>
      </c>
      <c r="K109" s="286">
        <v>0.105</v>
      </c>
      <c r="L109" s="286">
        <v>0.42</v>
      </c>
      <c r="M109" s="285">
        <v>-0.27</v>
      </c>
      <c r="N109" s="286">
        <v>0.25</v>
      </c>
      <c r="O109" s="287">
        <v>-0.23</v>
      </c>
      <c r="P109" s="239">
        <v>-0.25</v>
      </c>
      <c r="Q109" s="215">
        <v>0.245</v>
      </c>
      <c r="R109" s="291">
        <v>0.23250000000000001</v>
      </c>
      <c r="S109" s="194">
        <v>0.23250000000000001</v>
      </c>
      <c r="T109" s="107">
        <v>0.45</v>
      </c>
      <c r="U109" s="308">
        <v>0.23250000000000001</v>
      </c>
      <c r="V109" s="61">
        <v>2.9580000000000002</v>
      </c>
      <c r="W109" s="61">
        <v>3.0557393540488835</v>
      </c>
      <c r="X109" s="197">
        <v>3.027813824320631</v>
      </c>
      <c r="Y109" s="304" t="s">
        <v>259</v>
      </c>
      <c r="Z109" s="281">
        <v>0.14000000000000001</v>
      </c>
      <c r="AA109" s="296">
        <v>0.1</v>
      </c>
      <c r="AB109" s="301">
        <v>4.2369831889095604</v>
      </c>
      <c r="AC109" s="145">
        <v>4.3769831889095601</v>
      </c>
      <c r="AD109" s="197">
        <v>4.33698318890956</v>
      </c>
      <c r="AE109" s="238">
        <v>3.258</v>
      </c>
      <c r="AF109" s="133">
        <v>3.238</v>
      </c>
      <c r="AG109" s="202">
        <v>3.278</v>
      </c>
      <c r="AH109" s="242">
        <v>-0.1</v>
      </c>
      <c r="AI109" s="283">
        <v>1.5112422364294</v>
      </c>
      <c r="AJ109" s="88">
        <v>5.7629082561028597E-2</v>
      </c>
      <c r="AK109" s="88">
        <v>5.8289217635698998E-2</v>
      </c>
      <c r="AL109" s="90">
        <v>0.71407702495092584</v>
      </c>
      <c r="AM109" s="204">
        <v>0.71136675027665364</v>
      </c>
      <c r="AN109" s="184">
        <v>0.13500000000000001</v>
      </c>
      <c r="AO109" s="205">
        <v>0.124</v>
      </c>
      <c r="AP109" s="72"/>
      <c r="AQ109" s="184">
        <v>-3.4682153569707177</v>
      </c>
      <c r="AR109" s="206">
        <v>-2.9182153569707179</v>
      </c>
      <c r="AS109" s="72"/>
      <c r="AT109" s="273">
        <v>7.4999999999999997E-3</v>
      </c>
      <c r="AU109" s="72"/>
      <c r="AV109" s="184">
        <v>2.5000000000000001E-3</v>
      </c>
      <c r="AW109" s="244"/>
      <c r="AX109" s="90">
        <v>-0.105</v>
      </c>
      <c r="AY109" s="90"/>
      <c r="AZ109" s="302">
        <v>0.45</v>
      </c>
      <c r="BA109" s="302">
        <v>0.45</v>
      </c>
      <c r="BB109" s="252">
        <v>-0.55000000000000004</v>
      </c>
      <c r="BC109" s="247"/>
      <c r="BD109" s="90"/>
      <c r="BE109" s="72"/>
      <c r="BF109" s="151"/>
      <c r="BG109" s="72"/>
      <c r="BH109" s="125"/>
      <c r="BI109" s="125"/>
      <c r="BJ109" s="72"/>
      <c r="BK109" s="151"/>
      <c r="BL109" s="72"/>
      <c r="BM109" s="72"/>
      <c r="BN109" s="90"/>
      <c r="BO109" s="90"/>
      <c r="BP109" s="125"/>
      <c r="BQ109" s="72"/>
      <c r="BR109" s="125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2"/>
      <c r="CE109" s="72"/>
      <c r="CF109" s="72"/>
      <c r="CG109" s="72"/>
    </row>
    <row r="110" spans="1:85" x14ac:dyDescent="0.2">
      <c r="A110" s="354">
        <v>39264</v>
      </c>
      <c r="B110" s="277">
        <v>3.55</v>
      </c>
      <c r="C110" s="303">
        <v>-0.55000000000000004</v>
      </c>
      <c r="D110" s="188">
        <v>-0.45223117566243021</v>
      </c>
      <c r="E110" s="188">
        <v>-0.48016512547316426</v>
      </c>
      <c r="F110" s="285">
        <v>0.13500000000000001</v>
      </c>
      <c r="G110" s="286">
        <v>0.13500000000000001</v>
      </c>
      <c r="H110" s="286">
        <v>0.17</v>
      </c>
      <c r="I110" s="287">
        <v>0.13</v>
      </c>
      <c r="J110" s="286">
        <v>0.04</v>
      </c>
      <c r="K110" s="286">
        <v>0.105</v>
      </c>
      <c r="L110" s="286">
        <v>0.48</v>
      </c>
      <c r="M110" s="285">
        <v>-0.27</v>
      </c>
      <c r="N110" s="286">
        <v>0.25</v>
      </c>
      <c r="O110" s="287">
        <v>-0.23</v>
      </c>
      <c r="P110" s="239">
        <v>-0.25</v>
      </c>
      <c r="Q110" s="215">
        <v>0.245</v>
      </c>
      <c r="R110" s="291">
        <v>0.23250000000000001</v>
      </c>
      <c r="S110" s="194">
        <v>0.23250000000000001</v>
      </c>
      <c r="T110" s="107">
        <v>0.5</v>
      </c>
      <c r="U110" s="308">
        <v>0.23250000000000001</v>
      </c>
      <c r="V110" s="61">
        <v>3</v>
      </c>
      <c r="W110" s="61">
        <v>3.0977688243375696</v>
      </c>
      <c r="X110" s="197">
        <v>3.0698348745268356</v>
      </c>
      <c r="Y110" s="236">
        <v>4.4860693343883264</v>
      </c>
      <c r="Z110" s="281">
        <v>0.14000000000000001</v>
      </c>
      <c r="AA110" s="296">
        <v>0.1</v>
      </c>
      <c r="AB110" s="301">
        <v>4.2958479131328193</v>
      </c>
      <c r="AC110" s="145">
        <v>4.435847913132819</v>
      </c>
      <c r="AD110" s="197">
        <v>4.395847913132819</v>
      </c>
      <c r="AE110" s="238">
        <v>3.3</v>
      </c>
      <c r="AF110" s="133">
        <v>3.28</v>
      </c>
      <c r="AG110" s="202">
        <v>3.32</v>
      </c>
      <c r="AH110" s="242">
        <v>-0.1</v>
      </c>
      <c r="AI110" s="283">
        <v>1.5107867052794199</v>
      </c>
      <c r="AJ110" s="88">
        <v>5.7703159038638804E-2</v>
      </c>
      <c r="AK110" s="88">
        <v>5.8405923614688299E-2</v>
      </c>
      <c r="AL110" s="90">
        <v>0.71044508922198291</v>
      </c>
      <c r="AM110" s="204">
        <v>0.70753526409203849</v>
      </c>
      <c r="AN110" s="184">
        <v>0.13500000000000001</v>
      </c>
      <c r="AO110" s="205">
        <v>0.12</v>
      </c>
      <c r="AP110" s="72"/>
      <c r="AQ110" s="184">
        <v>-3.5101943155632318</v>
      </c>
      <c r="AR110" s="206">
        <v>-2.960194315563232</v>
      </c>
      <c r="AS110" s="72"/>
      <c r="AT110" s="273">
        <v>7.4999999999999997E-3</v>
      </c>
      <c r="AU110" s="72"/>
      <c r="AV110" s="184">
        <v>2.5000000000000001E-3</v>
      </c>
      <c r="AW110" s="244"/>
      <c r="AX110" s="90">
        <v>-0.105</v>
      </c>
      <c r="AY110" s="90"/>
      <c r="AZ110" s="302">
        <v>0.5</v>
      </c>
      <c r="BA110" s="302">
        <v>0.5</v>
      </c>
      <c r="BB110" s="252">
        <v>-0.55000000000000004</v>
      </c>
      <c r="BC110" s="247"/>
      <c r="BD110" s="90"/>
      <c r="BE110" s="72"/>
      <c r="BF110" s="151"/>
      <c r="BG110" s="72"/>
      <c r="BH110" s="125"/>
      <c r="BI110" s="125"/>
      <c r="BJ110" s="72"/>
      <c r="BK110" s="151"/>
      <c r="BL110" s="72"/>
      <c r="BM110" s="72"/>
      <c r="BN110" s="90"/>
      <c r="BO110" s="90"/>
      <c r="BP110" s="125"/>
      <c r="BQ110" s="72"/>
      <c r="BR110" s="125"/>
      <c r="BS110" s="72"/>
      <c r="BT110" s="72"/>
      <c r="BU110" s="72"/>
      <c r="BV110" s="72"/>
      <c r="BW110" s="72"/>
      <c r="BX110" s="72"/>
      <c r="BY110" s="72"/>
      <c r="BZ110" s="72"/>
      <c r="CA110" s="72"/>
      <c r="CB110" s="72"/>
      <c r="CC110" s="72"/>
      <c r="CD110" s="72"/>
      <c r="CE110" s="72"/>
      <c r="CF110" s="72"/>
      <c r="CG110" s="72"/>
    </row>
    <row r="111" spans="1:85" x14ac:dyDescent="0.2">
      <c r="A111" s="354">
        <v>39295</v>
      </c>
      <c r="B111" s="277">
        <v>3.5990000000000002</v>
      </c>
      <c r="C111" s="303">
        <v>-0.55000000000000004</v>
      </c>
      <c r="D111" s="188">
        <v>-0.45220001739986193</v>
      </c>
      <c r="E111" s="188">
        <v>-0.4801428695713299</v>
      </c>
      <c r="F111" s="285">
        <v>0.13500000000000001</v>
      </c>
      <c r="G111" s="286">
        <v>0.13500000000000001</v>
      </c>
      <c r="H111" s="286">
        <v>0.17</v>
      </c>
      <c r="I111" s="287">
        <v>0.13</v>
      </c>
      <c r="J111" s="286">
        <v>0.04</v>
      </c>
      <c r="K111" s="286">
        <v>0.105</v>
      </c>
      <c r="L111" s="286">
        <v>0.48</v>
      </c>
      <c r="M111" s="285">
        <v>-0.27</v>
      </c>
      <c r="N111" s="286">
        <v>0.25</v>
      </c>
      <c r="O111" s="287">
        <v>-0.23</v>
      </c>
      <c r="P111" s="239">
        <v>-0.25</v>
      </c>
      <c r="Q111" s="215">
        <v>0.245</v>
      </c>
      <c r="R111" s="291">
        <v>0.23250000000000001</v>
      </c>
      <c r="S111" s="194">
        <v>0.23250000000000001</v>
      </c>
      <c r="T111" s="107">
        <v>0.55000000000000004</v>
      </c>
      <c r="U111" s="308">
        <v>0.23250000000000001</v>
      </c>
      <c r="V111" s="61">
        <v>3.0490000000000004</v>
      </c>
      <c r="W111" s="61">
        <v>3.1467999826001383</v>
      </c>
      <c r="X111" s="197">
        <v>3.1188571304286703</v>
      </c>
      <c r="Y111" s="236">
        <v>4.840608133074773</v>
      </c>
      <c r="Z111" s="281">
        <v>0.14000000000000001</v>
      </c>
      <c r="AA111" s="296">
        <v>0.1</v>
      </c>
      <c r="AB111" s="301">
        <v>4.3646224534133644</v>
      </c>
      <c r="AC111" s="145">
        <v>4.5046224534133641</v>
      </c>
      <c r="AD111" s="197">
        <v>4.4646224534133641</v>
      </c>
      <c r="AE111" s="238">
        <v>3.3490000000000002</v>
      </c>
      <c r="AF111" s="133">
        <v>3.3290000000000002</v>
      </c>
      <c r="AG111" s="202">
        <v>3.3690000000000002</v>
      </c>
      <c r="AH111" s="242">
        <v>-0.1</v>
      </c>
      <c r="AI111" s="283">
        <v>1.51030538117694</v>
      </c>
      <c r="AJ111" s="88">
        <v>5.7779704734087604E-2</v>
      </c>
      <c r="AK111" s="88">
        <v>5.8526519797735203E-2</v>
      </c>
      <c r="AL111" s="90">
        <v>0.70670272500575004</v>
      </c>
      <c r="AM111" s="204">
        <v>0.70358400030889268</v>
      </c>
      <c r="AN111" s="184">
        <v>0.13500000000000001</v>
      </c>
      <c r="AO111" s="205">
        <v>0.12</v>
      </c>
      <c r="AP111" s="72"/>
      <c r="AQ111" s="184">
        <v>-3.5591720689640813</v>
      </c>
      <c r="AR111" s="206">
        <v>-3.0091720689640811</v>
      </c>
      <c r="AS111" s="72"/>
      <c r="AT111" s="273">
        <v>7.4999999999999997E-3</v>
      </c>
      <c r="AU111" s="72"/>
      <c r="AV111" s="184">
        <v>2.5000000000000001E-3</v>
      </c>
      <c r="AW111" s="244"/>
      <c r="AX111" s="90">
        <v>-0.105</v>
      </c>
      <c r="AY111" s="90"/>
      <c r="AZ111" s="302">
        <v>0.55000000000000004</v>
      </c>
      <c r="BA111" s="302">
        <v>0.55000000000000004</v>
      </c>
      <c r="BB111" s="252">
        <v>-0.55000000000000004</v>
      </c>
      <c r="BC111" s="247"/>
      <c r="BD111" s="90"/>
      <c r="BE111" s="72"/>
      <c r="BF111" s="151"/>
      <c r="BG111" s="72"/>
      <c r="BH111" s="125"/>
      <c r="BI111" s="125"/>
      <c r="BJ111" s="72"/>
      <c r="BK111" s="151"/>
      <c r="BL111" s="72"/>
      <c r="BM111" s="72"/>
      <c r="BN111" s="90"/>
      <c r="BO111" s="90"/>
      <c r="BP111" s="125"/>
      <c r="BQ111" s="72"/>
      <c r="BR111" s="125"/>
      <c r="BS111" s="72"/>
      <c r="BT111" s="72"/>
      <c r="BU111" s="72"/>
      <c r="BV111" s="72"/>
      <c r="BW111" s="72"/>
      <c r="BX111" s="72"/>
      <c r="BY111" s="72"/>
      <c r="BZ111" s="72"/>
      <c r="CA111" s="72"/>
      <c r="CB111" s="72"/>
      <c r="CC111" s="72"/>
      <c r="CD111" s="72"/>
      <c r="CE111" s="72"/>
      <c r="CF111" s="72"/>
      <c r="CG111" s="72"/>
    </row>
    <row r="112" spans="1:85" x14ac:dyDescent="0.2">
      <c r="A112" s="354">
        <v>39326</v>
      </c>
      <c r="B112" s="277">
        <v>3.6140000000000003</v>
      </c>
      <c r="C112" s="303">
        <v>-0.55000000000000004</v>
      </c>
      <c r="D112" s="188">
        <v>-0.45216814136678662</v>
      </c>
      <c r="E112" s="188">
        <v>-0.48012010097627655</v>
      </c>
      <c r="F112" s="285">
        <v>0.13500000000000001</v>
      </c>
      <c r="G112" s="286">
        <v>0.13500000000000001</v>
      </c>
      <c r="H112" s="286">
        <v>0.17</v>
      </c>
      <c r="I112" s="287">
        <v>0.13</v>
      </c>
      <c r="J112" s="286">
        <v>0.04</v>
      </c>
      <c r="K112" s="286">
        <v>0.105</v>
      </c>
      <c r="L112" s="286">
        <v>0.44</v>
      </c>
      <c r="M112" s="285">
        <v>-0.27</v>
      </c>
      <c r="N112" s="286">
        <v>0.25</v>
      </c>
      <c r="O112" s="287">
        <v>-0.23</v>
      </c>
      <c r="P112" s="239">
        <v>-0.25</v>
      </c>
      <c r="Q112" s="215">
        <v>0.245</v>
      </c>
      <c r="R112" s="291">
        <v>0.23250000000000001</v>
      </c>
      <c r="S112" s="194">
        <v>0.23250000000000001</v>
      </c>
      <c r="T112" s="107">
        <v>0.55000000000000004</v>
      </c>
      <c r="U112" s="308">
        <v>0.23250000000000001</v>
      </c>
      <c r="V112" s="61">
        <v>3.0640000000000001</v>
      </c>
      <c r="W112" s="61">
        <v>3.1618318586332137</v>
      </c>
      <c r="X112" s="197">
        <v>3.1338798990237238</v>
      </c>
      <c r="Y112" s="236">
        <v>4.2328273353265775</v>
      </c>
      <c r="Z112" s="281">
        <v>0.14000000000000001</v>
      </c>
      <c r="AA112" s="296">
        <v>0.1</v>
      </c>
      <c r="AB112" s="301">
        <v>4.3846657519636381</v>
      </c>
      <c r="AC112" s="145">
        <v>4.5246657519636377</v>
      </c>
      <c r="AD112" s="197">
        <v>4.4846657519636377</v>
      </c>
      <c r="AE112" s="238">
        <v>3.3640000000000003</v>
      </c>
      <c r="AF112" s="133">
        <v>3.3440000000000003</v>
      </c>
      <c r="AG112" s="202">
        <v>3.3840000000000003</v>
      </c>
      <c r="AH112" s="242">
        <v>-0.1</v>
      </c>
      <c r="AI112" s="283">
        <v>1.5098132864241998</v>
      </c>
      <c r="AJ112" s="88">
        <v>5.7856250431484596E-2</v>
      </c>
      <c r="AK112" s="88">
        <v>5.8647115985617705E-2</v>
      </c>
      <c r="AL112" s="90">
        <v>0.70297120847968608</v>
      </c>
      <c r="AM112" s="204">
        <v>0.69964091663566785</v>
      </c>
      <c r="AN112" s="184">
        <v>0.13500000000000001</v>
      </c>
      <c r="AO112" s="205">
        <v>0.124</v>
      </c>
      <c r="AP112" s="72"/>
      <c r="AQ112" s="184">
        <v>-3.5741493098860113</v>
      </c>
      <c r="AR112" s="206">
        <v>-3.0241493098860115</v>
      </c>
      <c r="AS112" s="72"/>
      <c r="AT112" s="273">
        <v>7.4999999999999997E-3</v>
      </c>
      <c r="AU112" s="72"/>
      <c r="AV112" s="184">
        <v>2.5000000000000001E-3</v>
      </c>
      <c r="AW112" s="244"/>
      <c r="AX112" s="90">
        <v>-0.105</v>
      </c>
      <c r="AY112" s="90"/>
      <c r="AZ112" s="302">
        <v>0.55000000000000004</v>
      </c>
      <c r="BA112" s="302">
        <v>0.55000000000000004</v>
      </c>
      <c r="BB112" s="252">
        <v>-0.55000000000000004</v>
      </c>
      <c r="BC112" s="247"/>
      <c r="BD112" s="90"/>
      <c r="BE112" s="72"/>
      <c r="BF112" s="151"/>
      <c r="BG112" s="72"/>
      <c r="BH112" s="125"/>
      <c r="BI112" s="125"/>
      <c r="BJ112" s="72"/>
      <c r="BK112" s="151"/>
      <c r="BL112" s="72"/>
      <c r="BM112" s="72"/>
      <c r="BN112" s="90"/>
      <c r="BO112" s="90"/>
      <c r="BP112" s="125"/>
      <c r="BQ112" s="72"/>
      <c r="BR112" s="125"/>
      <c r="BS112" s="72"/>
      <c r="BT112" s="72"/>
      <c r="BU112" s="72"/>
      <c r="BV112" s="72"/>
      <c r="BW112" s="72"/>
      <c r="BX112" s="72"/>
      <c r="BY112" s="72"/>
      <c r="BZ112" s="72"/>
      <c r="CA112" s="72"/>
      <c r="CB112" s="72"/>
      <c r="CC112" s="72"/>
      <c r="CD112" s="72"/>
      <c r="CE112" s="72"/>
      <c r="CF112" s="72"/>
      <c r="CG112" s="72"/>
    </row>
    <row r="113" spans="1:85" x14ac:dyDescent="0.2">
      <c r="A113" s="354">
        <v>39356</v>
      </c>
      <c r="B113" s="277">
        <v>3.6430000000000002</v>
      </c>
      <c r="C113" s="303">
        <v>-0.55000000000000004</v>
      </c>
      <c r="D113" s="188">
        <v>-0.45213660962069113</v>
      </c>
      <c r="E113" s="188">
        <v>-0.48009757830049438</v>
      </c>
      <c r="F113" s="285">
        <v>0.13500000000000001</v>
      </c>
      <c r="G113" s="286">
        <v>0.13500000000000001</v>
      </c>
      <c r="H113" s="286">
        <v>0.17</v>
      </c>
      <c r="I113" s="287">
        <v>0.13</v>
      </c>
      <c r="J113" s="286">
        <v>0.04</v>
      </c>
      <c r="K113" s="286">
        <v>0.105</v>
      </c>
      <c r="L113" s="286">
        <v>0.45</v>
      </c>
      <c r="M113" s="285">
        <v>-0.27</v>
      </c>
      <c r="N113" s="286">
        <v>0.25</v>
      </c>
      <c r="O113" s="287">
        <v>-0.23</v>
      </c>
      <c r="P113" s="239">
        <v>-0.25</v>
      </c>
      <c r="Q113" s="215">
        <v>0.245</v>
      </c>
      <c r="R113" s="291">
        <v>0.23250000000000001</v>
      </c>
      <c r="S113" s="194">
        <v>0.23250000000000001</v>
      </c>
      <c r="T113" s="107">
        <v>0.6</v>
      </c>
      <c r="U113" s="308">
        <v>0.23250000000000001</v>
      </c>
      <c r="V113" s="61">
        <v>3.093</v>
      </c>
      <c r="W113" s="61">
        <v>3.1908633903793091</v>
      </c>
      <c r="X113" s="197">
        <v>3.1629024216995059</v>
      </c>
      <c r="Y113" s="116" t="s">
        <v>252</v>
      </c>
      <c r="Z113" s="281">
        <v>0.14000000000000001</v>
      </c>
      <c r="AA113" s="296">
        <v>0.1</v>
      </c>
      <c r="AB113" s="301">
        <v>4.4247394078792519</v>
      </c>
      <c r="AC113" s="145">
        <v>4.5647394078792516</v>
      </c>
      <c r="AD113" s="197">
        <v>4.5247394078792516</v>
      </c>
      <c r="AE113" s="238">
        <v>3.3930000000000002</v>
      </c>
      <c r="AF113" s="133">
        <v>3.3730000000000002</v>
      </c>
      <c r="AG113" s="202">
        <v>3.4130000000000003</v>
      </c>
      <c r="AH113" s="242">
        <v>-0.1</v>
      </c>
      <c r="AI113" s="283">
        <v>1.50932682208841</v>
      </c>
      <c r="AJ113" s="88">
        <v>5.7930326914692E-2</v>
      </c>
      <c r="AK113" s="88">
        <v>5.8763821978494904E-2</v>
      </c>
      <c r="AL113" s="90">
        <v>0.69937042683627748</v>
      </c>
      <c r="AM113" s="204">
        <v>0.69583292274186703</v>
      </c>
      <c r="AN113" s="184">
        <v>0.13500000000000001</v>
      </c>
      <c r="AO113" s="205">
        <v>0.12</v>
      </c>
      <c r="AP113" s="72"/>
      <c r="AQ113" s="184">
        <v>-3.6031267966244207</v>
      </c>
      <c r="AR113" s="206">
        <v>-3.0531267966244204</v>
      </c>
      <c r="AS113" s="72"/>
      <c r="AT113" s="273">
        <v>7.4999999999999997E-3</v>
      </c>
      <c r="AU113" s="72"/>
      <c r="AV113" s="184">
        <v>2.5000000000000001E-3</v>
      </c>
      <c r="AW113" s="244"/>
      <c r="AX113" s="90">
        <v>-0.105</v>
      </c>
      <c r="AY113" s="90"/>
      <c r="AZ113" s="302">
        <v>0.6</v>
      </c>
      <c r="BA113" s="302">
        <v>0.6</v>
      </c>
      <c r="BB113" s="252">
        <v>-0.55000000000000004</v>
      </c>
      <c r="BC113" s="247"/>
      <c r="BD113" s="90"/>
      <c r="BE113" s="72"/>
      <c r="BF113" s="151"/>
      <c r="BG113" s="72"/>
      <c r="BH113" s="125"/>
      <c r="BI113" s="125"/>
      <c r="BJ113" s="72"/>
      <c r="BK113" s="151"/>
      <c r="BL113" s="72"/>
      <c r="BM113" s="72"/>
      <c r="BN113" s="90"/>
      <c r="BO113" s="90"/>
      <c r="BP113" s="125"/>
      <c r="BQ113" s="72"/>
      <c r="BR113" s="125"/>
      <c r="BS113" s="72"/>
      <c r="BT113" s="72"/>
      <c r="BU113" s="72"/>
      <c r="BV113" s="72"/>
      <c r="BW113" s="72"/>
      <c r="BX113" s="72"/>
      <c r="BY113" s="72"/>
      <c r="BZ113" s="72"/>
      <c r="CA113" s="72"/>
      <c r="CB113" s="72"/>
      <c r="CC113" s="72"/>
      <c r="CD113" s="72"/>
      <c r="CE113" s="72"/>
      <c r="CF113" s="72"/>
      <c r="CG113" s="72"/>
    </row>
    <row r="114" spans="1:85" x14ac:dyDescent="0.2">
      <c r="A114" s="353">
        <v>39387</v>
      </c>
      <c r="B114" s="277">
        <v>3.7830000000000004</v>
      </c>
      <c r="C114" s="284">
        <v>-0.48499999999999999</v>
      </c>
      <c r="D114" s="188">
        <v>-0.39409593949145982</v>
      </c>
      <c r="E114" s="188">
        <v>-0.11</v>
      </c>
      <c r="F114" s="285">
        <v>0.23</v>
      </c>
      <c r="G114" s="286">
        <v>0.38</v>
      </c>
      <c r="H114" s="286">
        <v>0.38</v>
      </c>
      <c r="I114" s="287">
        <v>0.5</v>
      </c>
      <c r="J114" s="286">
        <v>0.14000000000000001</v>
      </c>
      <c r="K114" s="286">
        <v>0.18</v>
      </c>
      <c r="L114" s="286">
        <v>0.73</v>
      </c>
      <c r="M114" s="285">
        <v>-0.15</v>
      </c>
      <c r="N114" s="286">
        <v>0.25</v>
      </c>
      <c r="O114" s="287">
        <v>0.17</v>
      </c>
      <c r="P114" s="239">
        <v>0.248</v>
      </c>
      <c r="Q114" s="215">
        <v>0.245</v>
      </c>
      <c r="R114" s="291">
        <v>0.23250000000000001</v>
      </c>
      <c r="S114" s="194">
        <v>0.23250000000000001</v>
      </c>
      <c r="T114" s="107">
        <v>0.8</v>
      </c>
      <c r="U114" s="308">
        <v>0.23250000000000001</v>
      </c>
      <c r="V114" s="61">
        <v>3.2980000000000005</v>
      </c>
      <c r="W114" s="61">
        <v>3.3889040605085405</v>
      </c>
      <c r="X114" s="197">
        <v>3.6730000000000005</v>
      </c>
      <c r="Y114" s="236"/>
      <c r="Z114" s="281">
        <v>0.13</v>
      </c>
      <c r="AA114" s="296">
        <v>0.53627967471728422</v>
      </c>
      <c r="AB114" s="301">
        <v>4.7164009792469521</v>
      </c>
      <c r="AC114" s="145">
        <v>4.846400979246952</v>
      </c>
      <c r="AD114" s="197">
        <v>5.2526806539642363</v>
      </c>
      <c r="AE114" s="238">
        <v>4.0310000000000006</v>
      </c>
      <c r="AF114" s="133">
        <v>3.6330000000000005</v>
      </c>
      <c r="AG114" s="202">
        <v>3.9530000000000003</v>
      </c>
      <c r="AH114" s="242">
        <v>-0.1</v>
      </c>
      <c r="AI114" s="283">
        <v>1.50881356930272</v>
      </c>
      <c r="AJ114" s="88">
        <v>5.8006872615924202E-2</v>
      </c>
      <c r="AK114" s="88">
        <v>5.8884418175892496E-2</v>
      </c>
      <c r="AL114" s="90">
        <v>0.69566036347298865</v>
      </c>
      <c r="AM114" s="204">
        <v>0.6919062597456197</v>
      </c>
      <c r="AN114" s="184">
        <v>0.38</v>
      </c>
      <c r="AO114" s="205">
        <v>0.124</v>
      </c>
      <c r="AP114" s="72"/>
      <c r="AQ114" s="184">
        <v>-3.4377608736205896</v>
      </c>
      <c r="AR114" s="206">
        <v>-2.9527608736205897</v>
      </c>
      <c r="AS114" s="72"/>
      <c r="AT114" s="273">
        <v>7.4999999999999997E-3</v>
      </c>
      <c r="AU114" s="72"/>
      <c r="AV114" s="184">
        <v>8.0000000000000002E-3</v>
      </c>
      <c r="AW114" s="244"/>
      <c r="AX114" s="90">
        <v>5.0000000000000001E-3</v>
      </c>
      <c r="AY114" s="90"/>
      <c r="AZ114" s="302">
        <v>0.8</v>
      </c>
      <c r="BA114" s="302">
        <v>0.8</v>
      </c>
      <c r="BB114" s="252">
        <v>-0.48499999999999999</v>
      </c>
      <c r="BC114" s="247"/>
      <c r="BD114" s="90"/>
      <c r="BE114" s="72"/>
      <c r="BF114" s="151"/>
      <c r="BG114" s="72"/>
      <c r="BH114" s="125"/>
      <c r="BI114" s="125"/>
      <c r="BJ114" s="72"/>
      <c r="BK114" s="151"/>
      <c r="BL114" s="72"/>
      <c r="BM114" s="72"/>
      <c r="BN114" s="90"/>
      <c r="BO114" s="90"/>
      <c r="BP114" s="125"/>
      <c r="BQ114" s="72"/>
      <c r="BR114" s="125"/>
      <c r="BS114" s="72"/>
      <c r="BT114" s="72"/>
      <c r="BU114" s="72"/>
      <c r="BV114" s="72"/>
      <c r="BW114" s="72"/>
      <c r="BX114" s="72"/>
      <c r="BY114" s="72"/>
      <c r="BZ114" s="72"/>
      <c r="CA114" s="72"/>
      <c r="CB114" s="72"/>
      <c r="CC114" s="72"/>
      <c r="CD114" s="72"/>
      <c r="CE114" s="72"/>
      <c r="CF114" s="72"/>
      <c r="CG114" s="72"/>
    </row>
    <row r="115" spans="1:85" x14ac:dyDescent="0.2">
      <c r="A115" s="354">
        <v>39417</v>
      </c>
      <c r="B115" s="277">
        <v>3.923</v>
      </c>
      <c r="C115" s="307">
        <v>-0.48499999999999999</v>
      </c>
      <c r="D115" s="188">
        <v>-0.39406538817317838</v>
      </c>
      <c r="E115" s="188">
        <v>-0.11000000000000076</v>
      </c>
      <c r="F115" s="285">
        <v>0.23</v>
      </c>
      <c r="G115" s="286">
        <v>0.38</v>
      </c>
      <c r="H115" s="286">
        <v>0.38</v>
      </c>
      <c r="I115" s="287">
        <v>0.5</v>
      </c>
      <c r="J115" s="286">
        <v>0.14000000000000001</v>
      </c>
      <c r="K115" s="286">
        <v>0.18</v>
      </c>
      <c r="L115" s="286">
        <v>1.1399999999999999</v>
      </c>
      <c r="M115" s="285">
        <v>-0.15</v>
      </c>
      <c r="N115" s="286">
        <v>0.25</v>
      </c>
      <c r="O115" s="287">
        <v>0.17</v>
      </c>
      <c r="P115" s="239">
        <v>0.308</v>
      </c>
      <c r="Q115" s="215">
        <v>0.245</v>
      </c>
      <c r="R115" s="291">
        <v>0.23250000000000001</v>
      </c>
      <c r="S115" s="194">
        <v>0.23250000000000001</v>
      </c>
      <c r="T115" s="107">
        <v>1</v>
      </c>
      <c r="U115" s="308">
        <v>0.23250000000000001</v>
      </c>
      <c r="V115" s="61">
        <v>3.4380000000000002</v>
      </c>
      <c r="W115" s="61">
        <v>3.5289346118268217</v>
      </c>
      <c r="X115" s="197">
        <v>3.8129999999999993</v>
      </c>
      <c r="Y115" s="116" t="s">
        <v>250</v>
      </c>
      <c r="Z115" s="281">
        <v>0.13</v>
      </c>
      <c r="AA115" s="296">
        <v>0.53609950073620816</v>
      </c>
      <c r="AB115" s="301">
        <v>4.9149602227495715</v>
      </c>
      <c r="AC115" s="145">
        <v>5.0449602227495713</v>
      </c>
      <c r="AD115" s="197">
        <v>5.4510597234857796</v>
      </c>
      <c r="AE115" s="238">
        <v>4.2309999999999999</v>
      </c>
      <c r="AF115" s="133">
        <v>3.7730000000000001</v>
      </c>
      <c r="AG115" s="202">
        <v>4.093</v>
      </c>
      <c r="AH115" s="242">
        <v>-0.1</v>
      </c>
      <c r="AI115" s="283">
        <v>1.50830665292998</v>
      </c>
      <c r="AJ115" s="88">
        <v>5.8080949102842408E-2</v>
      </c>
      <c r="AK115" s="88">
        <v>5.9001124177977503E-2</v>
      </c>
      <c r="AL115" s="90">
        <v>0.69208041074253301</v>
      </c>
      <c r="AM115" s="204">
        <v>0.68811436248218649</v>
      </c>
      <c r="AN115" s="184">
        <v>0.38</v>
      </c>
      <c r="AO115" s="205">
        <v>0.12</v>
      </c>
      <c r="AP115" s="72"/>
      <c r="AQ115" s="184">
        <v>-3.5777637590066935</v>
      </c>
      <c r="AR115" s="206">
        <v>-3.0927637590066936</v>
      </c>
      <c r="AS115" s="72"/>
      <c r="AT115" s="273">
        <v>7.4999999999999997E-3</v>
      </c>
      <c r="AU115" s="72"/>
      <c r="AV115" s="184">
        <v>8.0000000000000002E-3</v>
      </c>
      <c r="AW115" s="244"/>
      <c r="AX115" s="90">
        <v>0.01</v>
      </c>
      <c r="AY115" s="90"/>
      <c r="AZ115" s="302">
        <v>1</v>
      </c>
      <c r="BA115" s="302">
        <v>1</v>
      </c>
      <c r="BB115" s="252">
        <v>-0.48499999999999999</v>
      </c>
      <c r="BC115" s="247"/>
      <c r="BD115" s="90"/>
      <c r="BE115" s="72"/>
      <c r="BF115" s="151"/>
      <c r="BG115" s="72"/>
      <c r="BH115" s="125"/>
      <c r="BI115" s="125"/>
      <c r="BJ115" s="72"/>
      <c r="BK115" s="151"/>
      <c r="BL115" s="72"/>
      <c r="BM115" s="72"/>
      <c r="BN115" s="90"/>
      <c r="BO115" s="90"/>
      <c r="BP115" s="125"/>
      <c r="BQ115" s="72"/>
      <c r="BR115" s="125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</row>
    <row r="116" spans="1:85" x14ac:dyDescent="0.2">
      <c r="A116" s="354">
        <v>39448</v>
      </c>
      <c r="B116" s="277">
        <v>4.008</v>
      </c>
      <c r="C116" s="307">
        <v>-0.48499999999999999</v>
      </c>
      <c r="D116" s="188">
        <v>-0.39403316050278114</v>
      </c>
      <c r="E116" s="188">
        <v>-0.11</v>
      </c>
      <c r="F116" s="285">
        <v>0.23</v>
      </c>
      <c r="G116" s="286">
        <v>0.38</v>
      </c>
      <c r="H116" s="286">
        <v>0.38</v>
      </c>
      <c r="I116" s="287">
        <v>0.5</v>
      </c>
      <c r="J116" s="286">
        <v>0.14000000000000001</v>
      </c>
      <c r="K116" s="286">
        <v>0.18</v>
      </c>
      <c r="L116" s="286">
        <v>1.63</v>
      </c>
      <c r="M116" s="285">
        <v>-0.15</v>
      </c>
      <c r="N116" s="286">
        <v>0.25</v>
      </c>
      <c r="O116" s="287">
        <v>0.17</v>
      </c>
      <c r="P116" s="239">
        <v>0.37800000000000006</v>
      </c>
      <c r="Q116" s="215">
        <v>0.245</v>
      </c>
      <c r="R116" s="291">
        <v>0.23250000000000001</v>
      </c>
      <c r="S116" s="194">
        <v>0.23250000000000001</v>
      </c>
      <c r="T116" s="107">
        <v>1</v>
      </c>
      <c r="U116" s="308">
        <v>0.23250000000000001</v>
      </c>
      <c r="V116" s="61">
        <v>3.5230000000000001</v>
      </c>
      <c r="W116" s="61">
        <v>3.6139668394972189</v>
      </c>
      <c r="X116" s="197">
        <v>3.8979999999999997</v>
      </c>
      <c r="Y116" s="236"/>
      <c r="Z116" s="281">
        <v>0.13</v>
      </c>
      <c r="AA116" s="296">
        <v>0.53590957176752507</v>
      </c>
      <c r="AB116" s="301">
        <v>5.0346917902319825</v>
      </c>
      <c r="AC116" s="145">
        <v>5.1646917902319824</v>
      </c>
      <c r="AD116" s="197">
        <v>5.5706013619995076</v>
      </c>
      <c r="AE116" s="238">
        <v>4.3860000000000001</v>
      </c>
      <c r="AF116" s="133">
        <v>3.8580000000000001</v>
      </c>
      <c r="AG116" s="202">
        <v>4.1779999999999999</v>
      </c>
      <c r="AH116" s="242">
        <v>-0.1</v>
      </c>
      <c r="AI116" s="283">
        <v>1.5077722910686899</v>
      </c>
      <c r="AJ116" s="88">
        <v>5.8157494807909299E-2</v>
      </c>
      <c r="AK116" s="88">
        <v>5.9121720384888402E-2</v>
      </c>
      <c r="AL116" s="90">
        <v>0.68839193946354704</v>
      </c>
      <c r="AM116" s="204">
        <v>0.6842045429915421</v>
      </c>
      <c r="AN116" s="184">
        <v>0.38</v>
      </c>
      <c r="AO116" s="205">
        <v>0.12</v>
      </c>
      <c r="AP116" s="72"/>
      <c r="AQ116" s="184">
        <v>-3.6627669696822531</v>
      </c>
      <c r="AR116" s="206">
        <v>-3.1777669696822533</v>
      </c>
      <c r="AS116" s="72"/>
      <c r="AT116" s="273">
        <v>7.4999999999999997E-3</v>
      </c>
      <c r="AU116" s="72"/>
      <c r="AV116" s="184">
        <v>8.0000000000000002E-3</v>
      </c>
      <c r="AW116" s="244"/>
      <c r="AX116" s="90">
        <v>0.03</v>
      </c>
      <c r="AY116" s="90"/>
      <c r="AZ116" s="302">
        <v>1</v>
      </c>
      <c r="BA116" s="302">
        <v>1</v>
      </c>
      <c r="BB116" s="252">
        <v>-0.48499999999999999</v>
      </c>
      <c r="BC116" s="247"/>
      <c r="BD116" s="90"/>
      <c r="BE116" s="72"/>
      <c r="BF116" s="151"/>
      <c r="BG116" s="72"/>
      <c r="BH116" s="125"/>
      <c r="BI116" s="125"/>
      <c r="BJ116" s="72"/>
      <c r="BK116" s="151"/>
      <c r="BL116" s="72"/>
      <c r="BM116" s="72"/>
      <c r="BN116" s="90"/>
      <c r="BO116" s="90"/>
      <c r="BP116" s="125"/>
      <c r="BQ116" s="72"/>
      <c r="BR116" s="125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  <c r="CD116" s="72"/>
      <c r="CE116" s="72"/>
      <c r="CF116" s="72"/>
      <c r="CG116" s="72"/>
    </row>
    <row r="117" spans="1:85" x14ac:dyDescent="0.2">
      <c r="A117" s="354">
        <v>39479</v>
      </c>
      <c r="B117" s="277">
        <v>3.89</v>
      </c>
      <c r="C117" s="307">
        <v>-0.48499999999999999</v>
      </c>
      <c r="D117" s="188">
        <v>-0.39400026346875672</v>
      </c>
      <c r="E117" s="188">
        <v>-0.10999999999999943</v>
      </c>
      <c r="F117" s="285">
        <v>0.23</v>
      </c>
      <c r="G117" s="286">
        <v>0.38</v>
      </c>
      <c r="H117" s="286">
        <v>0.38</v>
      </c>
      <c r="I117" s="287">
        <v>0.5</v>
      </c>
      <c r="J117" s="286">
        <v>0.14000000000000001</v>
      </c>
      <c r="K117" s="286">
        <v>0.18</v>
      </c>
      <c r="L117" s="286">
        <v>1.63</v>
      </c>
      <c r="M117" s="285">
        <v>-0.15</v>
      </c>
      <c r="N117" s="286">
        <v>0.25</v>
      </c>
      <c r="O117" s="287">
        <v>0.17</v>
      </c>
      <c r="P117" s="239">
        <v>0.248</v>
      </c>
      <c r="Q117" s="215">
        <v>0.245</v>
      </c>
      <c r="R117" s="291">
        <v>0.23250000000000001</v>
      </c>
      <c r="S117" s="194">
        <v>0.23250000000000001</v>
      </c>
      <c r="T117" s="107">
        <v>1</v>
      </c>
      <c r="U117" s="308">
        <v>0.23250000000000001</v>
      </c>
      <c r="V117" s="61">
        <v>3.4049999999999998</v>
      </c>
      <c r="W117" s="61">
        <v>3.4959997365312434</v>
      </c>
      <c r="X117" s="197">
        <v>3.78</v>
      </c>
      <c r="Y117" s="62"/>
      <c r="Z117" s="281">
        <v>0.13</v>
      </c>
      <c r="AA117" s="296">
        <v>0.53571583675148826</v>
      </c>
      <c r="AB117" s="301">
        <v>4.8642997977035076</v>
      </c>
      <c r="AC117" s="145">
        <v>4.9942997977035075</v>
      </c>
      <c r="AD117" s="197">
        <v>5.4000156344549959</v>
      </c>
      <c r="AE117" s="238">
        <v>4.1379999999999999</v>
      </c>
      <c r="AF117" s="133">
        <v>3.74</v>
      </c>
      <c r="AG117" s="202">
        <v>4.0599999999999996</v>
      </c>
      <c r="AH117" s="242">
        <v>-0.1</v>
      </c>
      <c r="AI117" s="283">
        <v>1.50722722095914</v>
      </c>
      <c r="AJ117" s="88">
        <v>5.8234040514924E-2</v>
      </c>
      <c r="AK117" s="88">
        <v>5.9242316596633197E-2</v>
      </c>
      <c r="AL117" s="90">
        <v>0.68471449295749243</v>
      </c>
      <c r="AM117" s="204">
        <v>0.68030344256477793</v>
      </c>
      <c r="AN117" s="184">
        <v>0.38</v>
      </c>
      <c r="AO117" s="205">
        <v>0.13300000000000001</v>
      </c>
      <c r="AP117" s="72"/>
      <c r="AQ117" s="184">
        <v>-3.5447704131349185</v>
      </c>
      <c r="AR117" s="206">
        <v>-3.0597704131349186</v>
      </c>
      <c r="AS117" s="72"/>
      <c r="AT117" s="273">
        <v>7.4999999999999997E-3</v>
      </c>
      <c r="AU117" s="72"/>
      <c r="AV117" s="184">
        <v>8.0000000000000002E-3</v>
      </c>
      <c r="AW117" s="244"/>
      <c r="AX117" s="90">
        <v>2.5000000000000001E-2</v>
      </c>
      <c r="AY117" s="90"/>
      <c r="AZ117" s="302">
        <v>1</v>
      </c>
      <c r="BA117" s="302">
        <v>1</v>
      </c>
      <c r="BB117" s="252">
        <v>-0.48499999999999999</v>
      </c>
      <c r="BC117" s="247"/>
      <c r="BD117" s="90"/>
      <c r="BE117" s="72"/>
      <c r="BF117" s="151"/>
      <c r="BG117" s="72"/>
      <c r="BH117" s="125"/>
      <c r="BI117" s="125"/>
      <c r="BJ117" s="72"/>
      <c r="BK117" s="151"/>
      <c r="BL117" s="72"/>
      <c r="BM117" s="72"/>
      <c r="BN117" s="90"/>
      <c r="BO117" s="90"/>
      <c r="BP117" s="125"/>
      <c r="BQ117" s="72"/>
      <c r="BR117" s="125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  <c r="CD117" s="72"/>
      <c r="CE117" s="72"/>
      <c r="CF117" s="72"/>
      <c r="CG117" s="72"/>
    </row>
    <row r="118" spans="1:85" x14ac:dyDescent="0.2">
      <c r="A118" s="354">
        <v>39508</v>
      </c>
      <c r="B118" s="277">
        <v>3.7570000000000001</v>
      </c>
      <c r="C118" s="307">
        <v>-0.48499999999999999</v>
      </c>
      <c r="D118" s="188">
        <v>-0.39396888229244764</v>
      </c>
      <c r="E118" s="188">
        <v>-0.10999999999999943</v>
      </c>
      <c r="F118" s="285">
        <v>0.23</v>
      </c>
      <c r="G118" s="286">
        <v>0.38</v>
      </c>
      <c r="H118" s="286">
        <v>0.38</v>
      </c>
      <c r="I118" s="287">
        <v>0.5</v>
      </c>
      <c r="J118" s="286">
        <v>0.14000000000000001</v>
      </c>
      <c r="K118" s="286">
        <v>0.18</v>
      </c>
      <c r="L118" s="286">
        <v>0.72</v>
      </c>
      <c r="M118" s="285">
        <v>-0.15</v>
      </c>
      <c r="N118" s="286">
        <v>0.25</v>
      </c>
      <c r="O118" s="287">
        <v>0.17</v>
      </c>
      <c r="P118" s="239">
        <v>6.8000000000000005E-2</v>
      </c>
      <c r="Q118" s="215">
        <v>0.23499999999999999</v>
      </c>
      <c r="R118" s="291">
        <v>0.2225</v>
      </c>
      <c r="S118" s="194">
        <v>0.2225</v>
      </c>
      <c r="T118" s="107">
        <v>0.75</v>
      </c>
      <c r="U118" s="308">
        <v>0.2225</v>
      </c>
      <c r="V118" s="61">
        <v>3.2720000000000002</v>
      </c>
      <c r="W118" s="61">
        <v>3.3630311177075525</v>
      </c>
      <c r="X118" s="197">
        <v>3.6470000000000007</v>
      </c>
      <c r="Y118" s="62"/>
      <c r="Z118" s="281">
        <v>0.13</v>
      </c>
      <c r="AA118" s="296">
        <v>0.53553115931867268</v>
      </c>
      <c r="AB118" s="301">
        <v>4.6726878754418566</v>
      </c>
      <c r="AC118" s="145">
        <v>4.8026878754418565</v>
      </c>
      <c r="AD118" s="197">
        <v>5.2082190347605293</v>
      </c>
      <c r="AE118" s="238">
        <v>3.8250000000000002</v>
      </c>
      <c r="AF118" s="133">
        <v>3.6070000000000002</v>
      </c>
      <c r="AG118" s="202">
        <v>3.927</v>
      </c>
      <c r="AH118" s="242">
        <v>-0.1</v>
      </c>
      <c r="AI118" s="283">
        <v>1.5067076342029899</v>
      </c>
      <c r="AJ118" s="88">
        <v>5.8305647790992697E-2</v>
      </c>
      <c r="AK118" s="88">
        <v>5.9355132411996997E-2</v>
      </c>
      <c r="AL118" s="90">
        <v>0.68128431205510709</v>
      </c>
      <c r="AM118" s="204">
        <v>0.67666201320775587</v>
      </c>
      <c r="AN118" s="184">
        <v>0.38</v>
      </c>
      <c r="AO118" s="205">
        <v>0.12</v>
      </c>
      <c r="AP118" s="72"/>
      <c r="AQ118" s="184">
        <v>-3.411773845084304</v>
      </c>
      <c r="AR118" s="206">
        <v>-2.9267738450843042</v>
      </c>
      <c r="AS118" s="72"/>
      <c r="AT118" s="273">
        <v>7.4999999999999997E-3</v>
      </c>
      <c r="AU118" s="72"/>
      <c r="AV118" s="184">
        <v>8.0000000000000002E-3</v>
      </c>
      <c r="AW118" s="244"/>
      <c r="AX118" s="90">
        <v>5.0000000000000001E-3</v>
      </c>
      <c r="AY118" s="90"/>
      <c r="AZ118" s="302">
        <v>0.75</v>
      </c>
      <c r="BA118" s="302">
        <v>0.75</v>
      </c>
      <c r="BB118" s="252">
        <v>-0.48499999999999999</v>
      </c>
      <c r="BC118" s="247"/>
      <c r="BD118" s="90"/>
      <c r="BE118" s="72"/>
      <c r="BF118" s="151"/>
      <c r="BG118" s="72"/>
      <c r="BH118" s="125"/>
      <c r="BI118" s="125"/>
      <c r="BJ118" s="72"/>
      <c r="BK118" s="151"/>
      <c r="BL118" s="72"/>
      <c r="BM118" s="72"/>
      <c r="BN118" s="90"/>
      <c r="BO118" s="90"/>
      <c r="BP118" s="125"/>
      <c r="BQ118" s="72"/>
      <c r="BR118" s="125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  <c r="CD118" s="72"/>
      <c r="CE118" s="72"/>
      <c r="CF118" s="72"/>
      <c r="CG118" s="72"/>
    </row>
    <row r="119" spans="1:85" x14ac:dyDescent="0.2">
      <c r="A119" s="354">
        <v>39539</v>
      </c>
      <c r="B119" s="277">
        <v>3.5370000000000004</v>
      </c>
      <c r="C119" s="298">
        <v>-0.64</v>
      </c>
      <c r="D119" s="188">
        <v>-0.54893468793198164</v>
      </c>
      <c r="E119" s="188">
        <v>-0.56994975994767794</v>
      </c>
      <c r="F119" s="285">
        <v>0.13500000000000001</v>
      </c>
      <c r="G119" s="286">
        <v>0.13500000000000001</v>
      </c>
      <c r="H119" s="286">
        <v>0.17</v>
      </c>
      <c r="I119" s="287">
        <v>0.13</v>
      </c>
      <c r="J119" s="286">
        <v>0.04</v>
      </c>
      <c r="K119" s="286">
        <v>0.105</v>
      </c>
      <c r="L119" s="286">
        <v>0.48</v>
      </c>
      <c r="M119" s="285">
        <v>-0.22</v>
      </c>
      <c r="N119" s="286">
        <v>0.25</v>
      </c>
      <c r="O119" s="287">
        <v>-0.23</v>
      </c>
      <c r="P119" s="239">
        <v>-0.25</v>
      </c>
      <c r="Q119" s="215">
        <v>0.23499999999999999</v>
      </c>
      <c r="R119" s="291">
        <v>0.2225</v>
      </c>
      <c r="S119" s="194">
        <v>0.2225</v>
      </c>
      <c r="T119" s="107">
        <v>0.4</v>
      </c>
      <c r="U119" s="308">
        <v>0.2225</v>
      </c>
      <c r="V119" s="61">
        <v>2.8970000000000002</v>
      </c>
      <c r="W119" s="61">
        <v>2.9880653120680187</v>
      </c>
      <c r="X119" s="197">
        <v>2.9670502400523224</v>
      </c>
      <c r="Y119" s="62"/>
      <c r="Z119" s="281">
        <v>0.13</v>
      </c>
      <c r="AA119" s="296">
        <v>0.1</v>
      </c>
      <c r="AB119" s="301">
        <v>4.1356032439520085</v>
      </c>
      <c r="AC119" s="145">
        <v>4.2656032439520084</v>
      </c>
      <c r="AD119" s="197">
        <v>4.2356032439520082</v>
      </c>
      <c r="AE119" s="238">
        <v>3.2870000000000004</v>
      </c>
      <c r="AF119" s="133">
        <v>3.3170000000000002</v>
      </c>
      <c r="AG119" s="202">
        <v>3.3070000000000004</v>
      </c>
      <c r="AH119" s="242">
        <v>-0.1</v>
      </c>
      <c r="AI119" s="283">
        <v>1.5061418764760199</v>
      </c>
      <c r="AJ119" s="88">
        <v>5.83821935017785E-2</v>
      </c>
      <c r="AK119" s="88">
        <v>5.9475728633097802E-2</v>
      </c>
      <c r="AL119" s="90">
        <v>0.67762830005882024</v>
      </c>
      <c r="AM119" s="204">
        <v>0.6727780879392542</v>
      </c>
      <c r="AN119" s="184">
        <v>0.13500000000000001</v>
      </c>
      <c r="AO119" s="205">
        <v>0.124</v>
      </c>
      <c r="AP119" s="72"/>
      <c r="AQ119" s="184">
        <v>-3.4969790400577985</v>
      </c>
      <c r="AR119" s="206">
        <v>-2.8569790400577983</v>
      </c>
      <c r="AS119" s="72"/>
      <c r="AT119" s="273">
        <v>7.4999999999999997E-3</v>
      </c>
      <c r="AU119" s="72"/>
      <c r="AV119" s="184">
        <v>2.5000000000000001E-3</v>
      </c>
      <c r="AW119" s="244"/>
      <c r="AX119" s="90">
        <v>-0.105</v>
      </c>
      <c r="AY119" s="90"/>
      <c r="AZ119" s="302">
        <v>0.4</v>
      </c>
      <c r="BA119" s="302">
        <v>0.4</v>
      </c>
      <c r="BB119" s="252">
        <v>-0.64</v>
      </c>
      <c r="BC119" s="247"/>
      <c r="BD119" s="90"/>
      <c r="BE119" s="72"/>
      <c r="BF119" s="151"/>
      <c r="BG119" s="72"/>
      <c r="BH119" s="125"/>
      <c r="BI119" s="125"/>
      <c r="BJ119" s="72"/>
      <c r="BK119" s="151"/>
      <c r="BL119" s="72"/>
      <c r="BM119" s="72"/>
      <c r="BN119" s="90"/>
      <c r="BO119" s="90"/>
      <c r="BP119" s="125"/>
      <c r="BQ119" s="72"/>
      <c r="BR119" s="125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  <c r="CD119" s="72"/>
      <c r="CE119" s="72"/>
      <c r="CF119" s="72"/>
      <c r="CG119" s="72"/>
    </row>
    <row r="120" spans="1:85" x14ac:dyDescent="0.2">
      <c r="A120" s="354">
        <v>39569</v>
      </c>
      <c r="B120" s="277">
        <v>3.5270000000000001</v>
      </c>
      <c r="C120" s="303">
        <v>-0.64</v>
      </c>
      <c r="D120" s="188">
        <v>-0.54890095751677004</v>
      </c>
      <c r="E120" s="188">
        <v>-0.56992381347443866</v>
      </c>
      <c r="F120" s="285">
        <v>0.13500000000000001</v>
      </c>
      <c r="G120" s="286">
        <v>0.13500000000000001</v>
      </c>
      <c r="H120" s="286">
        <v>0.17</v>
      </c>
      <c r="I120" s="287">
        <v>0.13</v>
      </c>
      <c r="J120" s="286">
        <v>0.04</v>
      </c>
      <c r="K120" s="286">
        <v>0.105</v>
      </c>
      <c r="L120" s="286">
        <v>0.42</v>
      </c>
      <c r="M120" s="285">
        <v>-0.27</v>
      </c>
      <c r="N120" s="286">
        <v>0.25</v>
      </c>
      <c r="O120" s="287">
        <v>-0.23</v>
      </c>
      <c r="P120" s="239">
        <v>-0.25</v>
      </c>
      <c r="Q120" s="215">
        <v>0.23499999999999999</v>
      </c>
      <c r="R120" s="291">
        <v>0.2225</v>
      </c>
      <c r="S120" s="194">
        <v>0.2225</v>
      </c>
      <c r="T120" s="107">
        <v>0.45</v>
      </c>
      <c r="U120" s="308">
        <v>0.2225</v>
      </c>
      <c r="V120" s="61">
        <v>2.887</v>
      </c>
      <c r="W120" s="61">
        <v>2.9780990424832301</v>
      </c>
      <c r="X120" s="197">
        <v>2.9570761865255615</v>
      </c>
      <c r="Y120" s="62"/>
      <c r="Z120" s="281">
        <v>0.13</v>
      </c>
      <c r="AA120" s="296">
        <v>0.1</v>
      </c>
      <c r="AB120" s="301">
        <v>4.1198018087740866</v>
      </c>
      <c r="AC120" s="145">
        <v>4.2498018087740865</v>
      </c>
      <c r="AD120" s="197">
        <v>4.2198018087740863</v>
      </c>
      <c r="AE120" s="238">
        <v>3.2770000000000001</v>
      </c>
      <c r="AF120" s="133">
        <v>3.2570000000000001</v>
      </c>
      <c r="AG120" s="202">
        <v>3.2970000000000002</v>
      </c>
      <c r="AH120" s="242">
        <v>-0.1</v>
      </c>
      <c r="AI120" s="283">
        <v>1.5055842110003301</v>
      </c>
      <c r="AJ120" s="88">
        <v>5.8456269997943205E-2</v>
      </c>
      <c r="AK120" s="88">
        <v>5.9592434658120905E-2</v>
      </c>
      <c r="AL120" s="90">
        <v>0.67410081422918533</v>
      </c>
      <c r="AM120" s="204">
        <v>0.6690280438536117</v>
      </c>
      <c r="AN120" s="184">
        <v>0.13500000000000001</v>
      </c>
      <c r="AO120" s="205">
        <v>0.12</v>
      </c>
      <c r="AP120" s="72"/>
      <c r="AQ120" s="184">
        <v>-3.4869531044298547</v>
      </c>
      <c r="AR120" s="206">
        <v>-2.8469531044298546</v>
      </c>
      <c r="AS120" s="72"/>
      <c r="AT120" s="273">
        <v>7.4999999999999997E-3</v>
      </c>
      <c r="AU120" s="72"/>
      <c r="AV120" s="184">
        <v>2.5000000000000001E-3</v>
      </c>
      <c r="AW120" s="244"/>
      <c r="AX120" s="90">
        <v>-0.105</v>
      </c>
      <c r="AY120" s="90"/>
      <c r="AZ120" s="302">
        <v>0.45</v>
      </c>
      <c r="BA120" s="302">
        <v>0.45</v>
      </c>
      <c r="BB120" s="252">
        <v>-0.64</v>
      </c>
      <c r="BC120" s="247"/>
      <c r="BD120" s="90"/>
      <c r="BE120" s="72"/>
      <c r="BF120" s="151"/>
      <c r="BG120" s="72"/>
      <c r="BH120" s="125"/>
      <c r="BI120" s="125"/>
      <c r="BJ120" s="72"/>
      <c r="BK120" s="151"/>
      <c r="BL120" s="72"/>
      <c r="BM120" s="72"/>
      <c r="BN120" s="90"/>
      <c r="BO120" s="90"/>
      <c r="BP120" s="125"/>
      <c r="BQ120" s="72"/>
      <c r="BR120" s="125"/>
      <c r="BS120" s="72"/>
      <c r="BT120" s="72"/>
      <c r="BU120" s="72"/>
      <c r="BV120" s="72"/>
      <c r="BW120" s="72"/>
      <c r="BX120" s="72"/>
      <c r="BY120" s="72"/>
      <c r="BZ120" s="72"/>
      <c r="CA120" s="72"/>
      <c r="CB120" s="72"/>
      <c r="CC120" s="72"/>
      <c r="CD120" s="72"/>
      <c r="CE120" s="72"/>
      <c r="CF120" s="72"/>
      <c r="CG120" s="72"/>
    </row>
    <row r="121" spans="1:85" x14ac:dyDescent="0.2">
      <c r="A121" s="354">
        <v>39600</v>
      </c>
      <c r="B121" s="277">
        <v>3.5630000000000002</v>
      </c>
      <c r="C121" s="303">
        <v>-0.64</v>
      </c>
      <c r="D121" s="188">
        <v>-0.54886544170396467</v>
      </c>
      <c r="E121" s="188">
        <v>-0.56989649361843497</v>
      </c>
      <c r="F121" s="285">
        <v>0.13500000000000001</v>
      </c>
      <c r="G121" s="286">
        <v>0.13500000000000001</v>
      </c>
      <c r="H121" s="286">
        <v>0.17</v>
      </c>
      <c r="I121" s="287">
        <v>0.13</v>
      </c>
      <c r="J121" s="286">
        <v>0.04</v>
      </c>
      <c r="K121" s="286">
        <v>0.105</v>
      </c>
      <c r="L121" s="286">
        <v>0.42</v>
      </c>
      <c r="M121" s="285">
        <v>-0.27</v>
      </c>
      <c r="N121" s="286">
        <v>0.25</v>
      </c>
      <c r="O121" s="287">
        <v>-0.23</v>
      </c>
      <c r="P121" s="239">
        <v>-0.25</v>
      </c>
      <c r="Q121" s="215">
        <v>0.2225</v>
      </c>
      <c r="R121" s="291">
        <v>0.2225</v>
      </c>
      <c r="S121" s="194">
        <v>0.2225</v>
      </c>
      <c r="T121" s="107">
        <v>0.45</v>
      </c>
      <c r="U121" s="308">
        <v>0.2225</v>
      </c>
      <c r="V121" s="61">
        <v>2.923</v>
      </c>
      <c r="W121" s="61">
        <v>3.0141345582960355</v>
      </c>
      <c r="X121" s="197">
        <v>2.9931035063815652</v>
      </c>
      <c r="Y121" s="304" t="s">
        <v>260</v>
      </c>
      <c r="Z121" s="281">
        <v>0.13</v>
      </c>
      <c r="AA121" s="296">
        <v>0.1</v>
      </c>
      <c r="AB121" s="301">
        <v>4.1695489296789763</v>
      </c>
      <c r="AC121" s="145">
        <v>4.2995489296789762</v>
      </c>
      <c r="AD121" s="197">
        <v>4.2695489296789759</v>
      </c>
      <c r="AE121" s="238">
        <v>3.3130000000000002</v>
      </c>
      <c r="AF121" s="133">
        <v>3.2930000000000001</v>
      </c>
      <c r="AG121" s="202">
        <v>3.3330000000000002</v>
      </c>
      <c r="AH121" s="242">
        <v>-0.1</v>
      </c>
      <c r="AI121" s="283">
        <v>1.50499747367478</v>
      </c>
      <c r="AJ121" s="88">
        <v>5.8532815712562906E-2</v>
      </c>
      <c r="AK121" s="88">
        <v>5.97130308887324E-2</v>
      </c>
      <c r="AL121" s="90">
        <v>0.67046672028079679</v>
      </c>
      <c r="AM121" s="204">
        <v>0.66516197772288588</v>
      </c>
      <c r="AN121" s="184">
        <v>0.13500000000000001</v>
      </c>
      <c r="AO121" s="205">
        <v>0.124</v>
      </c>
      <c r="AP121" s="72"/>
      <c r="AQ121" s="184">
        <v>-3.5229257959932032</v>
      </c>
      <c r="AR121" s="206">
        <v>-2.8829257959932031</v>
      </c>
      <c r="AS121" s="72"/>
      <c r="AT121" s="273">
        <v>7.4999999999999997E-3</v>
      </c>
      <c r="AU121" s="72"/>
      <c r="AV121" s="184">
        <v>2.5000000000000001E-3</v>
      </c>
      <c r="AW121" s="244"/>
      <c r="AX121" s="90">
        <v>-0.105</v>
      </c>
      <c r="AY121" s="90"/>
      <c r="AZ121" s="302">
        <v>0.45</v>
      </c>
      <c r="BA121" s="302">
        <v>0.45</v>
      </c>
      <c r="BB121" s="252">
        <v>-0.64</v>
      </c>
      <c r="BC121" s="247"/>
      <c r="BD121" s="90"/>
      <c r="BE121" s="72"/>
      <c r="BF121" s="151"/>
      <c r="BG121" s="72"/>
      <c r="BH121" s="125"/>
      <c r="BI121" s="125"/>
      <c r="BJ121" s="72"/>
      <c r="BK121" s="151"/>
      <c r="BL121" s="72"/>
      <c r="BM121" s="72"/>
      <c r="BN121" s="90"/>
      <c r="BO121" s="90"/>
      <c r="BP121" s="125"/>
      <c r="BQ121" s="72"/>
      <c r="BR121" s="125"/>
      <c r="BS121" s="72"/>
      <c r="BT121" s="72"/>
      <c r="BU121" s="72"/>
      <c r="BV121" s="72"/>
      <c r="BW121" s="72"/>
      <c r="BX121" s="72"/>
      <c r="BY121" s="72"/>
      <c r="BZ121" s="72"/>
      <c r="CA121" s="72"/>
      <c r="CB121" s="72"/>
      <c r="CC121" s="72"/>
      <c r="CD121" s="72"/>
      <c r="CE121" s="72"/>
      <c r="CF121" s="72"/>
      <c r="CG121" s="72"/>
    </row>
    <row r="122" spans="1:85" x14ac:dyDescent="0.2">
      <c r="A122" s="354">
        <v>39630</v>
      </c>
      <c r="B122" s="277">
        <v>3.605</v>
      </c>
      <c r="C122" s="303">
        <v>-0.64</v>
      </c>
      <c r="D122" s="188">
        <v>-0.54883154972816106</v>
      </c>
      <c r="E122" s="188">
        <v>-0.5698704228678162</v>
      </c>
      <c r="F122" s="285">
        <v>0.13500000000000001</v>
      </c>
      <c r="G122" s="286">
        <v>0.13500000000000001</v>
      </c>
      <c r="H122" s="286">
        <v>0.17</v>
      </c>
      <c r="I122" s="287">
        <v>0.13</v>
      </c>
      <c r="J122" s="286">
        <v>0.04</v>
      </c>
      <c r="K122" s="286">
        <v>0.105</v>
      </c>
      <c r="L122" s="286">
        <v>0.48</v>
      </c>
      <c r="M122" s="285">
        <v>-0.27</v>
      </c>
      <c r="N122" s="286">
        <v>0.25</v>
      </c>
      <c r="O122" s="287">
        <v>-0.23</v>
      </c>
      <c r="P122" s="239">
        <v>-0.25</v>
      </c>
      <c r="Q122" s="215">
        <v>0.22</v>
      </c>
      <c r="R122" s="291">
        <v>0.22</v>
      </c>
      <c r="S122" s="194">
        <v>0.22</v>
      </c>
      <c r="T122" s="107">
        <v>0.5</v>
      </c>
      <c r="U122" s="308">
        <v>0.22</v>
      </c>
      <c r="V122" s="61">
        <v>2.9649999999999999</v>
      </c>
      <c r="W122" s="61">
        <v>3.0561684502718389</v>
      </c>
      <c r="X122" s="197">
        <v>3.0351295771321838</v>
      </c>
      <c r="Y122" s="236">
        <v>4.5363157919688568</v>
      </c>
      <c r="Z122" s="281">
        <v>0.13</v>
      </c>
      <c r="AA122" s="296">
        <v>0.1</v>
      </c>
      <c r="AB122" s="301">
        <v>4.2278880341905083</v>
      </c>
      <c r="AC122" s="145">
        <v>4.3578880341905082</v>
      </c>
      <c r="AD122" s="197">
        <v>4.3278880341905079</v>
      </c>
      <c r="AE122" s="238">
        <v>3.355</v>
      </c>
      <c r="AF122" s="133">
        <v>3.335</v>
      </c>
      <c r="AG122" s="202">
        <v>3.375</v>
      </c>
      <c r="AH122" s="242">
        <v>-0.1</v>
      </c>
      <c r="AI122" s="283">
        <v>1.5044379891402699</v>
      </c>
      <c r="AJ122" s="88">
        <v>5.8606892212436999E-2</v>
      </c>
      <c r="AK122" s="88">
        <v>5.9827934815561701E-2</v>
      </c>
      <c r="AL122" s="90">
        <v>0.66696050542742424</v>
      </c>
      <c r="AM122" s="204">
        <v>0.66143752249255994</v>
      </c>
      <c r="AN122" s="184">
        <v>0.13500000000000001</v>
      </c>
      <c r="AO122" s="205">
        <v>0.12</v>
      </c>
      <c r="AP122" s="72"/>
      <c r="AQ122" s="184">
        <v>-3.5648997361398274</v>
      </c>
      <c r="AR122" s="206">
        <v>-2.9248997361398272</v>
      </c>
      <c r="AS122" s="72"/>
      <c r="AT122" s="273">
        <v>7.4999999999999997E-3</v>
      </c>
      <c r="AU122" s="72"/>
      <c r="AV122" s="184">
        <v>2.5000000000000001E-3</v>
      </c>
      <c r="AW122" s="244"/>
      <c r="AX122" s="90">
        <v>-0.105</v>
      </c>
      <c r="AY122" s="90"/>
      <c r="AZ122" s="302">
        <v>0.5</v>
      </c>
      <c r="BA122" s="302">
        <v>0.5</v>
      </c>
      <c r="BB122" s="252">
        <v>-0.64</v>
      </c>
      <c r="BC122" s="247"/>
      <c r="BD122" s="90"/>
      <c r="BE122" s="72"/>
      <c r="BF122" s="151"/>
      <c r="BG122" s="72"/>
      <c r="BH122" s="125"/>
      <c r="BI122" s="125"/>
      <c r="BJ122" s="72"/>
      <c r="BK122" s="151"/>
      <c r="BL122" s="72"/>
      <c r="BM122" s="72"/>
      <c r="BN122" s="90"/>
      <c r="BO122" s="90"/>
      <c r="BP122" s="125"/>
      <c r="BQ122" s="72"/>
      <c r="BR122" s="125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</row>
    <row r="123" spans="1:85" x14ac:dyDescent="0.2">
      <c r="A123" s="354">
        <v>39661</v>
      </c>
      <c r="B123" s="277">
        <v>3.6540000000000004</v>
      </c>
      <c r="C123" s="303">
        <v>-0.64</v>
      </c>
      <c r="D123" s="188">
        <v>-0.54882982342848319</v>
      </c>
      <c r="E123" s="188">
        <v>-0.56986909494498716</v>
      </c>
      <c r="F123" s="285">
        <v>0.13500000000000001</v>
      </c>
      <c r="G123" s="286">
        <v>0.13500000000000001</v>
      </c>
      <c r="H123" s="286">
        <v>0.17</v>
      </c>
      <c r="I123" s="287">
        <v>0.13</v>
      </c>
      <c r="J123" s="286">
        <v>0.04</v>
      </c>
      <c r="K123" s="286">
        <v>0.105</v>
      </c>
      <c r="L123" s="286">
        <v>0.48</v>
      </c>
      <c r="M123" s="285">
        <v>-0.27</v>
      </c>
      <c r="N123" s="286">
        <v>0.25</v>
      </c>
      <c r="O123" s="287">
        <v>-0.23</v>
      </c>
      <c r="P123" s="239">
        <v>-0.25</v>
      </c>
      <c r="Q123" s="215">
        <v>0.19500000000000001</v>
      </c>
      <c r="R123" s="291">
        <v>0.22</v>
      </c>
      <c r="S123" s="194">
        <v>0.22</v>
      </c>
      <c r="T123" s="107">
        <v>0.55000000000000004</v>
      </c>
      <c r="U123" s="308">
        <v>0.22</v>
      </c>
      <c r="V123" s="61">
        <v>3.0140000000000002</v>
      </c>
      <c r="W123" s="61">
        <v>3.1051701765715172</v>
      </c>
      <c r="X123" s="197">
        <v>3.0841309050550132</v>
      </c>
      <c r="Y123" s="236">
        <v>4.8837019083719326</v>
      </c>
      <c r="Z123" s="281">
        <v>0.13</v>
      </c>
      <c r="AA123" s="296">
        <v>0.1</v>
      </c>
      <c r="AB123" s="301">
        <v>4.2976773187737116</v>
      </c>
      <c r="AC123" s="145">
        <v>4.4276773187737115</v>
      </c>
      <c r="AD123" s="197">
        <v>4.3976773187737113</v>
      </c>
      <c r="AE123" s="238">
        <v>3.4040000000000004</v>
      </c>
      <c r="AF123" s="133">
        <v>3.3840000000000003</v>
      </c>
      <c r="AG123" s="202">
        <v>3.4240000000000004</v>
      </c>
      <c r="AH123" s="242">
        <v>-0.1</v>
      </c>
      <c r="AI123" s="283">
        <v>1.5044095027326199</v>
      </c>
      <c r="AJ123" s="88">
        <v>5.8683437930890502E-2</v>
      </c>
      <c r="AK123" s="88">
        <v>5.9892665724610203E-2</v>
      </c>
      <c r="AL123" s="90">
        <v>0.66334845229676287</v>
      </c>
      <c r="AM123" s="204">
        <v>0.65784292370351305</v>
      </c>
      <c r="AN123" s="184">
        <v>0.13500000000000001</v>
      </c>
      <c r="AO123" s="205">
        <v>0.12</v>
      </c>
      <c r="AP123" s="72"/>
      <c r="AQ123" s="184">
        <v>-3.6138984087720538</v>
      </c>
      <c r="AR123" s="206">
        <v>-2.9738984087720537</v>
      </c>
      <c r="AS123" s="72"/>
      <c r="AT123" s="273">
        <v>7.4999999999999997E-3</v>
      </c>
      <c r="AU123" s="72"/>
      <c r="AV123" s="184">
        <v>2.5000000000000001E-3</v>
      </c>
      <c r="AW123" s="244"/>
      <c r="AX123" s="90">
        <v>-0.105</v>
      </c>
      <c r="AY123" s="90"/>
      <c r="AZ123" s="302">
        <v>0.55000000000000004</v>
      </c>
      <c r="BA123" s="302">
        <v>0.55000000000000004</v>
      </c>
      <c r="BB123" s="252">
        <v>-0.64</v>
      </c>
      <c r="BC123" s="247"/>
      <c r="BD123" s="90"/>
      <c r="BE123" s="72"/>
      <c r="BF123" s="151"/>
      <c r="BG123" s="72"/>
      <c r="BH123" s="125"/>
      <c r="BI123" s="125"/>
      <c r="BJ123" s="72"/>
      <c r="BK123" s="151"/>
      <c r="BL123" s="72"/>
      <c r="BM123" s="72"/>
      <c r="BN123" s="90"/>
      <c r="BO123" s="90"/>
      <c r="BP123" s="125"/>
      <c r="BQ123" s="72"/>
      <c r="BR123" s="125"/>
      <c r="BS123" s="72"/>
      <c r="BT123" s="72"/>
      <c r="BU123" s="72"/>
      <c r="BV123" s="72"/>
      <c r="BW123" s="72"/>
      <c r="BX123" s="72"/>
      <c r="BY123" s="72"/>
      <c r="BZ123" s="72"/>
      <c r="CA123" s="72"/>
      <c r="CB123" s="72"/>
      <c r="CC123" s="72"/>
      <c r="CD123" s="72"/>
      <c r="CE123" s="72"/>
      <c r="CF123" s="72"/>
      <c r="CG123" s="72"/>
    </row>
    <row r="124" spans="1:85" x14ac:dyDescent="0.2">
      <c r="A124" s="354">
        <v>39692</v>
      </c>
      <c r="B124" s="277">
        <v>3.669</v>
      </c>
      <c r="C124" s="303">
        <v>-0.64</v>
      </c>
      <c r="D124" s="188">
        <v>-0.54882827479193308</v>
      </c>
      <c r="E124" s="188">
        <v>-0.5698679036861023</v>
      </c>
      <c r="F124" s="285">
        <v>0.13500000000000001</v>
      </c>
      <c r="G124" s="286">
        <v>0.13500000000000001</v>
      </c>
      <c r="H124" s="286">
        <v>0.17</v>
      </c>
      <c r="I124" s="287">
        <v>0.13</v>
      </c>
      <c r="J124" s="286">
        <v>0.04</v>
      </c>
      <c r="K124" s="286">
        <v>0.105</v>
      </c>
      <c r="L124" s="286">
        <v>0.44</v>
      </c>
      <c r="M124" s="285">
        <v>-0.27</v>
      </c>
      <c r="N124" s="286">
        <v>0.25</v>
      </c>
      <c r="O124" s="287">
        <v>-0.23</v>
      </c>
      <c r="P124" s="239">
        <v>-0.25</v>
      </c>
      <c r="Q124" s="215">
        <v>0.19500000000000001</v>
      </c>
      <c r="R124" s="291">
        <v>0.22</v>
      </c>
      <c r="S124" s="194">
        <v>0.22</v>
      </c>
      <c r="T124" s="107">
        <v>0.55000000000000004</v>
      </c>
      <c r="U124" s="308">
        <v>0.22</v>
      </c>
      <c r="V124" s="61">
        <v>3.0289999999999999</v>
      </c>
      <c r="W124" s="61">
        <v>3.120171725208067</v>
      </c>
      <c r="X124" s="197">
        <v>3.0991320963138977</v>
      </c>
      <c r="Y124" s="236">
        <v>4.2881828516809453</v>
      </c>
      <c r="Z124" s="281">
        <v>0.13</v>
      </c>
      <c r="AA124" s="296">
        <v>0.1</v>
      </c>
      <c r="AB124" s="301">
        <v>4.3189925286744417</v>
      </c>
      <c r="AC124" s="145">
        <v>4.4489925286744416</v>
      </c>
      <c r="AD124" s="197">
        <v>4.4189925286744414</v>
      </c>
      <c r="AE124" s="238">
        <v>3.419</v>
      </c>
      <c r="AF124" s="133">
        <v>3.399</v>
      </c>
      <c r="AG124" s="202">
        <v>3.4390000000000001</v>
      </c>
      <c r="AH124" s="242">
        <v>-0.1</v>
      </c>
      <c r="AI124" s="283">
        <v>1.50438394893798</v>
      </c>
      <c r="AJ124" s="88">
        <v>5.87599836512918E-2</v>
      </c>
      <c r="AK124" s="88">
        <v>5.9957396635051299E-2</v>
      </c>
      <c r="AL124" s="90">
        <v>0.65974764582126033</v>
      </c>
      <c r="AM124" s="204">
        <v>0.65426088907259272</v>
      </c>
      <c r="AN124" s="184">
        <v>0.13500000000000001</v>
      </c>
      <c r="AO124" s="205">
        <v>0.124</v>
      </c>
      <c r="AP124" s="72"/>
      <c r="AQ124" s="184">
        <v>-3.6288972180111001</v>
      </c>
      <c r="AR124" s="206">
        <v>-2.9888972180111</v>
      </c>
      <c r="AS124" s="72"/>
      <c r="AT124" s="273">
        <v>7.4999999999999997E-3</v>
      </c>
      <c r="AU124" s="72"/>
      <c r="AV124" s="184">
        <v>2.5000000000000001E-3</v>
      </c>
      <c r="AW124" s="244"/>
      <c r="AX124" s="90">
        <v>-0.105</v>
      </c>
      <c r="AY124" s="90"/>
      <c r="AZ124" s="302">
        <v>0.55000000000000004</v>
      </c>
      <c r="BA124" s="302">
        <v>0.55000000000000004</v>
      </c>
      <c r="BB124" s="252">
        <v>-0.64</v>
      </c>
      <c r="BC124" s="247"/>
      <c r="BD124" s="90"/>
      <c r="BE124" s="72"/>
      <c r="BF124" s="151"/>
      <c r="BG124" s="72"/>
      <c r="BH124" s="125"/>
      <c r="BI124" s="125"/>
      <c r="BJ124" s="72"/>
      <c r="BK124" s="151"/>
      <c r="BL124" s="72"/>
      <c r="BM124" s="72"/>
      <c r="BN124" s="90"/>
      <c r="BO124" s="90"/>
      <c r="BP124" s="125"/>
      <c r="BQ124" s="72"/>
      <c r="BR124" s="125"/>
      <c r="BS124" s="72"/>
      <c r="BT124" s="72"/>
      <c r="BU124" s="72"/>
      <c r="BV124" s="72"/>
      <c r="BW124" s="72"/>
      <c r="BX124" s="72"/>
      <c r="BY124" s="72"/>
      <c r="BZ124" s="72"/>
      <c r="CA124" s="72"/>
      <c r="CB124" s="72"/>
      <c r="CC124" s="72"/>
      <c r="CD124" s="72"/>
      <c r="CE124" s="72"/>
      <c r="CF124" s="72"/>
      <c r="CG124" s="72"/>
    </row>
    <row r="125" spans="1:85" x14ac:dyDescent="0.2">
      <c r="A125" s="354">
        <v>39722</v>
      </c>
      <c r="B125" s="277">
        <v>3.6980000000000004</v>
      </c>
      <c r="C125" s="303">
        <v>-0.64</v>
      </c>
      <c r="D125" s="188">
        <v>-0.54882694526168585</v>
      </c>
      <c r="E125" s="188">
        <v>-0.56986688097052784</v>
      </c>
      <c r="F125" s="285">
        <v>0.13500000000000001</v>
      </c>
      <c r="G125" s="286">
        <v>0.13500000000000001</v>
      </c>
      <c r="H125" s="286">
        <v>0.17</v>
      </c>
      <c r="I125" s="287">
        <v>0.13</v>
      </c>
      <c r="J125" s="286">
        <v>0.04</v>
      </c>
      <c r="K125" s="286">
        <v>0.105</v>
      </c>
      <c r="L125" s="286">
        <v>0.45</v>
      </c>
      <c r="M125" s="285">
        <v>-0.27</v>
      </c>
      <c r="N125" s="286">
        <v>0.25</v>
      </c>
      <c r="O125" s="287">
        <v>-0.23</v>
      </c>
      <c r="P125" s="239">
        <v>-0.25</v>
      </c>
      <c r="Q125" s="215">
        <v>0.19500000000000001</v>
      </c>
      <c r="R125" s="291">
        <v>0.22</v>
      </c>
      <c r="S125" s="194">
        <v>0.22</v>
      </c>
      <c r="T125" s="107">
        <v>0.6</v>
      </c>
      <c r="U125" s="308">
        <v>0.22</v>
      </c>
      <c r="V125" s="61">
        <v>3.0580000000000003</v>
      </c>
      <c r="W125" s="61">
        <v>3.1491730547383145</v>
      </c>
      <c r="X125" s="197">
        <v>3.1281331190294726</v>
      </c>
      <c r="Y125" s="116" t="s">
        <v>252</v>
      </c>
      <c r="Z125" s="281">
        <v>0.13</v>
      </c>
      <c r="AA125" s="296">
        <v>0.1</v>
      </c>
      <c r="AB125" s="301">
        <v>4.360279483242314</v>
      </c>
      <c r="AC125" s="145">
        <v>4.4902794832423139</v>
      </c>
      <c r="AD125" s="197">
        <v>4.4602794832423136</v>
      </c>
      <c r="AE125" s="238">
        <v>3.4480000000000004</v>
      </c>
      <c r="AF125" s="133">
        <v>3.4280000000000004</v>
      </c>
      <c r="AG125" s="202">
        <v>3.4680000000000004</v>
      </c>
      <c r="AH125" s="242">
        <v>-0.1</v>
      </c>
      <c r="AI125" s="283">
        <v>1.5043620112726299</v>
      </c>
      <c r="AJ125" s="88">
        <v>5.8834060156761001E-2</v>
      </c>
      <c r="AK125" s="88">
        <v>6.0020039452933105E-2</v>
      </c>
      <c r="AL125" s="90">
        <v>0.65627373090168262</v>
      </c>
      <c r="AM125" s="204">
        <v>0.65080637426805921</v>
      </c>
      <c r="AN125" s="184">
        <v>0.13500000000000001</v>
      </c>
      <c r="AO125" s="205">
        <v>0.12</v>
      </c>
      <c r="AP125" s="72"/>
      <c r="AQ125" s="184">
        <v>-3.6578961957230072</v>
      </c>
      <c r="AR125" s="206">
        <v>-3.017896195723007</v>
      </c>
      <c r="AS125" s="72"/>
      <c r="AT125" s="273">
        <v>7.4999999999999997E-3</v>
      </c>
      <c r="AU125" s="72"/>
      <c r="AV125" s="184">
        <v>2.5000000000000001E-3</v>
      </c>
      <c r="AW125" s="244"/>
      <c r="AX125" s="90">
        <v>-0.105</v>
      </c>
      <c r="AY125" s="90"/>
      <c r="AZ125" s="302">
        <v>0.6</v>
      </c>
      <c r="BA125" s="302">
        <v>0.6</v>
      </c>
      <c r="BB125" s="252">
        <v>-0.64</v>
      </c>
      <c r="BC125" s="247"/>
      <c r="BD125" s="90"/>
      <c r="BE125" s="72"/>
      <c r="BF125" s="151"/>
      <c r="BG125" s="72"/>
      <c r="BH125" s="125"/>
      <c r="BI125" s="125"/>
      <c r="BJ125" s="72"/>
      <c r="BK125" s="151"/>
      <c r="BL125" s="72"/>
      <c r="BM125" s="72"/>
      <c r="BN125" s="90"/>
      <c r="BO125" s="90"/>
      <c r="BP125" s="125"/>
      <c r="BQ125" s="72"/>
      <c r="BR125" s="125"/>
      <c r="BS125" s="72"/>
      <c r="BT125" s="72"/>
      <c r="BU125" s="72"/>
      <c r="BV125" s="72"/>
      <c r="BW125" s="72"/>
      <c r="BX125" s="72"/>
      <c r="BY125" s="72"/>
      <c r="BZ125" s="72"/>
      <c r="CA125" s="72"/>
      <c r="CB125" s="72"/>
      <c r="CC125" s="72"/>
      <c r="CD125" s="72"/>
      <c r="CE125" s="72"/>
      <c r="CF125" s="72"/>
      <c r="CG125" s="72"/>
    </row>
    <row r="126" spans="1:85" x14ac:dyDescent="0.2">
      <c r="A126" s="353">
        <v>39753</v>
      </c>
      <c r="B126" s="277">
        <v>3.8380000000000001</v>
      </c>
      <c r="C126" s="284">
        <v>-0.505</v>
      </c>
      <c r="D126" s="188">
        <v>-0.41382574619242618</v>
      </c>
      <c r="E126" s="188">
        <v>-0.11</v>
      </c>
      <c r="F126" s="285">
        <v>0.185</v>
      </c>
      <c r="G126" s="286">
        <v>0.375</v>
      </c>
      <c r="H126" s="286">
        <v>0.29499999999999998</v>
      </c>
      <c r="I126" s="287">
        <v>0.39500000000000002</v>
      </c>
      <c r="J126" s="286">
        <v>0.14000000000000001</v>
      </c>
      <c r="K126" s="286">
        <v>0.17</v>
      </c>
      <c r="L126" s="286">
        <v>0.73</v>
      </c>
      <c r="M126" s="285">
        <v>-0.15</v>
      </c>
      <c r="N126" s="286">
        <v>0.25</v>
      </c>
      <c r="O126" s="287">
        <v>0</v>
      </c>
      <c r="P126" s="239">
        <v>0.248</v>
      </c>
      <c r="Q126" s="215">
        <v>0.19500000000000001</v>
      </c>
      <c r="R126" s="291">
        <v>0.22</v>
      </c>
      <c r="S126" s="194">
        <v>0.22</v>
      </c>
      <c r="T126" s="107">
        <v>0.8</v>
      </c>
      <c r="U126" s="308">
        <v>0.22</v>
      </c>
      <c r="V126" s="61">
        <v>3.3330000000000002</v>
      </c>
      <c r="W126" s="61">
        <v>3.4241742538075739</v>
      </c>
      <c r="X126" s="197">
        <v>3.7279999999999998</v>
      </c>
      <c r="Y126" s="236"/>
      <c r="Z126" s="281">
        <v>0.13</v>
      </c>
      <c r="AA126" s="296">
        <v>0.5632072416888203</v>
      </c>
      <c r="AB126" s="301">
        <v>4.7523284469590861</v>
      </c>
      <c r="AC126" s="145">
        <v>4.882328446959086</v>
      </c>
      <c r="AD126" s="197">
        <v>5.3155356886479064</v>
      </c>
      <c r="AE126" s="238">
        <v>4.0860000000000003</v>
      </c>
      <c r="AF126" s="133">
        <v>3.6880000000000002</v>
      </c>
      <c r="AG126" s="202">
        <v>3.8380000000000001</v>
      </c>
      <c r="AH126" s="242">
        <v>-0.1</v>
      </c>
      <c r="AI126" s="283">
        <v>1.5043422268031399</v>
      </c>
      <c r="AJ126" s="88">
        <v>5.8910605880995198E-2</v>
      </c>
      <c r="AK126" s="88">
        <v>6.0084770366113399E-2</v>
      </c>
      <c r="AL126" s="90">
        <v>0.65269514176963306</v>
      </c>
      <c r="AM126" s="204">
        <v>0.64724908569104789</v>
      </c>
      <c r="AN126" s="184">
        <v>0.375</v>
      </c>
      <c r="AO126" s="205">
        <v>0.124</v>
      </c>
      <c r="AP126" s="72"/>
      <c r="AQ126" s="184">
        <v>-3.472829501933739</v>
      </c>
      <c r="AR126" s="206">
        <v>-2.9678295019337391</v>
      </c>
      <c r="AS126" s="72"/>
      <c r="AT126" s="273">
        <v>7.4999999999999997E-3</v>
      </c>
      <c r="AU126" s="72"/>
      <c r="AV126" s="184">
        <v>8.0000000000000002E-3</v>
      </c>
      <c r="AW126" s="244"/>
      <c r="AX126" s="90">
        <v>5.0000000000000001E-3</v>
      </c>
      <c r="AY126" s="90"/>
      <c r="AZ126" s="302">
        <v>0.8</v>
      </c>
      <c r="BA126" s="302">
        <v>0.8</v>
      </c>
      <c r="BB126" s="252">
        <v>-0.505</v>
      </c>
      <c r="BC126" s="247"/>
      <c r="BD126" s="90"/>
      <c r="BE126" s="72"/>
      <c r="BF126" s="151"/>
      <c r="BG126" s="72"/>
      <c r="BH126" s="125"/>
      <c r="BI126" s="125"/>
      <c r="BJ126" s="72"/>
      <c r="BK126" s="151"/>
      <c r="BL126" s="72"/>
      <c r="BM126" s="72"/>
      <c r="BN126" s="90"/>
      <c r="BO126" s="90"/>
      <c r="BP126" s="125"/>
      <c r="BQ126" s="72"/>
      <c r="BR126" s="125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</row>
    <row r="127" spans="1:85" x14ac:dyDescent="0.2">
      <c r="A127" s="354">
        <v>39783</v>
      </c>
      <c r="B127" s="277">
        <v>3.9780000000000002</v>
      </c>
      <c r="C127" s="307">
        <v>-0.505</v>
      </c>
      <c r="D127" s="188">
        <v>-0.41382475493297344</v>
      </c>
      <c r="E127" s="188">
        <v>-0.11</v>
      </c>
      <c r="F127" s="285">
        <v>0.185</v>
      </c>
      <c r="G127" s="286">
        <v>0.375</v>
      </c>
      <c r="H127" s="286">
        <v>0.29499999999999998</v>
      </c>
      <c r="I127" s="287">
        <v>0.39500000000000002</v>
      </c>
      <c r="J127" s="286">
        <v>0.14000000000000001</v>
      </c>
      <c r="K127" s="286">
        <v>0.17</v>
      </c>
      <c r="L127" s="286">
        <v>1.1399999999999999</v>
      </c>
      <c r="M127" s="285">
        <v>-0.15</v>
      </c>
      <c r="N127" s="286">
        <v>0.25</v>
      </c>
      <c r="O127" s="287">
        <v>0</v>
      </c>
      <c r="P127" s="239">
        <v>0.308</v>
      </c>
      <c r="Q127" s="215">
        <v>0.19750000000000001</v>
      </c>
      <c r="R127" s="291">
        <v>0.2225</v>
      </c>
      <c r="S127" s="194">
        <v>0.2225</v>
      </c>
      <c r="T127" s="107">
        <v>1</v>
      </c>
      <c r="U127" s="308">
        <v>0.2225</v>
      </c>
      <c r="V127" s="61">
        <v>3.4730000000000003</v>
      </c>
      <c r="W127" s="61">
        <v>3.5641752450670268</v>
      </c>
      <c r="X127" s="197">
        <v>3.8679999999999999</v>
      </c>
      <c r="Y127" s="116" t="s">
        <v>250</v>
      </c>
      <c r="Z127" s="281">
        <v>0.13</v>
      </c>
      <c r="AA127" s="296">
        <v>0.56320111848616605</v>
      </c>
      <c r="AB127" s="301">
        <v>4.9518923658289982</v>
      </c>
      <c r="AC127" s="145">
        <v>5.0818923658289981</v>
      </c>
      <c r="AD127" s="197">
        <v>5.5150934843151642</v>
      </c>
      <c r="AE127" s="238">
        <v>4.2860000000000005</v>
      </c>
      <c r="AF127" s="133">
        <v>3.8280000000000003</v>
      </c>
      <c r="AG127" s="202">
        <v>3.9780000000000002</v>
      </c>
      <c r="AH127" s="242">
        <v>-0.1</v>
      </c>
      <c r="AI127" s="283">
        <v>1.5043258715583299</v>
      </c>
      <c r="AJ127" s="88">
        <v>5.8984682390173807E-2</v>
      </c>
      <c r="AK127" s="88">
        <v>6.0147413186646001E-2</v>
      </c>
      <c r="AL127" s="90">
        <v>0.64924278193701235</v>
      </c>
      <c r="AM127" s="204">
        <v>0.64381853249199039</v>
      </c>
      <c r="AN127" s="184">
        <v>0.375</v>
      </c>
      <c r="AO127" s="205">
        <v>0.12</v>
      </c>
      <c r="AP127" s="72"/>
      <c r="AQ127" s="184">
        <v>-3.6128426674125813</v>
      </c>
      <c r="AR127" s="206">
        <v>-3.1078426674125814</v>
      </c>
      <c r="AS127" s="72"/>
      <c r="AT127" s="273">
        <v>7.4999999999999997E-3</v>
      </c>
      <c r="AU127" s="72"/>
      <c r="AV127" s="184">
        <v>8.0000000000000002E-3</v>
      </c>
      <c r="AW127" s="244"/>
      <c r="AX127" s="90">
        <v>0.01</v>
      </c>
      <c r="AY127" s="90"/>
      <c r="AZ127" s="302">
        <v>1</v>
      </c>
      <c r="BA127" s="302">
        <v>1</v>
      </c>
      <c r="BB127" s="252">
        <v>-0.505</v>
      </c>
      <c r="BC127" s="247"/>
      <c r="BD127" s="90"/>
      <c r="BE127" s="72"/>
      <c r="BF127" s="151"/>
      <c r="BG127" s="72"/>
      <c r="BH127" s="125"/>
      <c r="BI127" s="125"/>
      <c r="BJ127" s="72"/>
      <c r="BK127" s="151"/>
      <c r="BL127" s="72"/>
      <c r="BM127" s="72"/>
      <c r="BN127" s="90"/>
      <c r="BO127" s="90"/>
      <c r="BP127" s="125"/>
      <c r="BQ127" s="72"/>
      <c r="BR127" s="125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</row>
    <row r="128" spans="1:85" x14ac:dyDescent="0.2">
      <c r="A128" s="354">
        <v>39814</v>
      </c>
      <c r="B128" s="277">
        <v>4.0680000000000005</v>
      </c>
      <c r="C128" s="307">
        <v>-0.505</v>
      </c>
      <c r="D128" s="188">
        <v>-0.41382390538740976</v>
      </c>
      <c r="E128" s="188">
        <v>-0.11</v>
      </c>
      <c r="F128" s="285">
        <v>0.185</v>
      </c>
      <c r="G128" s="286">
        <v>0.375</v>
      </c>
      <c r="H128" s="286">
        <v>0.29499999999999998</v>
      </c>
      <c r="I128" s="287">
        <v>0.39500000000000002</v>
      </c>
      <c r="J128" s="286">
        <v>0.14000000000000001</v>
      </c>
      <c r="K128" s="286">
        <v>0.17</v>
      </c>
      <c r="L128" s="286">
        <v>1.63</v>
      </c>
      <c r="M128" s="285">
        <v>-0.15</v>
      </c>
      <c r="N128" s="286">
        <v>0.25</v>
      </c>
      <c r="O128" s="287">
        <v>0</v>
      </c>
      <c r="P128" s="239">
        <v>0.37800000000000006</v>
      </c>
      <c r="Q128" s="215">
        <v>0.19750000000000001</v>
      </c>
      <c r="R128" s="291">
        <v>0.22500000000000001</v>
      </c>
      <c r="S128" s="194">
        <v>0.22500000000000001</v>
      </c>
      <c r="T128" s="107">
        <v>1</v>
      </c>
      <c r="U128" s="308">
        <v>0.22500000000000001</v>
      </c>
      <c r="V128" s="61">
        <v>3.5630000000000006</v>
      </c>
      <c r="W128" s="61">
        <v>3.6541760946125907</v>
      </c>
      <c r="X128" s="197">
        <v>3.9580000000000006</v>
      </c>
      <c r="Y128" s="236"/>
      <c r="Z128" s="281">
        <v>0.13</v>
      </c>
      <c r="AA128" s="296">
        <v>0.56319587078375832</v>
      </c>
      <c r="AB128" s="301">
        <v>5.0801693357026085</v>
      </c>
      <c r="AC128" s="145">
        <v>5.2101693357026084</v>
      </c>
      <c r="AD128" s="197">
        <v>5.6433652064863669</v>
      </c>
      <c r="AE128" s="238">
        <v>4.4460000000000006</v>
      </c>
      <c r="AF128" s="133">
        <v>3.9180000000000006</v>
      </c>
      <c r="AG128" s="202">
        <v>4.0680000000000005</v>
      </c>
      <c r="AH128" s="242">
        <v>-0.1</v>
      </c>
      <c r="AI128" s="283">
        <v>1.5043118547990599</v>
      </c>
      <c r="AJ128" s="88">
        <v>5.9061228118241008E-2</v>
      </c>
      <c r="AK128" s="88">
        <v>6.0212144102565805E-2</v>
      </c>
      <c r="AL128" s="90">
        <v>0.64568652150598649</v>
      </c>
      <c r="AM128" s="204">
        <v>0.64028601765683812</v>
      </c>
      <c r="AN128" s="184">
        <v>0.375</v>
      </c>
      <c r="AO128" s="205">
        <v>0.12</v>
      </c>
      <c r="AP128" s="72"/>
      <c r="AQ128" s="184">
        <v>-3.7028566770881635</v>
      </c>
      <c r="AR128" s="206">
        <v>-3.1978566770881636</v>
      </c>
      <c r="AS128" s="72"/>
      <c r="AT128" s="273">
        <v>7.4999999999999997E-3</v>
      </c>
      <c r="AU128" s="72"/>
      <c r="AV128" s="184">
        <v>8.0000000000000002E-3</v>
      </c>
      <c r="AW128" s="244"/>
      <c r="AX128" s="90">
        <v>0.03</v>
      </c>
      <c r="AY128" s="90"/>
      <c r="AZ128" s="302">
        <v>1</v>
      </c>
      <c r="BA128" s="302">
        <v>1</v>
      </c>
      <c r="BB128" s="252">
        <v>-0.505</v>
      </c>
      <c r="BC128" s="247"/>
      <c r="BD128" s="90"/>
      <c r="BE128" s="72"/>
      <c r="BF128" s="151"/>
      <c r="BG128" s="72"/>
      <c r="BH128" s="125"/>
      <c r="BI128" s="125"/>
      <c r="BJ128" s="72"/>
      <c r="BK128" s="151"/>
      <c r="BL128" s="72"/>
      <c r="BM128" s="72"/>
      <c r="BN128" s="90"/>
      <c r="BO128" s="90"/>
      <c r="BP128" s="125"/>
      <c r="BQ128" s="72"/>
      <c r="BR128" s="125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</row>
    <row r="129" spans="1:85" x14ac:dyDescent="0.2">
      <c r="A129" s="354">
        <v>39845</v>
      </c>
      <c r="B129" s="277">
        <v>3.95</v>
      </c>
      <c r="C129" s="307">
        <v>-0.505</v>
      </c>
      <c r="D129" s="188">
        <v>-0.41382323344940763</v>
      </c>
      <c r="E129" s="188">
        <v>-0.11</v>
      </c>
      <c r="F129" s="285">
        <v>0.185</v>
      </c>
      <c r="G129" s="286">
        <v>0.375</v>
      </c>
      <c r="H129" s="286">
        <v>0.29499999999999998</v>
      </c>
      <c r="I129" s="287">
        <v>0.39500000000000002</v>
      </c>
      <c r="J129" s="286">
        <v>0.14000000000000001</v>
      </c>
      <c r="K129" s="286">
        <v>0.17</v>
      </c>
      <c r="L129" s="286">
        <v>1.63</v>
      </c>
      <c r="M129" s="285">
        <v>-0.15</v>
      </c>
      <c r="N129" s="286">
        <v>0.25</v>
      </c>
      <c r="O129" s="287">
        <v>0</v>
      </c>
      <c r="P129" s="239">
        <v>0.248</v>
      </c>
      <c r="Q129" s="215">
        <v>0.1925</v>
      </c>
      <c r="R129" s="291">
        <v>0.22</v>
      </c>
      <c r="S129" s="194">
        <v>0.22</v>
      </c>
      <c r="T129" s="107">
        <v>1</v>
      </c>
      <c r="U129" s="308">
        <v>0.22</v>
      </c>
      <c r="V129" s="61">
        <v>3.4449999999999998</v>
      </c>
      <c r="W129" s="61">
        <v>3.5361767665505925</v>
      </c>
      <c r="X129" s="197">
        <v>3.84</v>
      </c>
      <c r="Y129" s="62"/>
      <c r="Z129" s="281">
        <v>0.13</v>
      </c>
      <c r="AA129" s="296">
        <v>0.56319172024494257</v>
      </c>
      <c r="AB129" s="301">
        <v>4.9118872816299453</v>
      </c>
      <c r="AC129" s="145">
        <v>5.0418872816299452</v>
      </c>
      <c r="AD129" s="197">
        <v>5.4750790018748878</v>
      </c>
      <c r="AE129" s="238">
        <v>4.1980000000000004</v>
      </c>
      <c r="AF129" s="133">
        <v>3.8</v>
      </c>
      <c r="AG129" s="202">
        <v>3.95</v>
      </c>
      <c r="AH129" s="242">
        <v>-0.1</v>
      </c>
      <c r="AI129" s="283">
        <v>1.5043007685943</v>
      </c>
      <c r="AJ129" s="88">
        <v>5.91377738482564E-2</v>
      </c>
      <c r="AK129" s="88">
        <v>6.0276875019877905E-2</v>
      </c>
      <c r="AL129" s="90">
        <v>0.64214164967952814</v>
      </c>
      <c r="AM129" s="204">
        <v>0.63676610228037056</v>
      </c>
      <c r="AN129" s="184">
        <v>0.375</v>
      </c>
      <c r="AO129" s="205">
        <v>0.13300000000000001</v>
      </c>
      <c r="AP129" s="72"/>
      <c r="AQ129" s="184">
        <v>-3.58487109867758</v>
      </c>
      <c r="AR129" s="206">
        <v>-3.0798710986775801</v>
      </c>
      <c r="AS129" s="72"/>
      <c r="AT129" s="273">
        <v>7.4999999999999997E-3</v>
      </c>
      <c r="AU129" s="72"/>
      <c r="AV129" s="184">
        <v>8.0000000000000002E-3</v>
      </c>
      <c r="AW129" s="244"/>
      <c r="AX129" s="90">
        <v>2.5000000000000001E-2</v>
      </c>
      <c r="AY129" s="90"/>
      <c r="AZ129" s="302">
        <v>1</v>
      </c>
      <c r="BA129" s="302">
        <v>1</v>
      </c>
      <c r="BB129" s="252">
        <v>-0.505</v>
      </c>
      <c r="BC129" s="247"/>
      <c r="BD129" s="90"/>
      <c r="BE129" s="72"/>
      <c r="BF129" s="151"/>
      <c r="BG129" s="72"/>
      <c r="BH129" s="125"/>
      <c r="BI129" s="125"/>
      <c r="BJ129" s="72"/>
      <c r="BK129" s="151"/>
      <c r="BL129" s="72"/>
      <c r="BM129" s="72"/>
      <c r="BN129" s="90"/>
      <c r="BO129" s="90"/>
      <c r="BP129" s="125"/>
      <c r="BQ129" s="72"/>
      <c r="BR129" s="125"/>
      <c r="BS129" s="72"/>
      <c r="BT129" s="72"/>
      <c r="BU129" s="72"/>
      <c r="BV129" s="72"/>
      <c r="BW129" s="72"/>
      <c r="BX129" s="72"/>
      <c r="BY129" s="72"/>
      <c r="BZ129" s="72"/>
      <c r="CA129" s="72"/>
      <c r="CB129" s="72"/>
      <c r="CC129" s="72"/>
      <c r="CD129" s="72"/>
      <c r="CE129" s="72"/>
      <c r="CF129" s="72"/>
      <c r="CG129" s="72"/>
    </row>
    <row r="130" spans="1:85" x14ac:dyDescent="0.2">
      <c r="A130" s="354">
        <v>39873</v>
      </c>
      <c r="B130" s="277">
        <v>3.8170000000000002</v>
      </c>
      <c r="C130" s="307">
        <v>-0.505</v>
      </c>
      <c r="D130" s="188">
        <v>-0.41382277918324517</v>
      </c>
      <c r="E130" s="188">
        <v>-0.11</v>
      </c>
      <c r="F130" s="285">
        <v>0.185</v>
      </c>
      <c r="G130" s="286">
        <v>0.375</v>
      </c>
      <c r="H130" s="286">
        <v>0.29499999999999998</v>
      </c>
      <c r="I130" s="287">
        <v>0.39500000000000002</v>
      </c>
      <c r="J130" s="286">
        <v>0.14000000000000001</v>
      </c>
      <c r="K130" s="286">
        <v>0.17</v>
      </c>
      <c r="L130" s="286">
        <v>0.72</v>
      </c>
      <c r="M130" s="285">
        <v>-0.15</v>
      </c>
      <c r="N130" s="286">
        <v>0.25</v>
      </c>
      <c r="O130" s="287">
        <v>0</v>
      </c>
      <c r="P130" s="239">
        <v>6.8000000000000005E-2</v>
      </c>
      <c r="Q130" s="215">
        <v>0.1825</v>
      </c>
      <c r="R130" s="291">
        <v>0.20499999999999999</v>
      </c>
      <c r="S130" s="194">
        <v>0.20499999999999999</v>
      </c>
      <c r="T130" s="107">
        <v>0.75</v>
      </c>
      <c r="U130" s="308">
        <v>0.20499999999999999</v>
      </c>
      <c r="V130" s="61">
        <v>3.3120000000000003</v>
      </c>
      <c r="W130" s="61">
        <v>3.403177220816755</v>
      </c>
      <c r="X130" s="197">
        <v>3.7070000000000003</v>
      </c>
      <c r="Y130" s="62"/>
      <c r="Z130" s="281">
        <v>0.13</v>
      </c>
      <c r="AA130" s="296">
        <v>0.56318891429254681</v>
      </c>
      <c r="AB130" s="301">
        <v>4.7222321117390269</v>
      </c>
      <c r="AC130" s="145">
        <v>4.8522321117390268</v>
      </c>
      <c r="AD130" s="197">
        <v>5.2854210260315737</v>
      </c>
      <c r="AE130" s="238">
        <v>3.8849999999999998</v>
      </c>
      <c r="AF130" s="133">
        <v>3.6670000000000003</v>
      </c>
      <c r="AG130" s="202">
        <v>3.8170000000000002</v>
      </c>
      <c r="AH130" s="242">
        <v>-0.1</v>
      </c>
      <c r="AI130" s="283">
        <v>1.5042932738173098</v>
      </c>
      <c r="AJ130" s="88">
        <v>5.92069119286531E-2</v>
      </c>
      <c r="AK130" s="88">
        <v>6.0335341656065501E-2</v>
      </c>
      <c r="AL130" s="90">
        <v>0.63894964119102327</v>
      </c>
      <c r="AM130" s="204">
        <v>0.63359765824102854</v>
      </c>
      <c r="AN130" s="184">
        <v>0.375</v>
      </c>
      <c r="AO130" s="205">
        <v>0.12</v>
      </c>
      <c r="AP130" s="72"/>
      <c r="AQ130" s="184">
        <v>-3.4518844786108582</v>
      </c>
      <c r="AR130" s="206">
        <v>-2.9468844786108583</v>
      </c>
      <c r="AS130" s="72"/>
      <c r="AT130" s="273">
        <v>7.4999999999999997E-3</v>
      </c>
      <c r="AU130" s="72"/>
      <c r="AV130" s="184">
        <v>8.0000000000000002E-3</v>
      </c>
      <c r="AW130" s="244"/>
      <c r="AX130" s="90">
        <v>5.0000000000000001E-3</v>
      </c>
      <c r="AY130" s="90"/>
      <c r="AZ130" s="302">
        <v>0.75</v>
      </c>
      <c r="BA130" s="302">
        <v>0.75</v>
      </c>
      <c r="BB130" s="252">
        <v>-0.505</v>
      </c>
      <c r="BC130" s="247"/>
      <c r="BD130" s="90"/>
      <c r="BE130" s="72"/>
      <c r="BF130" s="151"/>
      <c r="BG130" s="72"/>
      <c r="BH130" s="125"/>
      <c r="BI130" s="125"/>
      <c r="BJ130" s="72"/>
      <c r="BK130" s="151"/>
      <c r="BL130" s="72"/>
      <c r="BM130" s="72"/>
      <c r="BN130" s="90"/>
      <c r="BO130" s="90"/>
      <c r="BP130" s="125"/>
      <c r="BQ130" s="72"/>
      <c r="BR130" s="125"/>
      <c r="BS130" s="72"/>
      <c r="BT130" s="72"/>
      <c r="BU130" s="72"/>
      <c r="BV130" s="72"/>
      <c r="BW130" s="72"/>
      <c r="BX130" s="72"/>
      <c r="BY130" s="72"/>
      <c r="BZ130" s="72"/>
      <c r="CA130" s="72"/>
      <c r="CB130" s="72"/>
      <c r="CC130" s="72"/>
      <c r="CD130" s="72"/>
      <c r="CE130" s="72"/>
      <c r="CF130" s="72"/>
      <c r="CG130" s="72"/>
    </row>
    <row r="131" spans="1:85" x14ac:dyDescent="0.2">
      <c r="A131" s="354">
        <v>39904</v>
      </c>
      <c r="B131" s="277">
        <v>3.597</v>
      </c>
      <c r="C131" s="298">
        <v>-0.66</v>
      </c>
      <c r="D131" s="188">
        <v>-0.56882244523206849</v>
      </c>
      <c r="E131" s="188">
        <v>-0.589863419409284</v>
      </c>
      <c r="F131" s="285">
        <v>0.125</v>
      </c>
      <c r="G131" s="286">
        <v>0.125</v>
      </c>
      <c r="H131" s="286">
        <v>0.16</v>
      </c>
      <c r="I131" s="287">
        <v>0.12</v>
      </c>
      <c r="J131" s="286">
        <v>0.04</v>
      </c>
      <c r="K131" s="286">
        <v>0.11</v>
      </c>
      <c r="L131" s="286">
        <v>0.48</v>
      </c>
      <c r="M131" s="285">
        <v>-0.22</v>
      </c>
      <c r="N131" s="286">
        <v>0.25</v>
      </c>
      <c r="O131" s="287">
        <v>0</v>
      </c>
      <c r="P131" s="239">
        <v>-0.25</v>
      </c>
      <c r="Q131" s="215">
        <v>0.1825</v>
      </c>
      <c r="R131" s="291">
        <v>0.19500000000000001</v>
      </c>
      <c r="S131" s="194">
        <v>0.19500000000000001</v>
      </c>
      <c r="T131" s="107">
        <v>0.4</v>
      </c>
      <c r="U131" s="308">
        <v>0.19500000000000001</v>
      </c>
      <c r="V131" s="61">
        <v>2.9369999999999998</v>
      </c>
      <c r="W131" s="61">
        <v>3.0281775547679315</v>
      </c>
      <c r="X131" s="197">
        <v>3.007136580590716</v>
      </c>
      <c r="Y131" s="62"/>
      <c r="Z131" s="281">
        <v>0.13</v>
      </c>
      <c r="AA131" s="296">
        <v>0.1</v>
      </c>
      <c r="AB131" s="301">
        <v>4.1875437542912302</v>
      </c>
      <c r="AC131" s="145">
        <v>4.3175437542912301</v>
      </c>
      <c r="AD131" s="197">
        <v>4.2875437542912298</v>
      </c>
      <c r="AE131" s="238">
        <v>3.347</v>
      </c>
      <c r="AF131" s="133">
        <v>3.3769999999999998</v>
      </c>
      <c r="AG131" s="202">
        <v>3.597</v>
      </c>
      <c r="AH131" s="242">
        <v>-0.1</v>
      </c>
      <c r="AI131" s="283">
        <v>1.5042877641224</v>
      </c>
      <c r="AJ131" s="88">
        <v>5.9283457662375298E-2</v>
      </c>
      <c r="AK131" s="88">
        <v>6.0400072576027003E-2</v>
      </c>
      <c r="AL131" s="90">
        <v>0.63542651858004484</v>
      </c>
      <c r="AM131" s="204">
        <v>0.63010173823260207</v>
      </c>
      <c r="AN131" s="184">
        <v>0.125</v>
      </c>
      <c r="AO131" s="205">
        <v>0.124</v>
      </c>
      <c r="AP131" s="72"/>
      <c r="AQ131" s="184">
        <v>-3.5568927356086513</v>
      </c>
      <c r="AR131" s="206">
        <v>-2.8968927356086511</v>
      </c>
      <c r="AS131" s="72"/>
      <c r="AT131" s="273">
        <v>7.4999999999999997E-3</v>
      </c>
      <c r="AU131" s="72"/>
      <c r="AV131" s="184">
        <v>2.5000000000000001E-3</v>
      </c>
      <c r="AW131" s="244"/>
      <c r="AX131" s="90">
        <v>-0.105</v>
      </c>
      <c r="AY131" s="90"/>
      <c r="AZ131" s="302">
        <v>0.4</v>
      </c>
      <c r="BA131" s="302">
        <v>0.4</v>
      </c>
      <c r="BB131" s="252">
        <v>-0.66</v>
      </c>
      <c r="BC131" s="247"/>
      <c r="BD131" s="90"/>
      <c r="BE131" s="72"/>
      <c r="BF131" s="151"/>
      <c r="BG131" s="72"/>
      <c r="BH131" s="125"/>
      <c r="BI131" s="125"/>
      <c r="BJ131" s="72"/>
      <c r="BK131" s="151"/>
      <c r="BL131" s="72"/>
      <c r="BM131" s="72"/>
      <c r="BN131" s="90"/>
      <c r="BO131" s="90"/>
      <c r="BP131" s="125"/>
      <c r="BQ131" s="72"/>
      <c r="BR131" s="125"/>
      <c r="BS131" s="72"/>
      <c r="BT131" s="72"/>
      <c r="BU131" s="72"/>
      <c r="BV131" s="72"/>
      <c r="BW131" s="72"/>
      <c r="BX131" s="72"/>
      <c r="BY131" s="72"/>
      <c r="BZ131" s="72"/>
      <c r="CA131" s="72"/>
      <c r="CB131" s="72"/>
      <c r="CC131" s="72"/>
      <c r="CD131" s="72"/>
      <c r="CE131" s="72"/>
      <c r="CF131" s="72"/>
      <c r="CG131" s="72"/>
    </row>
    <row r="132" spans="1:85" x14ac:dyDescent="0.2">
      <c r="A132" s="354">
        <v>39934</v>
      </c>
      <c r="B132" s="277">
        <v>3.5870000000000002</v>
      </c>
      <c r="C132" s="303">
        <v>-0.66</v>
      </c>
      <c r="D132" s="188">
        <v>-0.56882229111738924</v>
      </c>
      <c r="E132" s="188">
        <v>-0.58986330085953043</v>
      </c>
      <c r="F132" s="285">
        <v>0.125</v>
      </c>
      <c r="G132" s="286">
        <v>0.125</v>
      </c>
      <c r="H132" s="286">
        <v>0.16</v>
      </c>
      <c r="I132" s="287">
        <v>0.12</v>
      </c>
      <c r="J132" s="286">
        <v>0.04</v>
      </c>
      <c r="K132" s="286">
        <v>0.11</v>
      </c>
      <c r="L132" s="286">
        <v>0.42</v>
      </c>
      <c r="M132" s="285">
        <v>-0.27</v>
      </c>
      <c r="N132" s="286">
        <v>0.25</v>
      </c>
      <c r="O132" s="287">
        <v>0</v>
      </c>
      <c r="P132" s="239">
        <v>-0.25</v>
      </c>
      <c r="Q132" s="215">
        <v>0.1825</v>
      </c>
      <c r="R132" s="291">
        <v>0.19500000000000001</v>
      </c>
      <c r="S132" s="194">
        <v>0.19500000000000001</v>
      </c>
      <c r="T132" s="107">
        <v>0.45</v>
      </c>
      <c r="U132" s="308">
        <v>0.19500000000000001</v>
      </c>
      <c r="V132" s="61">
        <v>2.927</v>
      </c>
      <c r="W132" s="61">
        <v>3.0181777088826109</v>
      </c>
      <c r="X132" s="197">
        <v>2.9971366991404698</v>
      </c>
      <c r="Y132" s="62"/>
      <c r="Z132" s="281">
        <v>0.13</v>
      </c>
      <c r="AA132" s="296">
        <v>0.1</v>
      </c>
      <c r="AB132" s="301">
        <v>4.1732788053480894</v>
      </c>
      <c r="AC132" s="145">
        <v>4.3032788053480893</v>
      </c>
      <c r="AD132" s="197">
        <v>4.273278805348089</v>
      </c>
      <c r="AE132" s="238">
        <v>3.3370000000000002</v>
      </c>
      <c r="AF132" s="133">
        <v>3.3170000000000002</v>
      </c>
      <c r="AG132" s="202">
        <v>3.5870000000000002</v>
      </c>
      <c r="AH132" s="242">
        <v>-0.1</v>
      </c>
      <c r="AI132" s="283">
        <v>1.5042852214743199</v>
      </c>
      <c r="AJ132" s="88">
        <v>5.9357534180734202E-2</v>
      </c>
      <c r="AK132" s="88">
        <v>6.0462715403121405E-2</v>
      </c>
      <c r="AL132" s="90">
        <v>0.63202796141063833</v>
      </c>
      <c r="AM132" s="204">
        <v>0.62673060112627743</v>
      </c>
      <c r="AN132" s="184">
        <v>0.125</v>
      </c>
      <c r="AO132" s="205">
        <v>0.12</v>
      </c>
      <c r="AP132" s="72"/>
      <c r="AQ132" s="184">
        <v>-3.5468926171084503</v>
      </c>
      <c r="AR132" s="206">
        <v>-2.8868926171084501</v>
      </c>
      <c r="AS132" s="72"/>
      <c r="AT132" s="273">
        <v>7.4999999999999997E-3</v>
      </c>
      <c r="AU132" s="72"/>
      <c r="AV132" s="184">
        <v>2.5000000000000001E-3</v>
      </c>
      <c r="AW132" s="244"/>
      <c r="AX132" s="90">
        <v>-0.105</v>
      </c>
      <c r="AY132" s="90"/>
      <c r="AZ132" s="302">
        <v>0.45</v>
      </c>
      <c r="BA132" s="302">
        <v>0.45</v>
      </c>
      <c r="BB132" s="252">
        <v>-0.66</v>
      </c>
      <c r="BC132" s="247"/>
      <c r="BD132" s="90"/>
      <c r="BE132" s="72"/>
      <c r="BF132" s="151"/>
      <c r="BG132" s="72"/>
      <c r="BH132" s="125"/>
      <c r="BI132" s="125"/>
      <c r="BJ132" s="72"/>
      <c r="BK132" s="151"/>
      <c r="BL132" s="72"/>
      <c r="BM132" s="72"/>
      <c r="BN132" s="90"/>
      <c r="BO132" s="90"/>
      <c r="BP132" s="125"/>
      <c r="BQ132" s="72"/>
      <c r="BR132" s="125"/>
      <c r="BS132" s="72"/>
      <c r="BT132" s="72"/>
      <c r="BU132" s="72"/>
      <c r="BV132" s="72"/>
      <c r="BW132" s="72"/>
      <c r="BX132" s="72"/>
      <c r="BY132" s="72"/>
      <c r="BZ132" s="72"/>
      <c r="CA132" s="72"/>
      <c r="CB132" s="72"/>
      <c r="CC132" s="72"/>
      <c r="CD132" s="72"/>
      <c r="CE132" s="72"/>
      <c r="CF132" s="72"/>
      <c r="CG132" s="72"/>
    </row>
    <row r="133" spans="1:85" x14ac:dyDescent="0.2">
      <c r="A133" s="354">
        <v>39965</v>
      </c>
      <c r="B133" s="277">
        <v>3.6230000000000002</v>
      </c>
      <c r="C133" s="303">
        <v>-0.66</v>
      </c>
      <c r="D133" s="188">
        <v>-0.56882230654803445</v>
      </c>
      <c r="E133" s="188">
        <v>-0.58986331272925741</v>
      </c>
      <c r="F133" s="285">
        <v>0.125</v>
      </c>
      <c r="G133" s="286">
        <v>0.125</v>
      </c>
      <c r="H133" s="286">
        <v>0.16</v>
      </c>
      <c r="I133" s="287">
        <v>0.12</v>
      </c>
      <c r="J133" s="286">
        <v>0.04</v>
      </c>
      <c r="K133" s="286">
        <v>0.11</v>
      </c>
      <c r="L133" s="286">
        <v>0.42</v>
      </c>
      <c r="M133" s="285">
        <v>-0.27</v>
      </c>
      <c r="N133" s="286">
        <v>0.25</v>
      </c>
      <c r="O133" s="287">
        <v>0</v>
      </c>
      <c r="P133" s="239">
        <v>-0.25</v>
      </c>
      <c r="Q133" s="215">
        <v>0.1825</v>
      </c>
      <c r="R133" s="291">
        <v>0.19500000000000001</v>
      </c>
      <c r="S133" s="194">
        <v>0.19500000000000001</v>
      </c>
      <c r="T133" s="107">
        <v>0.45</v>
      </c>
      <c r="U133" s="308">
        <v>0.19500000000000001</v>
      </c>
      <c r="V133" s="61">
        <v>2.9630000000000001</v>
      </c>
      <c r="W133" s="61">
        <v>3.0541776934519658</v>
      </c>
      <c r="X133" s="197">
        <v>3.0331366872707428</v>
      </c>
      <c r="Y133" s="62"/>
      <c r="Z133" s="281">
        <v>0.13</v>
      </c>
      <c r="AA133" s="296">
        <v>0.1</v>
      </c>
      <c r="AB133" s="301">
        <v>4.2246078554611124</v>
      </c>
      <c r="AC133" s="145">
        <v>4.3546078554611123</v>
      </c>
      <c r="AD133" s="197">
        <v>4.324607855461112</v>
      </c>
      <c r="AE133" s="238">
        <v>3.3730000000000002</v>
      </c>
      <c r="AF133" s="133">
        <v>3.3530000000000002</v>
      </c>
      <c r="AG133" s="202">
        <v>3.6230000000000002</v>
      </c>
      <c r="AH133" s="242">
        <v>-0.1</v>
      </c>
      <c r="AI133" s="283">
        <v>1.5042854760551398</v>
      </c>
      <c r="AJ133" s="88">
        <v>5.9434079918288397E-2</v>
      </c>
      <c r="AK133" s="88">
        <v>6.0527446325821202E-2</v>
      </c>
      <c r="AL133" s="90">
        <v>0.62852742384968063</v>
      </c>
      <c r="AM133" s="204">
        <v>0.62325950889876702</v>
      </c>
      <c r="AN133" s="184">
        <v>0.125</v>
      </c>
      <c r="AO133" s="205">
        <v>0.124</v>
      </c>
      <c r="AP133" s="72"/>
      <c r="AQ133" s="184">
        <v>-3.5828926289732159</v>
      </c>
      <c r="AR133" s="206">
        <v>-2.9228926289732158</v>
      </c>
      <c r="AS133" s="72"/>
      <c r="AT133" s="273">
        <v>7.4999999999999997E-3</v>
      </c>
      <c r="AU133" s="72"/>
      <c r="AV133" s="184">
        <v>2.5000000000000001E-3</v>
      </c>
      <c r="AW133" s="244"/>
      <c r="AX133" s="90">
        <v>-0.105</v>
      </c>
      <c r="AY133" s="90"/>
      <c r="AZ133" s="302">
        <v>0.45</v>
      </c>
      <c r="BA133" s="302">
        <v>0.45</v>
      </c>
      <c r="BB133" s="252">
        <v>-0.66</v>
      </c>
      <c r="BC133" s="247"/>
      <c r="BD133" s="90"/>
      <c r="BE133" s="72"/>
      <c r="BF133" s="151"/>
      <c r="BG133" s="72"/>
      <c r="BH133" s="125"/>
      <c r="BI133" s="125"/>
      <c r="BJ133" s="72"/>
      <c r="BK133" s="151"/>
      <c r="BL133" s="72"/>
      <c r="BM133" s="72"/>
      <c r="BN133" s="90"/>
      <c r="BO133" s="90"/>
      <c r="BP133" s="125"/>
      <c r="BQ133" s="72"/>
      <c r="BR133" s="125"/>
      <c r="BS133" s="72"/>
      <c r="BT133" s="72"/>
      <c r="BU133" s="72"/>
      <c r="BV133" s="72"/>
      <c r="BW133" s="72"/>
      <c r="BX133" s="72"/>
      <c r="BY133" s="72"/>
      <c r="BZ133" s="72"/>
      <c r="CA133" s="72"/>
      <c r="CB133" s="72"/>
      <c r="CC133" s="72"/>
      <c r="CD133" s="72"/>
      <c r="CE133" s="72"/>
      <c r="CF133" s="72"/>
      <c r="CG133" s="72"/>
    </row>
    <row r="134" spans="1:85" x14ac:dyDescent="0.2">
      <c r="A134" s="354">
        <v>39995</v>
      </c>
      <c r="B134" s="277">
        <v>3.665</v>
      </c>
      <c r="C134" s="303">
        <v>-0.66</v>
      </c>
      <c r="D134" s="188">
        <v>-0.56882249051139055</v>
      </c>
      <c r="E134" s="188">
        <v>-0.58986345423953113</v>
      </c>
      <c r="F134" s="285">
        <v>0.125</v>
      </c>
      <c r="G134" s="286">
        <v>0.125</v>
      </c>
      <c r="H134" s="286">
        <v>0.16</v>
      </c>
      <c r="I134" s="287">
        <v>0.12</v>
      </c>
      <c r="J134" s="286">
        <v>0.04</v>
      </c>
      <c r="K134" s="286">
        <v>0.11</v>
      </c>
      <c r="L134" s="286">
        <v>0.48</v>
      </c>
      <c r="M134" s="285">
        <v>-0.27</v>
      </c>
      <c r="N134" s="286">
        <v>0.25</v>
      </c>
      <c r="O134" s="287">
        <v>0</v>
      </c>
      <c r="P134" s="239">
        <v>-0.25</v>
      </c>
      <c r="Q134" s="215">
        <v>0.1825</v>
      </c>
      <c r="R134" s="291">
        <v>0.19500000000000001</v>
      </c>
      <c r="S134" s="194">
        <v>0.19500000000000001</v>
      </c>
      <c r="T134" s="107">
        <v>0.5</v>
      </c>
      <c r="U134" s="308">
        <v>0.19500000000000001</v>
      </c>
      <c r="V134" s="61">
        <v>3.0049999999999999</v>
      </c>
      <c r="W134" s="61">
        <v>3.0961775094886095</v>
      </c>
      <c r="X134" s="197">
        <v>3.0751365457604689</v>
      </c>
      <c r="Y134" s="62"/>
      <c r="Z134" s="281">
        <v>0.13</v>
      </c>
      <c r="AA134" s="296">
        <v>0.1</v>
      </c>
      <c r="AB134" s="301">
        <v>4.284499567832575</v>
      </c>
      <c r="AC134" s="145">
        <v>4.4144995678325749</v>
      </c>
      <c r="AD134" s="197">
        <v>4.3844995678325747</v>
      </c>
      <c r="AE134" s="238">
        <v>3.415</v>
      </c>
      <c r="AF134" s="133">
        <v>3.395</v>
      </c>
      <c r="AG134" s="202">
        <v>3.665</v>
      </c>
      <c r="AH134" s="242">
        <v>-0.1</v>
      </c>
      <c r="AI134" s="283">
        <v>1.5042885111611199</v>
      </c>
      <c r="AJ134" s="88">
        <v>5.9508156440355904E-2</v>
      </c>
      <c r="AK134" s="88">
        <v>6.0590089155566407E-2</v>
      </c>
      <c r="AL134" s="90">
        <v>0.62515077008861075</v>
      </c>
      <c r="AM134" s="204">
        <v>0.61991240684761117</v>
      </c>
      <c r="AN134" s="184">
        <v>0.125</v>
      </c>
      <c r="AO134" s="205">
        <v>0.12</v>
      </c>
      <c r="AP134" s="72"/>
      <c r="AQ134" s="184">
        <v>-3.6248927704243403</v>
      </c>
      <c r="AR134" s="206">
        <v>-2.9648927704243402</v>
      </c>
      <c r="AS134" s="72"/>
      <c r="AT134" s="273">
        <v>7.4999999999999997E-3</v>
      </c>
      <c r="AU134" s="72"/>
      <c r="AV134" s="184">
        <v>2.5000000000000001E-3</v>
      </c>
      <c r="AW134" s="244"/>
      <c r="AX134" s="90">
        <v>-0.105</v>
      </c>
      <c r="AY134" s="90"/>
      <c r="AZ134" s="302">
        <v>0.5</v>
      </c>
      <c r="BA134" s="302">
        <v>0.5</v>
      </c>
      <c r="BB134" s="252">
        <v>-0.66</v>
      </c>
      <c r="BC134" s="247"/>
      <c r="BD134" s="90"/>
      <c r="BE134" s="72"/>
      <c r="BF134" s="151"/>
      <c r="BG134" s="72"/>
      <c r="BH134" s="125"/>
      <c r="BI134" s="125"/>
      <c r="BJ134" s="72"/>
      <c r="BK134" s="151"/>
      <c r="BL134" s="72"/>
      <c r="BM134" s="72"/>
      <c r="BN134" s="90"/>
      <c r="BO134" s="90"/>
      <c r="BP134" s="125"/>
      <c r="BQ134" s="72"/>
      <c r="BR134" s="125"/>
      <c r="BS134" s="72"/>
      <c r="BT134" s="72"/>
      <c r="BU134" s="72"/>
      <c r="BV134" s="72"/>
      <c r="BW134" s="72"/>
      <c r="BX134" s="72"/>
      <c r="BY134" s="72"/>
      <c r="BZ134" s="72"/>
      <c r="CA134" s="72"/>
      <c r="CB134" s="72"/>
      <c r="CC134" s="72"/>
      <c r="CD134" s="72"/>
      <c r="CE134" s="72"/>
      <c r="CF134" s="72"/>
      <c r="CG134" s="72"/>
    </row>
    <row r="135" spans="1:85" x14ac:dyDescent="0.2">
      <c r="A135" s="354">
        <v>40026</v>
      </c>
      <c r="B135" s="277">
        <v>3.714</v>
      </c>
      <c r="C135" s="303">
        <v>-0.66</v>
      </c>
      <c r="D135" s="188">
        <v>-0.56882285525283827</v>
      </c>
      <c r="E135" s="188">
        <v>-0.58986373480987586</v>
      </c>
      <c r="F135" s="285">
        <v>0.125</v>
      </c>
      <c r="G135" s="286">
        <v>0.125</v>
      </c>
      <c r="H135" s="286">
        <v>0.16</v>
      </c>
      <c r="I135" s="287">
        <v>0.12</v>
      </c>
      <c r="J135" s="286">
        <v>0.04</v>
      </c>
      <c r="K135" s="286">
        <v>0.11</v>
      </c>
      <c r="L135" s="286">
        <v>0.48</v>
      </c>
      <c r="M135" s="285">
        <v>-0.27</v>
      </c>
      <c r="N135" s="286">
        <v>0.25</v>
      </c>
      <c r="O135" s="287">
        <v>0</v>
      </c>
      <c r="P135" s="239">
        <v>-0.25</v>
      </c>
      <c r="Q135" s="215">
        <v>0.1825</v>
      </c>
      <c r="R135" s="291">
        <v>0.19500000000000001</v>
      </c>
      <c r="S135" s="194">
        <v>0.19500000000000001</v>
      </c>
      <c r="T135" s="107">
        <v>0.55000000000000004</v>
      </c>
      <c r="U135" s="308">
        <v>0.19500000000000001</v>
      </c>
      <c r="V135" s="61">
        <v>3.0539999999999998</v>
      </c>
      <c r="W135" s="61">
        <v>3.1451771447471617</v>
      </c>
      <c r="X135" s="197">
        <v>3.1241362651901241</v>
      </c>
      <c r="Y135" s="62"/>
      <c r="Z135" s="281">
        <v>0.13</v>
      </c>
      <c r="AA135" s="296">
        <v>0.1</v>
      </c>
      <c r="AB135" s="301">
        <v>4.3543807069299483</v>
      </c>
      <c r="AC135" s="145">
        <v>4.4843807069299482</v>
      </c>
      <c r="AD135" s="197">
        <v>4.4543807069299479</v>
      </c>
      <c r="AE135" s="238">
        <v>3.464</v>
      </c>
      <c r="AF135" s="133">
        <v>3.444</v>
      </c>
      <c r="AG135" s="202">
        <v>3.714</v>
      </c>
      <c r="AH135" s="242">
        <v>-0.1</v>
      </c>
      <c r="AI135" s="283">
        <v>1.5042945288574601</v>
      </c>
      <c r="AJ135" s="88">
        <v>5.9584702181741701E-2</v>
      </c>
      <c r="AK135" s="88">
        <v>6.0654820081005298E-2</v>
      </c>
      <c r="AL135" s="90">
        <v>0.62167291341159536</v>
      </c>
      <c r="AM135" s="204">
        <v>0.61646615846008179</v>
      </c>
      <c r="AN135" s="184">
        <v>0.125</v>
      </c>
      <c r="AO135" s="205">
        <v>0.12</v>
      </c>
      <c r="AP135" s="72"/>
      <c r="AQ135" s="184">
        <v>-3.6738930508774104</v>
      </c>
      <c r="AR135" s="206">
        <v>-3.0138930508774102</v>
      </c>
      <c r="AS135" s="72"/>
      <c r="AT135" s="273">
        <v>7.4999999999999997E-3</v>
      </c>
      <c r="AU135" s="72"/>
      <c r="AV135" s="184">
        <v>2.5000000000000001E-3</v>
      </c>
      <c r="AW135" s="244"/>
      <c r="AX135" s="90">
        <v>-0.105</v>
      </c>
      <c r="AY135" s="90"/>
      <c r="AZ135" s="302">
        <v>0.55000000000000004</v>
      </c>
      <c r="BA135" s="302">
        <v>0.55000000000000004</v>
      </c>
      <c r="BB135" s="252">
        <v>-0.66</v>
      </c>
      <c r="BC135" s="247"/>
      <c r="BD135" s="90"/>
      <c r="BE135" s="72"/>
      <c r="BF135" s="151"/>
      <c r="BG135" s="72"/>
      <c r="BH135" s="125"/>
      <c r="BI135" s="125"/>
      <c r="BJ135" s="72"/>
      <c r="BK135" s="151"/>
      <c r="BL135" s="72"/>
      <c r="BM135" s="72"/>
      <c r="BN135" s="90"/>
      <c r="BO135" s="90"/>
      <c r="BP135" s="125"/>
      <c r="BQ135" s="72"/>
      <c r="BR135" s="125"/>
      <c r="BS135" s="72"/>
      <c r="BT135" s="72"/>
      <c r="BU135" s="72"/>
      <c r="BV135" s="72"/>
      <c r="BW135" s="72"/>
      <c r="BX135" s="72"/>
      <c r="BY135" s="72"/>
      <c r="BZ135" s="72"/>
      <c r="CA135" s="72"/>
      <c r="CB135" s="72"/>
      <c r="CC135" s="72"/>
      <c r="CD135" s="72"/>
      <c r="CE135" s="72"/>
      <c r="CF135" s="72"/>
      <c r="CG135" s="72"/>
    </row>
    <row r="136" spans="1:85" x14ac:dyDescent="0.2">
      <c r="A136" s="354">
        <v>40057</v>
      </c>
      <c r="B136" s="277">
        <v>3.7290000000000001</v>
      </c>
      <c r="C136" s="303">
        <v>-0.66</v>
      </c>
      <c r="D136" s="188">
        <v>-0.56882339748315047</v>
      </c>
      <c r="E136" s="188">
        <v>-0.58986415191011554</v>
      </c>
      <c r="F136" s="285">
        <v>0.125</v>
      </c>
      <c r="G136" s="286">
        <v>0.125</v>
      </c>
      <c r="H136" s="286">
        <v>0.16</v>
      </c>
      <c r="I136" s="287">
        <v>0.12</v>
      </c>
      <c r="J136" s="286">
        <v>0.04</v>
      </c>
      <c r="K136" s="286">
        <v>0.11</v>
      </c>
      <c r="L136" s="286">
        <v>0.44</v>
      </c>
      <c r="M136" s="285">
        <v>-0.27</v>
      </c>
      <c r="N136" s="286">
        <v>0.25</v>
      </c>
      <c r="O136" s="287">
        <v>0</v>
      </c>
      <c r="P136" s="239">
        <v>-0.25</v>
      </c>
      <c r="Q136" s="215">
        <v>0.1825</v>
      </c>
      <c r="R136" s="291">
        <v>0.19500000000000001</v>
      </c>
      <c r="S136" s="194">
        <v>0.19500000000000001</v>
      </c>
      <c r="T136" s="107">
        <v>0.55000000000000004</v>
      </c>
      <c r="U136" s="308">
        <v>0.19500000000000001</v>
      </c>
      <c r="V136" s="61">
        <v>3.069</v>
      </c>
      <c r="W136" s="61">
        <v>3.1601766025168496</v>
      </c>
      <c r="X136" s="197">
        <v>3.1391358480898846</v>
      </c>
      <c r="Y136" s="62"/>
      <c r="Z136" s="281">
        <v>0.13</v>
      </c>
      <c r="AA136" s="296">
        <v>0.1</v>
      </c>
      <c r="AB136" s="301">
        <v>4.3757936684059651</v>
      </c>
      <c r="AC136" s="145">
        <v>4.505793668405965</v>
      </c>
      <c r="AD136" s="197">
        <v>4.4757936684059647</v>
      </c>
      <c r="AE136" s="238">
        <v>3.4790000000000001</v>
      </c>
      <c r="AF136" s="133">
        <v>3.4590000000000001</v>
      </c>
      <c r="AG136" s="202">
        <v>3.7290000000000001</v>
      </c>
      <c r="AH136" s="242">
        <v>-0.1</v>
      </c>
      <c r="AI136" s="283">
        <v>1.50430347494745</v>
      </c>
      <c r="AJ136" s="88">
        <v>5.9661247925074407E-2</v>
      </c>
      <c r="AK136" s="88">
        <v>6.0719551007836006E-2</v>
      </c>
      <c r="AL136" s="90">
        <v>0.61820661840079716</v>
      </c>
      <c r="AM136" s="204">
        <v>0.61303254073555136</v>
      </c>
      <c r="AN136" s="184">
        <v>0.125</v>
      </c>
      <c r="AO136" s="205">
        <v>0.124</v>
      </c>
      <c r="AP136" s="72"/>
      <c r="AQ136" s="184">
        <v>-3.6888934678033078</v>
      </c>
      <c r="AR136" s="206">
        <v>-3.0288934678033077</v>
      </c>
      <c r="AS136" s="72"/>
      <c r="AT136" s="273">
        <v>7.4999999999999997E-3</v>
      </c>
      <c r="AU136" s="72"/>
      <c r="AV136" s="184">
        <v>2.5000000000000001E-3</v>
      </c>
      <c r="AW136" s="244"/>
      <c r="AX136" s="90">
        <v>-0.105</v>
      </c>
      <c r="AY136" s="90"/>
      <c r="AZ136" s="302">
        <v>0.55000000000000004</v>
      </c>
      <c r="BA136" s="302">
        <v>0.55000000000000004</v>
      </c>
      <c r="BB136" s="252">
        <v>-0.66</v>
      </c>
      <c r="BC136" s="247"/>
      <c r="BD136" s="90"/>
      <c r="BE136" s="72"/>
      <c r="BF136" s="151"/>
      <c r="BG136" s="72"/>
      <c r="BH136" s="125"/>
      <c r="BI136" s="125"/>
      <c r="BJ136" s="72"/>
      <c r="BK136" s="151"/>
      <c r="BL136" s="72"/>
      <c r="BM136" s="72"/>
      <c r="BN136" s="90"/>
      <c r="BO136" s="90"/>
      <c r="BP136" s="125"/>
      <c r="BQ136" s="72"/>
      <c r="BR136" s="125"/>
      <c r="BS136" s="72"/>
      <c r="BT136" s="72"/>
      <c r="BU136" s="72"/>
      <c r="BV136" s="72"/>
      <c r="BW136" s="72"/>
      <c r="BX136" s="72"/>
      <c r="BY136" s="72"/>
      <c r="BZ136" s="72"/>
      <c r="CA136" s="72"/>
      <c r="CB136" s="72"/>
      <c r="CC136" s="72"/>
      <c r="CD136" s="72"/>
      <c r="CE136" s="72"/>
      <c r="CF136" s="72"/>
      <c r="CG136" s="72"/>
    </row>
    <row r="137" spans="1:85" x14ac:dyDescent="0.2">
      <c r="A137" s="354">
        <v>40087</v>
      </c>
      <c r="B137" s="277">
        <v>3.758</v>
      </c>
      <c r="C137" s="303">
        <v>-0.66</v>
      </c>
      <c r="D137" s="188">
        <v>-0.56882409119503974</v>
      </c>
      <c r="E137" s="188">
        <v>-0.58986468553464633</v>
      </c>
      <c r="F137" s="285">
        <v>0.125</v>
      </c>
      <c r="G137" s="286">
        <v>0.125</v>
      </c>
      <c r="H137" s="286">
        <v>0.16</v>
      </c>
      <c r="I137" s="287">
        <v>0.12</v>
      </c>
      <c r="J137" s="286">
        <v>0.04</v>
      </c>
      <c r="K137" s="286">
        <v>0.11</v>
      </c>
      <c r="L137" s="286">
        <v>0.45</v>
      </c>
      <c r="M137" s="285">
        <v>-0.27</v>
      </c>
      <c r="N137" s="286">
        <v>0.25</v>
      </c>
      <c r="O137" s="287">
        <v>0</v>
      </c>
      <c r="P137" s="239">
        <v>-0.25</v>
      </c>
      <c r="Q137" s="215">
        <v>0.1825</v>
      </c>
      <c r="R137" s="291">
        <v>0.19500000000000001</v>
      </c>
      <c r="S137" s="194">
        <v>0.19500000000000001</v>
      </c>
      <c r="T137" s="107">
        <v>0.6</v>
      </c>
      <c r="U137" s="308">
        <v>0.19500000000000001</v>
      </c>
      <c r="V137" s="61">
        <v>3.0979999999999999</v>
      </c>
      <c r="W137" s="61">
        <v>3.1891759088049603</v>
      </c>
      <c r="X137" s="197">
        <v>3.1681353144653537</v>
      </c>
      <c r="Y137" s="62"/>
      <c r="Z137" s="281">
        <v>0.13</v>
      </c>
      <c r="AA137" s="296">
        <v>0.1</v>
      </c>
      <c r="AB137" s="301">
        <v>4.4171756034976948</v>
      </c>
      <c r="AC137" s="145">
        <v>4.5471756034976947</v>
      </c>
      <c r="AD137" s="197">
        <v>4.5171756034976944</v>
      </c>
      <c r="AE137" s="238">
        <v>3.508</v>
      </c>
      <c r="AF137" s="133">
        <v>3.488</v>
      </c>
      <c r="AG137" s="202">
        <v>3.758</v>
      </c>
      <c r="AH137" s="242">
        <v>-0.1</v>
      </c>
      <c r="AI137" s="283">
        <v>1.50431492044024</v>
      </c>
      <c r="AJ137" s="88">
        <v>5.9735324452734301E-2</v>
      </c>
      <c r="AK137" s="88">
        <v>6.0782193841578E-2</v>
      </c>
      <c r="AL137" s="90">
        <v>0.61486316930896989</v>
      </c>
      <c r="AM137" s="204">
        <v>0.60972171365897154</v>
      </c>
      <c r="AN137" s="184">
        <v>0.125</v>
      </c>
      <c r="AO137" s="205">
        <v>0.12</v>
      </c>
      <c r="AP137" s="72"/>
      <c r="AQ137" s="184">
        <v>-3.7178940012047903</v>
      </c>
      <c r="AR137" s="206">
        <v>-3.0578940012047902</v>
      </c>
      <c r="AS137" s="72"/>
      <c r="AT137" s="273">
        <v>7.4999999999999997E-3</v>
      </c>
      <c r="AU137" s="72"/>
      <c r="AV137" s="184">
        <v>2.5000000000000001E-3</v>
      </c>
      <c r="AW137" s="244"/>
      <c r="AX137" s="90">
        <v>-0.105</v>
      </c>
      <c r="AY137" s="90"/>
      <c r="AZ137" s="302">
        <v>0.6</v>
      </c>
      <c r="BA137" s="302">
        <v>0.6</v>
      </c>
      <c r="BB137" s="252">
        <v>-0.66</v>
      </c>
      <c r="BC137" s="247"/>
      <c r="BD137" s="90"/>
      <c r="BE137" s="72"/>
      <c r="BF137" s="151"/>
      <c r="BG137" s="72"/>
      <c r="BH137" s="125"/>
      <c r="BI137" s="125"/>
      <c r="BJ137" s="72"/>
      <c r="BK137" s="151"/>
      <c r="BL137" s="72"/>
      <c r="BM137" s="72"/>
      <c r="BN137" s="90"/>
      <c r="BO137" s="90"/>
      <c r="BP137" s="125"/>
      <c r="BQ137" s="72"/>
      <c r="BR137" s="125"/>
      <c r="BS137" s="72"/>
      <c r="BT137" s="72"/>
      <c r="BU137" s="72"/>
      <c r="BV137" s="72"/>
      <c r="BW137" s="72"/>
      <c r="BX137" s="72"/>
      <c r="BY137" s="72"/>
      <c r="BZ137" s="72"/>
      <c r="CA137" s="72"/>
      <c r="CB137" s="72"/>
      <c r="CC137" s="72"/>
      <c r="CD137" s="72"/>
      <c r="CE137" s="72"/>
      <c r="CF137" s="72"/>
      <c r="CG137" s="72"/>
    </row>
    <row r="138" spans="1:85" x14ac:dyDescent="0.2">
      <c r="A138" s="353">
        <v>40118</v>
      </c>
      <c r="B138" s="277">
        <v>3.8980000000000001</v>
      </c>
      <c r="C138" s="310">
        <v>-0.62</v>
      </c>
      <c r="D138" s="188">
        <v>-0.52882498261414135</v>
      </c>
      <c r="E138" s="188">
        <v>-0.10999999999999943</v>
      </c>
      <c r="F138" s="285">
        <v>0.185</v>
      </c>
      <c r="G138" s="286">
        <v>0.37</v>
      </c>
      <c r="H138" s="286">
        <v>0.30499999999999999</v>
      </c>
      <c r="I138" s="287">
        <v>0.40500000000000003</v>
      </c>
      <c r="J138" s="286">
        <v>0.14000000000000001</v>
      </c>
      <c r="K138" s="286">
        <v>0.17</v>
      </c>
      <c r="L138" s="286">
        <v>0.73</v>
      </c>
      <c r="M138" s="285">
        <v>-0.15</v>
      </c>
      <c r="N138" s="286">
        <v>0.25</v>
      </c>
      <c r="O138" s="287">
        <v>0</v>
      </c>
      <c r="P138" s="239">
        <v>0.248</v>
      </c>
      <c r="Q138" s="215">
        <v>0.1825</v>
      </c>
      <c r="R138" s="291">
        <v>0.19500000000000001</v>
      </c>
      <c r="S138" s="194">
        <v>0.19500000000000001</v>
      </c>
      <c r="T138" s="107">
        <v>0.8</v>
      </c>
      <c r="U138" s="308">
        <v>0.19500000000000001</v>
      </c>
      <c r="V138" s="61">
        <v>3.278</v>
      </c>
      <c r="W138" s="61">
        <v>3.3691750173858588</v>
      </c>
      <c r="X138" s="197">
        <v>3.7880000000000007</v>
      </c>
      <c r="Y138" s="62"/>
      <c r="Z138" s="281">
        <v>0.13</v>
      </c>
      <c r="AA138" s="296">
        <v>0.72717288025747084</v>
      </c>
      <c r="AB138" s="301">
        <v>4.6738680421254619</v>
      </c>
      <c r="AC138" s="145">
        <v>4.8038680421254618</v>
      </c>
      <c r="AD138" s="197">
        <v>5.4010409223829328</v>
      </c>
      <c r="AE138" s="238">
        <v>4.1459999999999999</v>
      </c>
      <c r="AF138" s="133">
        <v>3.7480000000000002</v>
      </c>
      <c r="AG138" s="202">
        <v>3.8980000000000001</v>
      </c>
      <c r="AH138" s="242">
        <v>-0.1</v>
      </c>
      <c r="AI138" s="283">
        <v>1.5043296281429901</v>
      </c>
      <c r="AJ138" s="88">
        <v>5.9811870199898601E-2</v>
      </c>
      <c r="AK138" s="88">
        <v>6.0846924771146997E-2</v>
      </c>
      <c r="AL138" s="90">
        <v>0.61141969140553964</v>
      </c>
      <c r="AM138" s="204">
        <v>0.60631295781898575</v>
      </c>
      <c r="AN138" s="184">
        <v>0.37</v>
      </c>
      <c r="AO138" s="205">
        <v>0.124</v>
      </c>
      <c r="AP138" s="72"/>
      <c r="AQ138" s="184">
        <v>-3.4180204970957502</v>
      </c>
      <c r="AR138" s="206">
        <v>-2.7980204970957501</v>
      </c>
      <c r="AS138" s="72"/>
      <c r="AT138" s="273">
        <v>7.4999999999999997E-3</v>
      </c>
      <c r="AU138" s="72"/>
      <c r="AV138" s="184">
        <v>8.0000000000000002E-3</v>
      </c>
      <c r="AW138" s="72"/>
      <c r="AX138" s="72">
        <v>5.0000000000000001E-3</v>
      </c>
      <c r="AY138" s="90"/>
      <c r="AZ138" s="302">
        <v>0.8</v>
      </c>
      <c r="BA138" s="302">
        <v>0.8</v>
      </c>
      <c r="BB138" s="252">
        <v>-0.62</v>
      </c>
      <c r="BC138" s="151"/>
      <c r="BD138" s="90"/>
      <c r="BE138" s="72"/>
      <c r="BF138" s="151"/>
      <c r="BG138" s="72"/>
      <c r="BH138" s="125"/>
      <c r="BI138" s="125"/>
      <c r="BJ138" s="72"/>
      <c r="BK138" s="151"/>
      <c r="BL138" s="72"/>
      <c r="BM138" s="72"/>
      <c r="BN138" s="90"/>
      <c r="BO138" s="90"/>
      <c r="BP138" s="125"/>
      <c r="BQ138" s="72"/>
      <c r="BR138" s="125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</row>
    <row r="139" spans="1:85" x14ac:dyDescent="0.2">
      <c r="A139" s="354">
        <v>40148</v>
      </c>
      <c r="B139" s="277">
        <v>4.0380000000000003</v>
      </c>
      <c r="C139" s="311">
        <v>-0.62</v>
      </c>
      <c r="D139" s="188">
        <v>-0.52882601420770081</v>
      </c>
      <c r="E139" s="188">
        <v>-0.11</v>
      </c>
      <c r="F139" s="285">
        <v>0.185</v>
      </c>
      <c r="G139" s="286">
        <v>0.37</v>
      </c>
      <c r="H139" s="286">
        <v>0.30499999999999999</v>
      </c>
      <c r="I139" s="287">
        <v>0.40500000000000003</v>
      </c>
      <c r="J139" s="286">
        <v>0.14000000000000001</v>
      </c>
      <c r="K139" s="286">
        <v>0.17</v>
      </c>
      <c r="L139" s="286">
        <v>1.1399999999999999</v>
      </c>
      <c r="M139" s="285">
        <v>-0.15</v>
      </c>
      <c r="N139" s="286">
        <v>0.25</v>
      </c>
      <c r="O139" s="287">
        <v>0</v>
      </c>
      <c r="P139" s="239">
        <v>0.308</v>
      </c>
      <c r="Q139" s="215">
        <v>0.185</v>
      </c>
      <c r="R139" s="291">
        <v>0.19500000000000001</v>
      </c>
      <c r="S139" s="194">
        <v>0.19500000000000001</v>
      </c>
      <c r="T139" s="107">
        <v>1</v>
      </c>
      <c r="U139" s="308">
        <v>0.19500000000000001</v>
      </c>
      <c r="V139" s="61">
        <v>3.4180000000000001</v>
      </c>
      <c r="W139" s="61">
        <v>3.5091739857922994</v>
      </c>
      <c r="X139" s="197">
        <v>3.9279999999999999</v>
      </c>
      <c r="Y139" s="62"/>
      <c r="Z139" s="281">
        <v>0.13</v>
      </c>
      <c r="AA139" s="296">
        <v>0.72718110789887191</v>
      </c>
      <c r="AB139" s="301">
        <v>4.8735392682320517</v>
      </c>
      <c r="AC139" s="145">
        <v>5.0035392682320516</v>
      </c>
      <c r="AD139" s="197">
        <v>5.6007203761309237</v>
      </c>
      <c r="AE139" s="238">
        <v>4.3460000000000001</v>
      </c>
      <c r="AF139" s="133">
        <v>3.8880000000000003</v>
      </c>
      <c r="AG139" s="202">
        <v>4.0380000000000003</v>
      </c>
      <c r="AH139" s="242">
        <v>-0.1</v>
      </c>
      <c r="AI139" s="283">
        <v>1.50434664897128</v>
      </c>
      <c r="AJ139" s="88">
        <v>5.9885946731266196E-2</v>
      </c>
      <c r="AK139" s="88">
        <v>6.0909567607539301E-2</v>
      </c>
      <c r="AL139" s="90">
        <v>0.60809836497224667</v>
      </c>
      <c r="AM139" s="204">
        <v>0.60302619485228526</v>
      </c>
      <c r="AN139" s="184">
        <v>0.37</v>
      </c>
      <c r="AO139" s="205">
        <v>0.12</v>
      </c>
      <c r="AP139" s="72"/>
      <c r="AQ139" s="184">
        <v>-3.5580435500464418</v>
      </c>
      <c r="AR139" s="206">
        <v>-2.9380435500464417</v>
      </c>
      <c r="AS139" s="72"/>
      <c r="AT139" s="273">
        <v>7.4999999999999997E-3</v>
      </c>
      <c r="AU139" s="72"/>
      <c r="AV139" s="184">
        <v>8.0000000000000002E-3</v>
      </c>
      <c r="AW139" s="72"/>
      <c r="AX139" s="72">
        <v>0.01</v>
      </c>
      <c r="AY139" s="90"/>
      <c r="AZ139" s="302">
        <v>1</v>
      </c>
      <c r="BA139" s="302">
        <v>1</v>
      </c>
      <c r="BB139" s="252">
        <v>-0.62</v>
      </c>
      <c r="BC139" s="151"/>
      <c r="BD139" s="90"/>
      <c r="BE139" s="72"/>
      <c r="BF139" s="151"/>
      <c r="BG139" s="72"/>
      <c r="BH139" s="125"/>
      <c r="BI139" s="125"/>
      <c r="BJ139" s="72"/>
      <c r="BK139" s="151"/>
      <c r="BL139" s="72"/>
      <c r="BM139" s="72"/>
      <c r="BN139" s="90"/>
      <c r="BO139" s="90"/>
      <c r="BP139" s="125"/>
      <c r="BQ139" s="72"/>
      <c r="BR139" s="125"/>
      <c r="BS139" s="72"/>
      <c r="BT139" s="72"/>
      <c r="BU139" s="72"/>
      <c r="BV139" s="72"/>
      <c r="BW139" s="72"/>
      <c r="BX139" s="72"/>
      <c r="BY139" s="72"/>
      <c r="BZ139" s="72"/>
      <c r="CA139" s="72"/>
      <c r="CB139" s="72"/>
      <c r="CC139" s="72"/>
      <c r="CD139" s="72"/>
      <c r="CE139" s="72"/>
      <c r="CF139" s="72"/>
      <c r="CG139" s="72"/>
    </row>
    <row r="140" spans="1:85" x14ac:dyDescent="0.2">
      <c r="A140" s="354">
        <v>40179</v>
      </c>
      <c r="B140" s="277">
        <v>4.133</v>
      </c>
      <c r="C140" s="311">
        <v>-0.62</v>
      </c>
      <c r="D140" s="188">
        <v>-0.52882725472481917</v>
      </c>
      <c r="E140" s="188">
        <v>-0.11</v>
      </c>
      <c r="F140" s="285">
        <v>0.185</v>
      </c>
      <c r="G140" s="286">
        <v>0.37</v>
      </c>
      <c r="H140" s="286">
        <v>0.30499999999999999</v>
      </c>
      <c r="I140" s="287">
        <v>0.40500000000000003</v>
      </c>
      <c r="J140" s="286">
        <v>0.14000000000000001</v>
      </c>
      <c r="K140" s="286">
        <v>0.17</v>
      </c>
      <c r="L140" s="286">
        <v>1.63</v>
      </c>
      <c r="M140" s="285">
        <v>-0.15</v>
      </c>
      <c r="N140" s="286">
        <v>0.25</v>
      </c>
      <c r="O140" s="287">
        <v>0</v>
      </c>
      <c r="P140" s="239">
        <v>0.37800000000000006</v>
      </c>
      <c r="Q140" s="215">
        <v>0.185</v>
      </c>
      <c r="R140" s="291">
        <v>0.19500000000000001</v>
      </c>
      <c r="S140" s="194">
        <v>0.19500000000000001</v>
      </c>
      <c r="T140" s="107">
        <v>1</v>
      </c>
      <c r="U140" s="308">
        <v>0.19500000000000001</v>
      </c>
      <c r="V140" s="61">
        <v>3.5129999999999999</v>
      </c>
      <c r="W140" s="61">
        <v>3.6041727452751808</v>
      </c>
      <c r="X140" s="197">
        <v>4.0229999999999997</v>
      </c>
      <c r="Y140" s="62"/>
      <c r="Z140" s="281">
        <v>0.13</v>
      </c>
      <c r="AA140" s="296">
        <v>0.7271910020904917</v>
      </c>
      <c r="AB140" s="301">
        <v>5.0090627261645047</v>
      </c>
      <c r="AC140" s="145">
        <v>5.1390627261645045</v>
      </c>
      <c r="AD140" s="197">
        <v>5.7362537282549964</v>
      </c>
      <c r="AE140" s="238">
        <v>4.5110000000000001</v>
      </c>
      <c r="AF140" s="133">
        <v>3.9830000000000001</v>
      </c>
      <c r="AG140" s="202">
        <v>4.133</v>
      </c>
      <c r="AH140" s="242">
        <v>-0.1</v>
      </c>
      <c r="AI140" s="283">
        <v>1.50436711745409</v>
      </c>
      <c r="AJ140" s="88">
        <v>5.99624924822613E-2</v>
      </c>
      <c r="AK140" s="88">
        <v>6.09742985398469E-2</v>
      </c>
      <c r="AL140" s="90">
        <v>0.60467778903217007</v>
      </c>
      <c r="AM140" s="204">
        <v>0.59964230881663561</v>
      </c>
      <c r="AN140" s="184">
        <v>0.37</v>
      </c>
      <c r="AO140" s="205">
        <v>0.12</v>
      </c>
      <c r="AP140" s="72"/>
      <c r="AQ140" s="184">
        <v>-3.6530678934965612</v>
      </c>
      <c r="AR140" s="206">
        <v>-3.0330678934965611</v>
      </c>
      <c r="AS140" s="72"/>
      <c r="AT140" s="273">
        <v>7.4999999999999997E-3</v>
      </c>
      <c r="AU140" s="72"/>
      <c r="AV140" s="184">
        <v>8.0000000000000002E-3</v>
      </c>
      <c r="AW140" s="72"/>
      <c r="AX140" s="72">
        <v>0.03</v>
      </c>
      <c r="AY140" s="90"/>
      <c r="AZ140" s="302">
        <v>1</v>
      </c>
      <c r="BA140" s="302">
        <v>1</v>
      </c>
      <c r="BB140" s="252">
        <v>-0.62</v>
      </c>
      <c r="BC140" s="151"/>
      <c r="BD140" s="90"/>
      <c r="BE140" s="72"/>
      <c r="BF140" s="151"/>
      <c r="BG140" s="72"/>
      <c r="BH140" s="125"/>
      <c r="BI140" s="125"/>
      <c r="BJ140" s="72"/>
      <c r="BK140" s="151"/>
      <c r="BL140" s="72"/>
      <c r="BM140" s="72"/>
      <c r="BN140" s="90"/>
      <c r="BO140" s="90"/>
      <c r="BP140" s="125"/>
      <c r="BQ140" s="72"/>
      <c r="BR140" s="125"/>
      <c r="BS140" s="72"/>
      <c r="BT140" s="72"/>
      <c r="BU140" s="72"/>
      <c r="BV140" s="72"/>
      <c r="BW140" s="72"/>
      <c r="BX140" s="72"/>
      <c r="BY140" s="72"/>
      <c r="BZ140" s="72"/>
      <c r="CA140" s="72"/>
      <c r="CB140" s="72"/>
      <c r="CC140" s="72"/>
      <c r="CD140" s="72"/>
      <c r="CE140" s="72"/>
      <c r="CF140" s="72"/>
      <c r="CG140" s="72"/>
    </row>
    <row r="141" spans="1:85" x14ac:dyDescent="0.2">
      <c r="A141" s="354">
        <v>40210</v>
      </c>
      <c r="B141" s="277">
        <v>4.0149999999999997</v>
      </c>
      <c r="C141" s="311">
        <v>-0.62</v>
      </c>
      <c r="D141" s="188">
        <v>-0.52882867261509725</v>
      </c>
      <c r="E141" s="188">
        <v>-0.11000000000000076</v>
      </c>
      <c r="F141" s="285">
        <v>0.185</v>
      </c>
      <c r="G141" s="286">
        <v>0.37</v>
      </c>
      <c r="H141" s="286">
        <v>0.30499999999999999</v>
      </c>
      <c r="I141" s="287">
        <v>0.40500000000000003</v>
      </c>
      <c r="J141" s="286">
        <v>0.14000000000000001</v>
      </c>
      <c r="K141" s="286">
        <v>0.17</v>
      </c>
      <c r="L141" s="286">
        <v>1.63</v>
      </c>
      <c r="M141" s="285">
        <v>-0.15</v>
      </c>
      <c r="N141" s="286">
        <v>0.25</v>
      </c>
      <c r="O141" s="287">
        <v>0</v>
      </c>
      <c r="P141" s="239">
        <v>0.248</v>
      </c>
      <c r="Q141" s="215">
        <v>0.18</v>
      </c>
      <c r="R141" s="291">
        <v>0.19</v>
      </c>
      <c r="S141" s="194">
        <v>0.19</v>
      </c>
      <c r="T141" s="107">
        <v>1</v>
      </c>
      <c r="U141" s="308">
        <v>0.19</v>
      </c>
      <c r="V141" s="61">
        <v>3.395</v>
      </c>
      <c r="W141" s="61">
        <v>3.4861713273849024</v>
      </c>
      <c r="X141" s="197">
        <v>3.9049999999999998</v>
      </c>
      <c r="Y141" s="62"/>
      <c r="Z141" s="281">
        <v>0.13</v>
      </c>
      <c r="AA141" s="296">
        <v>0.72720231131546154</v>
      </c>
      <c r="AB141" s="301">
        <v>4.8408859743450847</v>
      </c>
      <c r="AC141" s="145">
        <v>4.9708859743450846</v>
      </c>
      <c r="AD141" s="197">
        <v>5.5680882856605463</v>
      </c>
      <c r="AE141" s="238">
        <v>4.2629999999999999</v>
      </c>
      <c r="AF141" s="133">
        <v>3.8650000000000002</v>
      </c>
      <c r="AG141" s="202">
        <v>4.0149999999999997</v>
      </c>
      <c r="AH141" s="242">
        <v>-0.1</v>
      </c>
      <c r="AI141" s="283">
        <v>1.50439051326911</v>
      </c>
      <c r="AJ141" s="88">
        <v>6.0039038235203603E-2</v>
      </c>
      <c r="AK141" s="88">
        <v>6.1039029473546301E-2</v>
      </c>
      <c r="AL141" s="90">
        <v>0.60126888292837133</v>
      </c>
      <c r="AM141" s="204">
        <v>0.59627106354736692</v>
      </c>
      <c r="AN141" s="184">
        <v>0.37</v>
      </c>
      <c r="AO141" s="205">
        <v>0.13300000000000001</v>
      </c>
      <c r="AP141" s="72"/>
      <c r="AQ141" s="184">
        <v>-3.5350927674521597</v>
      </c>
      <c r="AR141" s="206">
        <v>-2.9150927674521596</v>
      </c>
      <c r="AS141" s="72"/>
      <c r="AT141" s="273">
        <v>7.4999999999999997E-3</v>
      </c>
      <c r="AU141" s="72"/>
      <c r="AV141" s="184">
        <v>8.0000000000000002E-3</v>
      </c>
      <c r="AW141" s="72"/>
      <c r="AX141" s="72">
        <v>2.5000000000000001E-2</v>
      </c>
      <c r="AY141" s="90"/>
      <c r="AZ141" s="302">
        <v>1</v>
      </c>
      <c r="BA141" s="302">
        <v>1</v>
      </c>
      <c r="BB141" s="252">
        <v>-0.62</v>
      </c>
      <c r="BC141" s="151"/>
      <c r="BD141" s="90"/>
      <c r="BE141" s="72"/>
      <c r="BF141" s="151"/>
      <c r="BG141" s="72"/>
      <c r="BH141" s="125"/>
      <c r="BI141" s="125"/>
      <c r="BJ141" s="72"/>
      <c r="BK141" s="151"/>
      <c r="BL141" s="72"/>
      <c r="BM141" s="72"/>
      <c r="BN141" s="90"/>
      <c r="BO141" s="90"/>
      <c r="BP141" s="125"/>
      <c r="BQ141" s="72"/>
      <c r="BR141" s="125"/>
      <c r="BS141" s="72"/>
      <c r="BT141" s="72"/>
      <c r="BU141" s="72"/>
      <c r="BV141" s="72"/>
      <c r="BW141" s="72"/>
      <c r="BX141" s="72"/>
      <c r="BY141" s="72"/>
      <c r="BZ141" s="72"/>
      <c r="CA141" s="72"/>
      <c r="CB141" s="72"/>
      <c r="CC141" s="72"/>
      <c r="CD141" s="72"/>
      <c r="CE141" s="72"/>
      <c r="CF141" s="72"/>
      <c r="CG141" s="72"/>
    </row>
    <row r="142" spans="1:85" x14ac:dyDescent="0.2">
      <c r="A142" s="354">
        <v>40238</v>
      </c>
      <c r="B142" s="277">
        <v>3.8820000000000001</v>
      </c>
      <c r="C142" s="311">
        <v>-0.62</v>
      </c>
      <c r="D142" s="188">
        <v>-0.52883010572417577</v>
      </c>
      <c r="E142" s="188">
        <v>-0.11</v>
      </c>
      <c r="F142" s="285">
        <v>0.185</v>
      </c>
      <c r="G142" s="286">
        <v>0.37</v>
      </c>
      <c r="H142" s="286">
        <v>0.30499999999999999</v>
      </c>
      <c r="I142" s="287">
        <v>0.40500000000000003</v>
      </c>
      <c r="J142" s="286">
        <v>0.14000000000000001</v>
      </c>
      <c r="K142" s="286">
        <v>0.17</v>
      </c>
      <c r="L142" s="286">
        <v>0.72</v>
      </c>
      <c r="M142" s="285">
        <v>-0.15</v>
      </c>
      <c r="N142" s="286">
        <v>0.25</v>
      </c>
      <c r="O142" s="287">
        <v>0</v>
      </c>
      <c r="P142" s="239">
        <v>6.8000000000000005E-2</v>
      </c>
      <c r="Q142" s="215">
        <v>0.17749999999999999</v>
      </c>
      <c r="R142" s="291">
        <v>0.1875</v>
      </c>
      <c r="S142" s="194">
        <v>0.1875</v>
      </c>
      <c r="T142" s="107">
        <v>0.75</v>
      </c>
      <c r="U142" s="308">
        <v>0.1875</v>
      </c>
      <c r="V142" s="61">
        <v>3.262</v>
      </c>
      <c r="W142" s="61">
        <v>3.3531698942758243</v>
      </c>
      <c r="X142" s="197">
        <v>3.7720000000000002</v>
      </c>
      <c r="Y142" s="62"/>
      <c r="Z142" s="281">
        <v>0.13</v>
      </c>
      <c r="AA142" s="296">
        <v>0.72721374228444802</v>
      </c>
      <c r="AB142" s="301">
        <v>4.6513161320232701</v>
      </c>
      <c r="AC142" s="145">
        <v>4.78131613202327</v>
      </c>
      <c r="AD142" s="197">
        <v>5.3785298743077181</v>
      </c>
      <c r="AE142" s="238">
        <v>3.95</v>
      </c>
      <c r="AF142" s="133">
        <v>3.7320000000000002</v>
      </c>
      <c r="AG142" s="202">
        <v>3.8820000000000001</v>
      </c>
      <c r="AH142" s="242">
        <v>-0.1</v>
      </c>
      <c r="AI142" s="283">
        <v>1.5044141609405099</v>
      </c>
      <c r="AJ142" s="88">
        <v>6.0108176336308702E-2</v>
      </c>
      <c r="AK142" s="88">
        <v>6.1097496124535404E-2</v>
      </c>
      <c r="AL142" s="90">
        <v>0.59819991827940522</v>
      </c>
      <c r="AM142" s="204">
        <v>0.59323693350889495</v>
      </c>
      <c r="AN142" s="184">
        <v>0.37</v>
      </c>
      <c r="AO142" s="205">
        <v>0.12</v>
      </c>
      <c r="AP142" s="72"/>
      <c r="AQ142" s="184">
        <v>-3.4021156901286855</v>
      </c>
      <c r="AR142" s="206">
        <v>-2.7821156901286854</v>
      </c>
      <c r="AS142" s="72"/>
      <c r="AT142" s="273">
        <v>7.4999999999999997E-3</v>
      </c>
      <c r="AU142" s="72"/>
      <c r="AV142" s="184">
        <v>8.0000000000000002E-3</v>
      </c>
      <c r="AW142" s="72"/>
      <c r="AX142" s="72">
        <v>5.0000000000000001E-3</v>
      </c>
      <c r="AY142" s="90"/>
      <c r="AZ142" s="302">
        <v>0.75</v>
      </c>
      <c r="BA142" s="302">
        <v>0.75</v>
      </c>
      <c r="BB142" s="252">
        <v>-0.62</v>
      </c>
      <c r="BC142" s="151"/>
      <c r="BD142" s="90"/>
      <c r="BE142" s="72"/>
      <c r="BF142" s="151"/>
      <c r="BG142" s="72"/>
      <c r="BH142" s="125"/>
      <c r="BI142" s="125"/>
      <c r="BJ142" s="72"/>
      <c r="BK142" s="151"/>
      <c r="BL142" s="72"/>
      <c r="BM142" s="72"/>
      <c r="BN142" s="90"/>
      <c r="BO142" s="90"/>
      <c r="BP142" s="125"/>
      <c r="BQ142" s="72"/>
      <c r="BR142" s="125"/>
      <c r="BS142" s="72"/>
      <c r="BT142" s="72"/>
      <c r="BU142" s="72"/>
      <c r="BV142" s="72"/>
      <c r="BW142" s="72"/>
      <c r="BX142" s="72"/>
      <c r="BY142" s="72"/>
      <c r="BZ142" s="72"/>
      <c r="CA142" s="72"/>
      <c r="CB142" s="72"/>
      <c r="CC142" s="72"/>
      <c r="CD142" s="72"/>
      <c r="CE142" s="72"/>
      <c r="CF142" s="72"/>
      <c r="CG142" s="72"/>
    </row>
    <row r="143" spans="1:85" x14ac:dyDescent="0.2">
      <c r="A143" s="354">
        <v>40269</v>
      </c>
      <c r="B143" s="277">
        <v>3.6620000000000004</v>
      </c>
      <c r="C143" s="312">
        <v>-0.69</v>
      </c>
      <c r="D143" s="188">
        <v>-0.59883186112154263</v>
      </c>
      <c r="E143" s="188">
        <v>-0.61987066240118649</v>
      </c>
      <c r="F143" s="285">
        <v>0.125</v>
      </c>
      <c r="G143" s="286">
        <v>0.125</v>
      </c>
      <c r="H143" s="286">
        <v>0.16</v>
      </c>
      <c r="I143" s="287">
        <v>0.12</v>
      </c>
      <c r="J143" s="286">
        <v>0.04</v>
      </c>
      <c r="K143" s="286">
        <v>0.11</v>
      </c>
      <c r="L143" s="286">
        <v>0.48</v>
      </c>
      <c r="M143" s="285">
        <v>-0.22</v>
      </c>
      <c r="N143" s="286">
        <v>0.25</v>
      </c>
      <c r="O143" s="287">
        <v>0</v>
      </c>
      <c r="P143" s="239">
        <v>-0.25</v>
      </c>
      <c r="Q143" s="215">
        <v>0.17749999999999999</v>
      </c>
      <c r="R143" s="291">
        <v>0.185</v>
      </c>
      <c r="S143" s="194">
        <v>0.185</v>
      </c>
      <c r="T143" s="107">
        <v>0.4</v>
      </c>
      <c r="U143" s="308">
        <v>0.185</v>
      </c>
      <c r="V143" s="61">
        <v>2.9720000000000004</v>
      </c>
      <c r="W143" s="61">
        <v>3.0631681388784577</v>
      </c>
      <c r="X143" s="197">
        <v>3.0421293375988139</v>
      </c>
      <c r="Y143" s="62"/>
      <c r="Z143" s="281">
        <v>0.13</v>
      </c>
      <c r="AA143" s="296">
        <v>0.1</v>
      </c>
      <c r="AB143" s="301">
        <v>4.2378840322174511</v>
      </c>
      <c r="AC143" s="145">
        <v>4.367884032217451</v>
      </c>
      <c r="AD143" s="197">
        <v>4.3378840322174508</v>
      </c>
      <c r="AE143" s="238">
        <v>3.4120000000000004</v>
      </c>
      <c r="AF143" s="133">
        <v>3.4420000000000002</v>
      </c>
      <c r="AG143" s="202">
        <v>3.6620000000000004</v>
      </c>
      <c r="AH143" s="242">
        <v>-0.1</v>
      </c>
      <c r="AI143" s="283">
        <v>1.50444312769018</v>
      </c>
      <c r="AJ143" s="88">
        <v>6.0184722092955702E-2</v>
      </c>
      <c r="AK143" s="88">
        <v>6.1162227060882902E-2</v>
      </c>
      <c r="AL143" s="90">
        <v>0.59481327794560501</v>
      </c>
      <c r="AM143" s="204">
        <v>0.58988974836132735</v>
      </c>
      <c r="AN143" s="184">
        <v>0.125</v>
      </c>
      <c r="AO143" s="205">
        <v>0.124</v>
      </c>
      <c r="AP143" s="72"/>
      <c r="AQ143" s="184">
        <v>-3.6218999755730761</v>
      </c>
      <c r="AR143" s="206">
        <v>-2.9318999755730761</v>
      </c>
      <c r="AS143" s="72"/>
      <c r="AT143" s="273">
        <v>7.4999999999999997E-3</v>
      </c>
      <c r="AU143" s="72"/>
      <c r="AV143" s="184">
        <v>2.5000000000000001E-3</v>
      </c>
      <c r="AW143" s="72"/>
      <c r="AX143" s="72">
        <v>-0.105</v>
      </c>
      <c r="AY143" s="90"/>
      <c r="AZ143" s="302">
        <v>0.4</v>
      </c>
      <c r="BA143" s="302">
        <v>0.4</v>
      </c>
      <c r="BB143" s="252">
        <v>-0.69</v>
      </c>
      <c r="BC143" s="151"/>
      <c r="BD143" s="90"/>
      <c r="BE143" s="72"/>
      <c r="BF143" s="151"/>
      <c r="BG143" s="72"/>
      <c r="BH143" s="125"/>
      <c r="BI143" s="125"/>
      <c r="BJ143" s="72"/>
      <c r="BK143" s="151"/>
      <c r="BL143" s="72"/>
      <c r="BM143" s="72"/>
      <c r="BN143" s="90"/>
      <c r="BO143" s="90"/>
      <c r="BP143" s="125"/>
      <c r="BQ143" s="72"/>
      <c r="BR143" s="125"/>
      <c r="BS143" s="72"/>
      <c r="BT143" s="72"/>
      <c r="BU143" s="72"/>
      <c r="BV143" s="72"/>
      <c r="BW143" s="72"/>
      <c r="BX143" s="72"/>
      <c r="BY143" s="72"/>
      <c r="BZ143" s="72"/>
      <c r="CA143" s="72"/>
      <c r="CB143" s="72"/>
      <c r="CC143" s="72"/>
      <c r="CD143" s="72"/>
      <c r="CE143" s="72"/>
      <c r="CF143" s="72"/>
      <c r="CG143" s="72"/>
    </row>
    <row r="144" spans="1:85" x14ac:dyDescent="0.2">
      <c r="A144" s="354">
        <v>40299</v>
      </c>
      <c r="B144" s="277">
        <v>3.6520000000000001</v>
      </c>
      <c r="C144" s="311">
        <v>-0.69</v>
      </c>
      <c r="D144" s="188">
        <v>-0.5988337287003791</v>
      </c>
      <c r="E144" s="188">
        <v>-0.6198720990002915</v>
      </c>
      <c r="F144" s="285">
        <v>0.125</v>
      </c>
      <c r="G144" s="286">
        <v>0.125</v>
      </c>
      <c r="H144" s="286">
        <v>0.16</v>
      </c>
      <c r="I144" s="287">
        <v>0.12</v>
      </c>
      <c r="J144" s="286">
        <v>0.04</v>
      </c>
      <c r="K144" s="286">
        <v>0.11</v>
      </c>
      <c r="L144" s="286">
        <v>0.42</v>
      </c>
      <c r="M144" s="285">
        <v>-0.27</v>
      </c>
      <c r="N144" s="286">
        <v>0.25</v>
      </c>
      <c r="O144" s="287">
        <v>0</v>
      </c>
      <c r="P144" s="239">
        <v>-0.25</v>
      </c>
      <c r="Q144" s="215">
        <v>0.17749999999999999</v>
      </c>
      <c r="R144" s="291">
        <v>0.185</v>
      </c>
      <c r="S144" s="194">
        <v>0.185</v>
      </c>
      <c r="T144" s="107">
        <v>0.45</v>
      </c>
      <c r="U144" s="308">
        <v>0.185</v>
      </c>
      <c r="V144" s="61">
        <v>2.9620000000000002</v>
      </c>
      <c r="W144" s="61">
        <v>3.053166271299621</v>
      </c>
      <c r="X144" s="197">
        <v>3.0321279009997086</v>
      </c>
      <c r="Y144" s="62"/>
      <c r="Z144" s="281">
        <v>0.13</v>
      </c>
      <c r="AA144" s="296">
        <v>0.1</v>
      </c>
      <c r="AB144" s="301">
        <v>4.2237111873807782</v>
      </c>
      <c r="AC144" s="145">
        <v>4.3537111873807781</v>
      </c>
      <c r="AD144" s="197">
        <v>4.3237111873807779</v>
      </c>
      <c r="AE144" s="238">
        <v>3.4020000000000001</v>
      </c>
      <c r="AF144" s="133">
        <v>3.3820000000000001</v>
      </c>
      <c r="AG144" s="202">
        <v>3.6520000000000001</v>
      </c>
      <c r="AH144" s="242">
        <v>-0.1</v>
      </c>
      <c r="AI144" s="283">
        <v>1.5044739468309298</v>
      </c>
      <c r="AJ144" s="88">
        <v>6.02587986335004E-2</v>
      </c>
      <c r="AK144" s="88">
        <v>6.1224869903834002E-2</v>
      </c>
      <c r="AL144" s="90">
        <v>0.59154704957916326</v>
      </c>
      <c r="AM144" s="204">
        <v>0.58666257377491937</v>
      </c>
      <c r="AN144" s="184">
        <v>0.125</v>
      </c>
      <c r="AO144" s="205">
        <v>0.12</v>
      </c>
      <c r="AP144" s="72"/>
      <c r="AQ144" s="184">
        <v>-3.6119014115717012</v>
      </c>
      <c r="AR144" s="206">
        <v>-2.9219014115717012</v>
      </c>
      <c r="AS144" s="72"/>
      <c r="AT144" s="273">
        <v>7.4999999999999997E-3</v>
      </c>
      <c r="AU144" s="72"/>
      <c r="AV144" s="184">
        <v>2.5000000000000001E-3</v>
      </c>
      <c r="AW144" s="72"/>
      <c r="AX144" s="72">
        <v>-0.105</v>
      </c>
      <c r="AY144" s="90"/>
      <c r="AZ144" s="302">
        <v>0.45</v>
      </c>
      <c r="BA144" s="302">
        <v>0.45</v>
      </c>
      <c r="BB144" s="252">
        <v>-0.69</v>
      </c>
      <c r="BC144" s="151"/>
      <c r="BD144" s="90"/>
      <c r="BE144" s="72"/>
      <c r="BF144" s="151"/>
      <c r="BG144" s="72"/>
      <c r="BH144" s="125"/>
      <c r="BI144" s="125"/>
      <c r="BJ144" s="72"/>
      <c r="BK144" s="151"/>
      <c r="BL144" s="72"/>
      <c r="BM144" s="72"/>
      <c r="BN144" s="90"/>
      <c r="BO144" s="90"/>
      <c r="BP144" s="125"/>
      <c r="BQ144" s="72"/>
      <c r="BR144" s="125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  <c r="CC144" s="72"/>
      <c r="CD144" s="72"/>
      <c r="CE144" s="72"/>
      <c r="CF144" s="72"/>
      <c r="CG144" s="72"/>
    </row>
    <row r="145" spans="1:85" x14ac:dyDescent="0.2">
      <c r="A145" s="354">
        <v>40330</v>
      </c>
      <c r="B145" s="277">
        <v>3.6880000000000002</v>
      </c>
      <c r="C145" s="311">
        <v>-0.69</v>
      </c>
      <c r="D145" s="188">
        <v>-0.59883583293724474</v>
      </c>
      <c r="E145" s="188">
        <v>-0.61987371764403454</v>
      </c>
      <c r="F145" s="285">
        <v>0.125</v>
      </c>
      <c r="G145" s="286">
        <v>0.125</v>
      </c>
      <c r="H145" s="286">
        <v>0.16</v>
      </c>
      <c r="I145" s="287">
        <v>0.12</v>
      </c>
      <c r="J145" s="286">
        <v>0.04</v>
      </c>
      <c r="K145" s="286">
        <v>0.11</v>
      </c>
      <c r="L145" s="286">
        <v>0.42</v>
      </c>
      <c r="M145" s="285">
        <v>-0.27</v>
      </c>
      <c r="N145" s="286">
        <v>0.25</v>
      </c>
      <c r="O145" s="287">
        <v>0</v>
      </c>
      <c r="P145" s="239">
        <v>-0.25</v>
      </c>
      <c r="Q145" s="215">
        <v>0.17749999999999999</v>
      </c>
      <c r="R145" s="291">
        <v>0.185</v>
      </c>
      <c r="S145" s="194">
        <v>0.185</v>
      </c>
      <c r="T145" s="107">
        <v>0.45</v>
      </c>
      <c r="U145" s="308">
        <v>0.185</v>
      </c>
      <c r="V145" s="61">
        <v>2.9980000000000002</v>
      </c>
      <c r="W145" s="61">
        <v>3.0891641670627554</v>
      </c>
      <c r="X145" s="197">
        <v>3.0681262823559656</v>
      </c>
      <c r="Y145" s="62"/>
      <c r="Z145" s="281">
        <v>0.13</v>
      </c>
      <c r="AA145" s="296">
        <v>0.1</v>
      </c>
      <c r="AB145" s="301">
        <v>4.2751446380430798</v>
      </c>
      <c r="AC145" s="145">
        <v>4.4051446380430797</v>
      </c>
      <c r="AD145" s="197">
        <v>4.3751446380430794</v>
      </c>
      <c r="AE145" s="238">
        <v>3.4380000000000002</v>
      </c>
      <c r="AF145" s="133">
        <v>3.4180000000000001</v>
      </c>
      <c r="AG145" s="202">
        <v>3.6880000000000002</v>
      </c>
      <c r="AH145" s="242">
        <v>-0.1</v>
      </c>
      <c r="AI145" s="283">
        <v>1.5045086728602999</v>
      </c>
      <c r="AJ145" s="88">
        <v>6.0335344393978002E-2</v>
      </c>
      <c r="AK145" s="88">
        <v>6.1289600842919296E-2</v>
      </c>
      <c r="AL145" s="90">
        <v>0.5881835027442861</v>
      </c>
      <c r="AM145" s="204">
        <v>0.58334026441142484</v>
      </c>
      <c r="AN145" s="184">
        <v>0.125</v>
      </c>
      <c r="AO145" s="205">
        <v>0.124</v>
      </c>
      <c r="AP145" s="72"/>
      <c r="AQ145" s="184">
        <v>-3.6479030295388717</v>
      </c>
      <c r="AR145" s="206">
        <v>-2.9579030295388717</v>
      </c>
      <c r="AS145" s="72"/>
      <c r="AT145" s="273">
        <v>7.4999999999999997E-3</v>
      </c>
      <c r="AU145" s="72"/>
      <c r="AV145" s="184">
        <v>2.5000000000000001E-3</v>
      </c>
      <c r="AW145" s="72"/>
      <c r="AX145" s="72">
        <v>-0.105</v>
      </c>
      <c r="AY145" s="90"/>
      <c r="AZ145" s="302">
        <v>0.45</v>
      </c>
      <c r="BA145" s="302">
        <v>0.45</v>
      </c>
      <c r="BB145" s="252">
        <v>-0.69</v>
      </c>
      <c r="BC145" s="151"/>
      <c r="BD145" s="90"/>
      <c r="BE145" s="72"/>
      <c r="BF145" s="151"/>
      <c r="BG145" s="72"/>
      <c r="BH145" s="125"/>
      <c r="BI145" s="125"/>
      <c r="BJ145" s="72"/>
      <c r="BK145" s="151"/>
      <c r="BL145" s="72"/>
      <c r="BM145" s="72"/>
      <c r="BN145" s="90"/>
      <c r="BO145" s="90"/>
      <c r="BP145" s="125"/>
      <c r="BQ145" s="72"/>
      <c r="BR145" s="125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  <c r="CC145" s="72"/>
      <c r="CD145" s="72"/>
      <c r="CE145" s="72"/>
      <c r="CF145" s="72"/>
      <c r="CG145" s="72"/>
    </row>
    <row r="146" spans="1:85" x14ac:dyDescent="0.2">
      <c r="A146" s="354">
        <v>40360</v>
      </c>
      <c r="B146" s="277">
        <v>3.73</v>
      </c>
      <c r="C146" s="311">
        <v>-0.69</v>
      </c>
      <c r="D146" s="188">
        <v>-0.5988380380465137</v>
      </c>
      <c r="E146" s="188">
        <v>-0.61987541388193401</v>
      </c>
      <c r="F146" s="285">
        <v>0.125</v>
      </c>
      <c r="G146" s="286">
        <v>0.125</v>
      </c>
      <c r="H146" s="286">
        <v>0.16</v>
      </c>
      <c r="I146" s="287">
        <v>0.12</v>
      </c>
      <c r="J146" s="286">
        <v>0.04</v>
      </c>
      <c r="K146" s="286">
        <v>0.11</v>
      </c>
      <c r="L146" s="286">
        <v>0.48</v>
      </c>
      <c r="M146" s="285">
        <v>-0.27</v>
      </c>
      <c r="N146" s="286">
        <v>0.25</v>
      </c>
      <c r="O146" s="287">
        <v>0</v>
      </c>
      <c r="P146" s="239">
        <v>-0.25</v>
      </c>
      <c r="Q146" s="215">
        <v>0.17749999999999999</v>
      </c>
      <c r="R146" s="291">
        <v>0.185</v>
      </c>
      <c r="S146" s="194">
        <v>0.185</v>
      </c>
      <c r="T146" s="107">
        <v>0.5</v>
      </c>
      <c r="U146" s="308">
        <v>0.185</v>
      </c>
      <c r="V146" s="61">
        <v>3.04</v>
      </c>
      <c r="W146" s="61">
        <v>3.1311619619534863</v>
      </c>
      <c r="X146" s="197">
        <v>3.110124586118066</v>
      </c>
      <c r="Y146" s="62"/>
      <c r="Z146" s="281">
        <v>0.13</v>
      </c>
      <c r="AA146" s="296">
        <v>0.1</v>
      </c>
      <c r="AB146" s="301">
        <v>4.3351414507911041</v>
      </c>
      <c r="AC146" s="145">
        <v>4.465141450791104</v>
      </c>
      <c r="AD146" s="197">
        <v>4.4351414507911038</v>
      </c>
      <c r="AE146" s="238">
        <v>3.48</v>
      </c>
      <c r="AF146" s="133">
        <v>3.46</v>
      </c>
      <c r="AG146" s="202">
        <v>3.73</v>
      </c>
      <c r="AH146" s="242">
        <v>-0.1</v>
      </c>
      <c r="AI146" s="283">
        <v>1.5045450652979799</v>
      </c>
      <c r="AJ146" s="88">
        <v>6.0409420938229097E-2</v>
      </c>
      <c r="AK146" s="88">
        <v>6.1352243688520804E-2</v>
      </c>
      <c r="AL146" s="90">
        <v>0.58493965730042208</v>
      </c>
      <c r="AM146" s="204">
        <v>0.58013716208862043</v>
      </c>
      <c r="AN146" s="184">
        <v>0.125</v>
      </c>
      <c r="AO146" s="205">
        <v>0.12</v>
      </c>
      <c r="AP146" s="72"/>
      <c r="AQ146" s="184">
        <v>-3.6899047250677643</v>
      </c>
      <c r="AR146" s="206">
        <v>-2.9999047250677644</v>
      </c>
      <c r="AS146" s="72"/>
      <c r="AT146" s="273">
        <v>7.4999999999999997E-3</v>
      </c>
      <c r="AU146" s="72"/>
      <c r="AV146" s="184">
        <v>2.5000000000000001E-3</v>
      </c>
      <c r="AW146" s="72"/>
      <c r="AX146" s="72">
        <v>-0.105</v>
      </c>
      <c r="AY146" s="90"/>
      <c r="AZ146" s="302">
        <v>0.5</v>
      </c>
      <c r="BA146" s="302">
        <v>0.5</v>
      </c>
      <c r="BB146" s="252">
        <v>-0.69</v>
      </c>
      <c r="BC146" s="151"/>
      <c r="BD146" s="90"/>
      <c r="BE146" s="72"/>
      <c r="BF146" s="151"/>
      <c r="BG146" s="72"/>
      <c r="BH146" s="125"/>
      <c r="BI146" s="125"/>
      <c r="BJ146" s="72"/>
      <c r="BK146" s="151"/>
      <c r="BL146" s="72"/>
      <c r="BM146" s="72"/>
      <c r="BN146" s="90"/>
      <c r="BO146" s="90"/>
      <c r="BP146" s="125"/>
      <c r="BQ146" s="72"/>
      <c r="BR146" s="125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  <c r="CC146" s="72"/>
      <c r="CD146" s="72"/>
      <c r="CE146" s="72"/>
      <c r="CF146" s="72"/>
      <c r="CG146" s="72"/>
    </row>
    <row r="147" spans="1:85" x14ac:dyDescent="0.2">
      <c r="A147" s="354">
        <v>40391</v>
      </c>
      <c r="B147" s="277">
        <v>3.7790000000000004</v>
      </c>
      <c r="C147" s="311">
        <v>-0.69</v>
      </c>
      <c r="D147" s="188">
        <v>-0.59884049100479997</v>
      </c>
      <c r="E147" s="188">
        <v>-0.61987730077292369</v>
      </c>
      <c r="F147" s="285">
        <v>0.125</v>
      </c>
      <c r="G147" s="286">
        <v>0.125</v>
      </c>
      <c r="H147" s="286">
        <v>0.16</v>
      </c>
      <c r="I147" s="287">
        <v>0.12</v>
      </c>
      <c r="J147" s="286">
        <v>0.04</v>
      </c>
      <c r="K147" s="286">
        <v>0.11</v>
      </c>
      <c r="L147" s="286">
        <v>0.48</v>
      </c>
      <c r="M147" s="285">
        <v>-0.27</v>
      </c>
      <c r="N147" s="286">
        <v>0.25</v>
      </c>
      <c r="O147" s="287">
        <v>0</v>
      </c>
      <c r="P147" s="239">
        <v>-0.25</v>
      </c>
      <c r="Q147" s="215">
        <v>0.17749999999999999</v>
      </c>
      <c r="R147" s="291">
        <v>0.185</v>
      </c>
      <c r="S147" s="194">
        <v>0.185</v>
      </c>
      <c r="T147" s="107">
        <v>0.55000000000000004</v>
      </c>
      <c r="U147" s="308">
        <v>0.185</v>
      </c>
      <c r="V147" s="61">
        <v>3.0890000000000004</v>
      </c>
      <c r="W147" s="61">
        <v>3.1801595089952004</v>
      </c>
      <c r="X147" s="197">
        <v>3.1591226992270767</v>
      </c>
      <c r="Y147" s="62"/>
      <c r="Z147" s="281">
        <v>0.13</v>
      </c>
      <c r="AA147" s="296">
        <v>0.1</v>
      </c>
      <c r="AB147" s="301">
        <v>4.4051356180642331</v>
      </c>
      <c r="AC147" s="145">
        <v>4.535135618064233</v>
      </c>
      <c r="AD147" s="197">
        <v>4.5051356180642328</v>
      </c>
      <c r="AE147" s="238">
        <v>3.5290000000000004</v>
      </c>
      <c r="AF147" s="133">
        <v>3.5090000000000003</v>
      </c>
      <c r="AG147" s="202">
        <v>3.7790000000000004</v>
      </c>
      <c r="AH147" s="242">
        <v>-0.1</v>
      </c>
      <c r="AI147" s="283">
        <v>1.5045855502273799</v>
      </c>
      <c r="AJ147" s="88">
        <v>6.0485966702536996E-2</v>
      </c>
      <c r="AK147" s="88">
        <v>6.1416974630343901E-2</v>
      </c>
      <c r="AL147" s="90">
        <v>0.58159927394546806</v>
      </c>
      <c r="AM147" s="204">
        <v>0.57683972551159557</v>
      </c>
      <c r="AN147" s="184">
        <v>0.125</v>
      </c>
      <c r="AO147" s="205">
        <v>0.12</v>
      </c>
      <c r="AP147" s="72"/>
      <c r="AQ147" s="184">
        <v>-3.7389066111700582</v>
      </c>
      <c r="AR147" s="206">
        <v>-3.0489066111700582</v>
      </c>
      <c r="AS147" s="72"/>
      <c r="AT147" s="273">
        <v>7.4999999999999997E-3</v>
      </c>
      <c r="AU147" s="72"/>
      <c r="AV147" s="184">
        <v>2.5000000000000001E-3</v>
      </c>
      <c r="AW147" s="72"/>
      <c r="AX147" s="72">
        <v>-0.105</v>
      </c>
      <c r="AY147" s="90"/>
      <c r="AZ147" s="302">
        <v>0.55000000000000004</v>
      </c>
      <c r="BA147" s="302">
        <v>0.55000000000000004</v>
      </c>
      <c r="BB147" s="252">
        <v>-0.69</v>
      </c>
      <c r="BC147" s="151"/>
      <c r="BD147" s="90"/>
      <c r="BE147" s="72"/>
      <c r="BF147" s="151"/>
      <c r="BG147" s="72"/>
      <c r="BH147" s="125"/>
      <c r="BI147" s="125"/>
      <c r="BJ147" s="72"/>
      <c r="BK147" s="151"/>
      <c r="BL147" s="72"/>
      <c r="BM147" s="72"/>
      <c r="BN147" s="90"/>
      <c r="BO147" s="90"/>
      <c r="BP147" s="125"/>
      <c r="BQ147" s="72"/>
      <c r="BR147" s="125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  <c r="CC147" s="72"/>
      <c r="CD147" s="72"/>
      <c r="CE147" s="72"/>
      <c r="CF147" s="72"/>
      <c r="CG147" s="72"/>
    </row>
    <row r="148" spans="1:85" x14ac:dyDescent="0.2">
      <c r="A148" s="354">
        <v>40422</v>
      </c>
      <c r="B148" s="277">
        <v>3.794</v>
      </c>
      <c r="C148" s="311">
        <v>-0.69</v>
      </c>
      <c r="D148" s="188">
        <v>-0.59884312113440696</v>
      </c>
      <c r="E148" s="188">
        <v>-0.61987932394954415</v>
      </c>
      <c r="F148" s="285">
        <v>0.125</v>
      </c>
      <c r="G148" s="286">
        <v>0.125</v>
      </c>
      <c r="H148" s="286">
        <v>0.16</v>
      </c>
      <c r="I148" s="287">
        <v>0.12</v>
      </c>
      <c r="J148" s="286">
        <v>0.04</v>
      </c>
      <c r="K148" s="286">
        <v>0.11</v>
      </c>
      <c r="L148" s="286">
        <v>0.44</v>
      </c>
      <c r="M148" s="285">
        <v>-0.27</v>
      </c>
      <c r="N148" s="286">
        <v>0.25</v>
      </c>
      <c r="O148" s="287">
        <v>0</v>
      </c>
      <c r="P148" s="239">
        <v>-0.25</v>
      </c>
      <c r="Q148" s="215">
        <v>0.17749999999999999</v>
      </c>
      <c r="R148" s="291">
        <v>0.185</v>
      </c>
      <c r="S148" s="194">
        <v>0.185</v>
      </c>
      <c r="T148" s="107">
        <v>0.55000000000000004</v>
      </c>
      <c r="U148" s="308">
        <v>0.185</v>
      </c>
      <c r="V148" s="61">
        <v>3.1040000000000001</v>
      </c>
      <c r="W148" s="61">
        <v>3.1951568788655931</v>
      </c>
      <c r="X148" s="197">
        <v>3.1741206760504559</v>
      </c>
      <c r="Y148" s="62"/>
      <c r="Z148" s="281">
        <v>0.13</v>
      </c>
      <c r="AA148" s="296">
        <v>0.1</v>
      </c>
      <c r="AB148" s="301">
        <v>4.4266544118406328</v>
      </c>
      <c r="AC148" s="145">
        <v>4.5566544118406327</v>
      </c>
      <c r="AD148" s="197">
        <v>4.5266544118406324</v>
      </c>
      <c r="AE148" s="238">
        <v>3.544</v>
      </c>
      <c r="AF148" s="133">
        <v>3.524</v>
      </c>
      <c r="AG148" s="202">
        <v>3.794</v>
      </c>
      <c r="AH148" s="242">
        <v>-0.1</v>
      </c>
      <c r="AI148" s="283">
        <v>1.5046289617071298</v>
      </c>
      <c r="AJ148" s="88">
        <v>6.05625124687914E-2</v>
      </c>
      <c r="AK148" s="88">
        <v>6.14817055735584E-2</v>
      </c>
      <c r="AL148" s="90">
        <v>0.57827068766549983</v>
      </c>
      <c r="AM148" s="204">
        <v>0.57355492707172862</v>
      </c>
      <c r="AN148" s="184">
        <v>0.125</v>
      </c>
      <c r="AO148" s="205">
        <v>0.124</v>
      </c>
      <c r="AP148" s="72"/>
      <c r="AQ148" s="184">
        <v>-3.7539086335010166</v>
      </c>
      <c r="AR148" s="206">
        <v>-3.0639086335010166</v>
      </c>
      <c r="AS148" s="72"/>
      <c r="AT148" s="273">
        <v>7.4999999999999997E-3</v>
      </c>
      <c r="AU148" s="72"/>
      <c r="AV148" s="184">
        <v>2.5000000000000001E-3</v>
      </c>
      <c r="AW148" s="72"/>
      <c r="AX148" s="72">
        <v>-0.105</v>
      </c>
      <c r="AY148" s="90"/>
      <c r="AZ148" s="302">
        <v>0.55000000000000004</v>
      </c>
      <c r="BA148" s="302">
        <v>0.55000000000000004</v>
      </c>
      <c r="BB148" s="252">
        <v>-0.69</v>
      </c>
      <c r="BC148" s="151"/>
      <c r="BD148" s="90"/>
      <c r="BE148" s="72"/>
      <c r="BF148" s="151"/>
      <c r="BG148" s="72"/>
      <c r="BH148" s="125"/>
      <c r="BI148" s="125"/>
      <c r="BJ148" s="72"/>
      <c r="BK148" s="151"/>
      <c r="BL148" s="72"/>
      <c r="BM148" s="72"/>
      <c r="BN148" s="90"/>
      <c r="BO148" s="90"/>
      <c r="BP148" s="125"/>
      <c r="BQ148" s="72"/>
      <c r="BR148" s="125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  <c r="CC148" s="72"/>
      <c r="CD148" s="72"/>
      <c r="CE148" s="72"/>
      <c r="CF148" s="72"/>
      <c r="CG148" s="72"/>
    </row>
    <row r="149" spans="1:85" x14ac:dyDescent="0.2">
      <c r="A149" s="354">
        <v>40452</v>
      </c>
      <c r="B149" s="277">
        <v>3.8230000000000004</v>
      </c>
      <c r="C149" s="311">
        <v>-0.69</v>
      </c>
      <c r="D149" s="188">
        <v>-0.59884583508022438</v>
      </c>
      <c r="E149" s="188">
        <v>-0.61988141160017296</v>
      </c>
      <c r="F149" s="285">
        <v>0.125</v>
      </c>
      <c r="G149" s="286">
        <v>0.125</v>
      </c>
      <c r="H149" s="286">
        <v>0.16</v>
      </c>
      <c r="I149" s="287">
        <v>0.12</v>
      </c>
      <c r="J149" s="286">
        <v>0.04</v>
      </c>
      <c r="K149" s="286">
        <v>0.11</v>
      </c>
      <c r="L149" s="286">
        <v>0.45</v>
      </c>
      <c r="M149" s="285">
        <v>-0.27</v>
      </c>
      <c r="N149" s="286">
        <v>0.25</v>
      </c>
      <c r="O149" s="287">
        <v>0</v>
      </c>
      <c r="P149" s="239">
        <v>-0.25</v>
      </c>
      <c r="Q149" s="215">
        <v>0.17749999999999999</v>
      </c>
      <c r="R149" s="291">
        <v>0.185</v>
      </c>
      <c r="S149" s="194">
        <v>0.185</v>
      </c>
      <c r="T149" s="107">
        <v>0.6</v>
      </c>
      <c r="U149" s="308">
        <v>0.185</v>
      </c>
      <c r="V149" s="61">
        <v>3.1330000000000005</v>
      </c>
      <c r="W149" s="61">
        <v>3.224154164919776</v>
      </c>
      <c r="X149" s="197">
        <v>3.2031185883998274</v>
      </c>
      <c r="Y149" s="62"/>
      <c r="Z149" s="281">
        <v>0.13</v>
      </c>
      <c r="AA149" s="296">
        <v>0.1</v>
      </c>
      <c r="AB149" s="301">
        <v>4.4681447124051301</v>
      </c>
      <c r="AC149" s="145">
        <v>4.59814471240513</v>
      </c>
      <c r="AD149" s="197">
        <v>4.5681447124051298</v>
      </c>
      <c r="AE149" s="238">
        <v>3.5730000000000004</v>
      </c>
      <c r="AF149" s="133">
        <v>3.5530000000000004</v>
      </c>
      <c r="AG149" s="202">
        <v>3.8230000000000004</v>
      </c>
      <c r="AH149" s="242">
        <v>-0.1</v>
      </c>
      <c r="AI149" s="283">
        <v>1.5046737592375699</v>
      </c>
      <c r="AJ149" s="88">
        <v>6.0636589018632205E-2</v>
      </c>
      <c r="AK149" s="88">
        <v>6.1544348423154802E-2</v>
      </c>
      <c r="AL149" s="90">
        <v>0.57506072301106559</v>
      </c>
      <c r="AM149" s="204">
        <v>0.57038812121485427</v>
      </c>
      <c r="AN149" s="184">
        <v>0.125</v>
      </c>
      <c r="AO149" s="205">
        <v>0.12</v>
      </c>
      <c r="AP149" s="72"/>
      <c r="AQ149" s="184">
        <v>-3.782910720279034</v>
      </c>
      <c r="AR149" s="206">
        <v>-3.092910720279034</v>
      </c>
      <c r="AS149" s="72"/>
      <c r="AT149" s="273">
        <v>7.4999999999999997E-3</v>
      </c>
      <c r="AU149" s="72"/>
      <c r="AV149" s="184">
        <v>2.5000000000000001E-3</v>
      </c>
      <c r="AW149" s="72"/>
      <c r="AX149" s="72">
        <v>-0.105</v>
      </c>
      <c r="AY149" s="90"/>
      <c r="AZ149" s="302">
        <v>0.6</v>
      </c>
      <c r="BA149" s="302">
        <v>0.6</v>
      </c>
      <c r="BB149" s="252">
        <v>-0.69</v>
      </c>
      <c r="BC149" s="151"/>
      <c r="BD149" s="90"/>
      <c r="BE149" s="72"/>
      <c r="BF149" s="151"/>
      <c r="BG149" s="72"/>
      <c r="BH149" s="125"/>
      <c r="BI149" s="125"/>
      <c r="BJ149" s="72"/>
      <c r="BK149" s="151"/>
      <c r="BL149" s="72"/>
      <c r="BM149" s="72"/>
      <c r="BN149" s="90"/>
      <c r="BO149" s="90"/>
      <c r="BP149" s="125"/>
      <c r="BQ149" s="72"/>
      <c r="BR149" s="125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  <c r="CC149" s="72"/>
      <c r="CD149" s="72"/>
      <c r="CE149" s="72"/>
      <c r="CF149" s="72"/>
      <c r="CG149" s="72"/>
    </row>
    <row r="150" spans="1:85" x14ac:dyDescent="0.2">
      <c r="A150" s="353">
        <v>40483</v>
      </c>
      <c r="B150" s="277">
        <v>3.9630000000000001</v>
      </c>
      <c r="C150" s="312">
        <v>-0.6</v>
      </c>
      <c r="D150" s="188">
        <v>-0.50884881373833624</v>
      </c>
      <c r="E150" s="188">
        <v>-0.11</v>
      </c>
      <c r="F150" s="285">
        <v>0.185</v>
      </c>
      <c r="G150" s="286">
        <v>0.36499999999999999</v>
      </c>
      <c r="H150" s="286">
        <v>0.30499999999999999</v>
      </c>
      <c r="I150" s="287">
        <v>0.40500000000000003</v>
      </c>
      <c r="J150" s="286">
        <v>0.14000000000000001</v>
      </c>
      <c r="K150" s="286">
        <v>0.17</v>
      </c>
      <c r="L150" s="286">
        <v>0.73</v>
      </c>
      <c r="M150" s="285">
        <v>-0.15</v>
      </c>
      <c r="N150" s="286">
        <v>0.35</v>
      </c>
      <c r="O150" s="287">
        <v>0</v>
      </c>
      <c r="P150" s="239">
        <v>0.248</v>
      </c>
      <c r="Q150" s="215">
        <v>0.17749999999999999</v>
      </c>
      <c r="R150" s="291">
        <v>0.185</v>
      </c>
      <c r="S150" s="194">
        <v>0.185</v>
      </c>
      <c r="T150" s="107">
        <v>0.8</v>
      </c>
      <c r="U150" s="308">
        <v>0.185</v>
      </c>
      <c r="V150" s="61">
        <v>3.363</v>
      </c>
      <c r="W150" s="61">
        <v>3.4541511862616638</v>
      </c>
      <c r="X150" s="197">
        <v>3.8529999999999998</v>
      </c>
      <c r="Y150" s="62"/>
      <c r="Z150" s="281">
        <v>0.13</v>
      </c>
      <c r="AA150" s="296">
        <v>0.69883895769759086</v>
      </c>
      <c r="AB150" s="301">
        <v>4.7963171729326524</v>
      </c>
      <c r="AC150" s="145">
        <v>4.9263171729326523</v>
      </c>
      <c r="AD150" s="197">
        <v>5.4951561306302432</v>
      </c>
      <c r="AE150" s="238">
        <v>4.2110000000000003</v>
      </c>
      <c r="AF150" s="133">
        <v>3.8130000000000002</v>
      </c>
      <c r="AG150" s="202">
        <v>3.9630000000000001</v>
      </c>
      <c r="AH150" s="242">
        <v>-0.1</v>
      </c>
      <c r="AI150" s="283">
        <v>1.5047229292909998</v>
      </c>
      <c r="AJ150" s="88">
        <v>6.0713134788716407E-2</v>
      </c>
      <c r="AK150" s="88">
        <v>6.1609079369107103E-2</v>
      </c>
      <c r="AL150" s="90">
        <v>0.57175539781553808</v>
      </c>
      <c r="AM150" s="204">
        <v>0.56712818525968012</v>
      </c>
      <c r="AN150" s="184">
        <v>0.36499999999999999</v>
      </c>
      <c r="AO150" s="205">
        <v>0.124</v>
      </c>
      <c r="AP150" s="72"/>
      <c r="AQ150" s="184">
        <v>-3.5033215805047653</v>
      </c>
      <c r="AR150" s="206">
        <v>-2.9033215805047652</v>
      </c>
      <c r="AS150" s="72"/>
      <c r="AT150" s="273">
        <v>7.4999999999999997E-3</v>
      </c>
      <c r="AU150" s="72"/>
      <c r="AV150" s="184">
        <v>8.0000000000000002E-3</v>
      </c>
      <c r="AW150" s="72"/>
      <c r="AX150" s="72">
        <v>5.0000000000000001E-3</v>
      </c>
      <c r="AY150" s="90"/>
      <c r="AZ150" s="302">
        <v>0.8</v>
      </c>
      <c r="BA150" s="302"/>
      <c r="BB150" s="252">
        <v>-0.6</v>
      </c>
      <c r="BC150" s="151"/>
      <c r="BD150" s="90"/>
      <c r="BE150" s="72"/>
      <c r="BF150" s="151"/>
      <c r="BG150" s="72"/>
      <c r="BH150" s="125"/>
      <c r="BI150" s="125"/>
      <c r="BJ150" s="72"/>
      <c r="BK150" s="151"/>
      <c r="BL150" s="72"/>
      <c r="BM150" s="72"/>
      <c r="BN150" s="90"/>
      <c r="BO150" s="90"/>
      <c r="BP150" s="125"/>
      <c r="BQ150" s="72"/>
      <c r="BR150" s="125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</row>
    <row r="151" spans="1:85" x14ac:dyDescent="0.2">
      <c r="A151" s="354">
        <v>40513</v>
      </c>
      <c r="B151" s="277">
        <v>4.1029999999999998</v>
      </c>
      <c r="C151" s="311">
        <v>-0.6</v>
      </c>
      <c r="D151" s="188">
        <v>-0.5088518649041105</v>
      </c>
      <c r="E151" s="188">
        <v>-0.11</v>
      </c>
      <c r="F151" s="285">
        <v>0.185</v>
      </c>
      <c r="G151" s="286">
        <v>0.36499999999999999</v>
      </c>
      <c r="H151" s="286">
        <v>0.30499999999999999</v>
      </c>
      <c r="I151" s="287">
        <v>0.40500000000000003</v>
      </c>
      <c r="J151" s="286">
        <v>0.14000000000000001</v>
      </c>
      <c r="K151" s="286">
        <v>0.17</v>
      </c>
      <c r="L151" s="286">
        <v>1.1399999999999999</v>
      </c>
      <c r="M151" s="285">
        <v>-0.15</v>
      </c>
      <c r="N151" s="286">
        <v>0.35</v>
      </c>
      <c r="O151" s="287">
        <v>0</v>
      </c>
      <c r="P151" s="239">
        <v>0.308</v>
      </c>
      <c r="Q151" s="215">
        <v>0.17749999999999999</v>
      </c>
      <c r="R151" s="291">
        <v>0.185</v>
      </c>
      <c r="S151" s="194">
        <v>0.185</v>
      </c>
      <c r="T151" s="107">
        <v>1</v>
      </c>
      <c r="U151" s="308">
        <v>0.185</v>
      </c>
      <c r="V151" s="61">
        <v>3.5029999999999997</v>
      </c>
      <c r="W151" s="61">
        <v>3.5941481350958893</v>
      </c>
      <c r="X151" s="197">
        <v>3.9929999999999994</v>
      </c>
      <c r="Y151" s="62"/>
      <c r="Z151" s="281">
        <v>0.13</v>
      </c>
      <c r="AA151" s="296">
        <v>0.69886235119332341</v>
      </c>
      <c r="AB151" s="301">
        <v>4.9961526861841117</v>
      </c>
      <c r="AC151" s="145">
        <v>5.1261526861841116</v>
      </c>
      <c r="AD151" s="197">
        <v>5.6950150373774351</v>
      </c>
      <c r="AE151" s="238">
        <v>4.4109999999999996</v>
      </c>
      <c r="AF151" s="133">
        <v>3.9529999999999998</v>
      </c>
      <c r="AG151" s="202">
        <v>4.1029999999999998</v>
      </c>
      <c r="AH151" s="242">
        <v>-0.1</v>
      </c>
      <c r="AI151" s="283">
        <v>1.50477329959311</v>
      </c>
      <c r="AJ151" s="88">
        <v>6.0787211342263205E-2</v>
      </c>
      <c r="AK151" s="88">
        <v>6.1671722221352997E-2</v>
      </c>
      <c r="AL151" s="90">
        <v>0.56856797318235863</v>
      </c>
      <c r="AM151" s="204">
        <v>0.56398543510124111</v>
      </c>
      <c r="AN151" s="184">
        <v>0.36499999999999999</v>
      </c>
      <c r="AO151" s="205">
        <v>0.12</v>
      </c>
      <c r="AP151" s="72"/>
      <c r="AQ151" s="184">
        <v>-3.6433495309496791</v>
      </c>
      <c r="AR151" s="206">
        <v>-3.043349530949679</v>
      </c>
      <c r="AS151" s="72"/>
      <c r="AT151" s="273">
        <v>7.4999999999999997E-3</v>
      </c>
      <c r="AU151" s="72"/>
      <c r="AV151" s="184">
        <v>8.0000000000000002E-3</v>
      </c>
      <c r="AW151" s="72"/>
      <c r="AX151" s="72">
        <v>0.01</v>
      </c>
      <c r="AY151" s="90"/>
      <c r="AZ151" s="302">
        <v>1</v>
      </c>
      <c r="BA151" s="302"/>
      <c r="BB151" s="252">
        <v>-0.6</v>
      </c>
      <c r="BC151" s="151"/>
      <c r="BD151" s="90"/>
      <c r="BE151" s="72"/>
      <c r="BF151" s="151"/>
      <c r="BG151" s="72"/>
      <c r="BH151" s="125"/>
      <c r="BI151" s="125"/>
      <c r="BJ151" s="72"/>
      <c r="BK151" s="151"/>
      <c r="BL151" s="72"/>
      <c r="BM151" s="72"/>
      <c r="BN151" s="90"/>
      <c r="BO151" s="90"/>
      <c r="BP151" s="125"/>
      <c r="BQ151" s="72"/>
      <c r="BR151" s="125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  <c r="CC151" s="72"/>
      <c r="CD151" s="72"/>
      <c r="CE151" s="72"/>
      <c r="CF151" s="72"/>
      <c r="CG151" s="72"/>
    </row>
    <row r="152" spans="1:85" x14ac:dyDescent="0.2">
      <c r="A152" s="354">
        <v>40544</v>
      </c>
      <c r="B152" s="277">
        <v>4.2030000000000003</v>
      </c>
      <c r="C152" s="311">
        <v>-0.6</v>
      </c>
      <c r="D152" s="188">
        <v>-0.50885519195299533</v>
      </c>
      <c r="E152" s="188">
        <v>-0.11</v>
      </c>
      <c r="F152" s="285">
        <v>0.185</v>
      </c>
      <c r="G152" s="286">
        <v>0.36499999999999999</v>
      </c>
      <c r="H152" s="286">
        <v>0.30499999999999999</v>
      </c>
      <c r="I152" s="287">
        <v>0.40500000000000003</v>
      </c>
      <c r="J152" s="286">
        <v>0.14000000000000001</v>
      </c>
      <c r="K152" s="286">
        <v>0.17</v>
      </c>
      <c r="L152" s="286">
        <v>1.63</v>
      </c>
      <c r="M152" s="285">
        <v>-0.15</v>
      </c>
      <c r="N152" s="286">
        <v>0.35</v>
      </c>
      <c r="O152" s="287">
        <v>0</v>
      </c>
      <c r="P152" s="239">
        <v>0.37800000000000006</v>
      </c>
      <c r="Q152" s="215">
        <v>0.17749999999999999</v>
      </c>
      <c r="R152" s="291">
        <v>0.185</v>
      </c>
      <c r="S152" s="194">
        <v>0.185</v>
      </c>
      <c r="T152" s="107">
        <v>1</v>
      </c>
      <c r="U152" s="308">
        <v>0.185</v>
      </c>
      <c r="V152" s="61">
        <v>3.6030000000000002</v>
      </c>
      <c r="W152" s="61">
        <v>3.694144808047005</v>
      </c>
      <c r="X152" s="197">
        <v>4.093</v>
      </c>
      <c r="Y152" s="62"/>
      <c r="Z152" s="281">
        <v>0.13</v>
      </c>
      <c r="AA152" s="296">
        <v>0.69888786168871952</v>
      </c>
      <c r="AB152" s="301">
        <v>5.1389652360499163</v>
      </c>
      <c r="AC152" s="145">
        <v>5.2689652360499162</v>
      </c>
      <c r="AD152" s="197">
        <v>5.8378530977386358</v>
      </c>
      <c r="AE152" s="238">
        <v>4.5810000000000004</v>
      </c>
      <c r="AF152" s="133">
        <v>4.0529999999999999</v>
      </c>
      <c r="AG152" s="202">
        <v>4.2030000000000003</v>
      </c>
      <c r="AH152" s="242">
        <v>-0.1</v>
      </c>
      <c r="AI152" s="283">
        <v>1.5048282281670498</v>
      </c>
      <c r="AJ152" s="88">
        <v>6.0863757116176802E-2</v>
      </c>
      <c r="AK152" s="88">
        <v>6.1736453170042199E-2</v>
      </c>
      <c r="AL152" s="90">
        <v>0.56528596857407676</v>
      </c>
      <c r="AM152" s="204">
        <v>0.56075035101978943</v>
      </c>
      <c r="AN152" s="184">
        <v>0.36499999999999999</v>
      </c>
      <c r="AO152" s="205">
        <v>0.12</v>
      </c>
      <c r="AP152" s="72"/>
      <c r="AQ152" s="184">
        <v>-3.7433789132137374</v>
      </c>
      <c r="AR152" s="206">
        <v>-3.1433789132137373</v>
      </c>
      <c r="AS152" s="72"/>
      <c r="AT152" s="273">
        <v>7.4999999999999997E-3</v>
      </c>
      <c r="AU152" s="72"/>
      <c r="AV152" s="184">
        <v>8.0000000000000002E-3</v>
      </c>
      <c r="AW152" s="72"/>
      <c r="AX152" s="72">
        <v>0.03</v>
      </c>
      <c r="AY152" s="90"/>
      <c r="AZ152" s="302">
        <v>1</v>
      </c>
      <c r="BA152" s="302"/>
      <c r="BB152" s="252">
        <v>-0.6</v>
      </c>
      <c r="BC152" s="151"/>
      <c r="BD152" s="90"/>
      <c r="BE152" s="72"/>
      <c r="BF152" s="151"/>
      <c r="BG152" s="72"/>
      <c r="BH152" s="125"/>
      <c r="BI152" s="125"/>
      <c r="BJ152" s="72"/>
      <c r="BK152" s="151"/>
      <c r="BL152" s="72"/>
      <c r="BM152" s="72"/>
      <c r="BN152" s="90"/>
      <c r="BO152" s="90"/>
      <c r="BP152" s="125"/>
      <c r="BQ152" s="72"/>
      <c r="BR152" s="125"/>
      <c r="BS152" s="72"/>
      <c r="BT152" s="72"/>
      <c r="BU152" s="72"/>
      <c r="BV152" s="72"/>
      <c r="BW152" s="72"/>
      <c r="BX152" s="72"/>
      <c r="BY152" s="72"/>
      <c r="BZ152" s="72"/>
      <c r="CA152" s="72"/>
      <c r="CB152" s="72"/>
      <c r="CC152" s="72"/>
      <c r="CD152" s="72"/>
      <c r="CE152" s="72"/>
      <c r="CF152" s="72"/>
      <c r="CG152" s="72"/>
    </row>
    <row r="153" spans="1:85" x14ac:dyDescent="0.2">
      <c r="A153" s="354">
        <v>40575</v>
      </c>
      <c r="B153" s="277">
        <v>4.085</v>
      </c>
      <c r="C153" s="311">
        <v>-0.6</v>
      </c>
      <c r="D153" s="188">
        <v>-0.50885869599763778</v>
      </c>
      <c r="E153" s="188">
        <v>-0.11</v>
      </c>
      <c r="F153" s="285">
        <v>0.185</v>
      </c>
      <c r="G153" s="286">
        <v>0.36499999999999999</v>
      </c>
      <c r="H153" s="286">
        <v>0.30499999999999999</v>
      </c>
      <c r="I153" s="287">
        <v>0.40500000000000003</v>
      </c>
      <c r="J153" s="286">
        <v>0.14000000000000001</v>
      </c>
      <c r="K153" s="286">
        <v>0.17</v>
      </c>
      <c r="L153" s="286">
        <v>1.63</v>
      </c>
      <c r="M153" s="285">
        <v>-0.15</v>
      </c>
      <c r="N153" s="286">
        <v>0.35</v>
      </c>
      <c r="O153" s="287">
        <v>0</v>
      </c>
      <c r="P153" s="239">
        <v>0.248</v>
      </c>
      <c r="Q153" s="215">
        <v>0.17749999999999999</v>
      </c>
      <c r="R153" s="291">
        <v>0.185</v>
      </c>
      <c r="S153" s="194">
        <v>0.185</v>
      </c>
      <c r="T153" s="107">
        <v>1</v>
      </c>
      <c r="U153" s="308">
        <v>0.185</v>
      </c>
      <c r="V153" s="61">
        <v>3.4849999999999999</v>
      </c>
      <c r="W153" s="61">
        <v>3.5761413040023622</v>
      </c>
      <c r="X153" s="197">
        <v>3.9750000000000001</v>
      </c>
      <c r="Y153" s="62"/>
      <c r="Z153" s="281">
        <v>0.13</v>
      </c>
      <c r="AA153" s="296">
        <v>0.6989147313313504</v>
      </c>
      <c r="AB153" s="301">
        <v>4.9708527320199138</v>
      </c>
      <c r="AC153" s="145">
        <v>5.1008527320199137</v>
      </c>
      <c r="AD153" s="197">
        <v>5.6697674633512642</v>
      </c>
      <c r="AE153" s="238">
        <v>4.3330000000000002</v>
      </c>
      <c r="AF153" s="133">
        <v>3.9350000000000001</v>
      </c>
      <c r="AG153" s="202">
        <v>4.085</v>
      </c>
      <c r="AH153" s="242">
        <v>-0.1</v>
      </c>
      <c r="AI153" s="283">
        <v>1.50488608322353</v>
      </c>
      <c r="AJ153" s="88">
        <v>6.0940302892036301E-2</v>
      </c>
      <c r="AK153" s="88">
        <v>6.1801184120122706E-2</v>
      </c>
      <c r="AL153" s="90">
        <v>0.5620158368951752</v>
      </c>
      <c r="AM153" s="204">
        <v>0.55752789155884885</v>
      </c>
      <c r="AN153" s="184">
        <v>0.36499999999999999</v>
      </c>
      <c r="AO153" s="205">
        <v>0.13300000000000001</v>
      </c>
      <c r="AP153" s="72"/>
      <c r="AQ153" s="184">
        <v>-3.6254088036800742</v>
      </c>
      <c r="AR153" s="206">
        <v>-3.0254088036800741</v>
      </c>
      <c r="AS153" s="72"/>
      <c r="AT153" s="273">
        <v>7.4999999999999997E-3</v>
      </c>
      <c r="AU153" s="72"/>
      <c r="AV153" s="184">
        <v>8.0000000000000002E-3</v>
      </c>
      <c r="AW153" s="72"/>
      <c r="AX153" s="72">
        <v>2.5000000000000001E-2</v>
      </c>
      <c r="AY153" s="90"/>
      <c r="AZ153" s="302">
        <v>1</v>
      </c>
      <c r="BA153" s="302"/>
      <c r="BB153" s="252">
        <v>-0.6</v>
      </c>
      <c r="BC153" s="151"/>
      <c r="BD153" s="90"/>
      <c r="BE153" s="72"/>
      <c r="BF153" s="151"/>
      <c r="BG153" s="72"/>
      <c r="BH153" s="125"/>
      <c r="BI153" s="125"/>
      <c r="BJ153" s="72"/>
      <c r="BK153" s="151"/>
      <c r="BL153" s="72"/>
      <c r="BM153" s="72"/>
      <c r="BN153" s="90"/>
      <c r="BO153" s="90"/>
      <c r="BP153" s="125"/>
      <c r="BQ153" s="72"/>
      <c r="BR153" s="125"/>
      <c r="BS153" s="72"/>
      <c r="BT153" s="72"/>
      <c r="BU153" s="72"/>
      <c r="BV153" s="72"/>
      <c r="BW153" s="72"/>
      <c r="BX153" s="72"/>
      <c r="BY153" s="72"/>
      <c r="BZ153" s="72"/>
      <c r="CA153" s="72"/>
      <c r="CB153" s="72"/>
      <c r="CC153" s="72"/>
      <c r="CD153" s="72"/>
      <c r="CE153" s="72"/>
      <c r="CF153" s="72"/>
      <c r="CG153" s="72"/>
    </row>
    <row r="154" spans="1:85" x14ac:dyDescent="0.2">
      <c r="A154" s="354">
        <v>40603</v>
      </c>
      <c r="B154" s="277">
        <v>3.9520000000000004</v>
      </c>
      <c r="C154" s="311">
        <v>-0.6</v>
      </c>
      <c r="D154" s="188">
        <v>-0.50886201304071399</v>
      </c>
      <c r="E154" s="188">
        <v>-0.10999999999999943</v>
      </c>
      <c r="F154" s="285">
        <v>0.185</v>
      </c>
      <c r="G154" s="286">
        <v>0.36499999999999999</v>
      </c>
      <c r="H154" s="286">
        <v>0.30499999999999999</v>
      </c>
      <c r="I154" s="287">
        <v>0.40500000000000003</v>
      </c>
      <c r="J154" s="286">
        <v>0.14000000000000001</v>
      </c>
      <c r="K154" s="286">
        <v>0.17</v>
      </c>
      <c r="L154" s="286">
        <v>0.72</v>
      </c>
      <c r="M154" s="285">
        <v>-0.15</v>
      </c>
      <c r="N154" s="286">
        <v>0.35</v>
      </c>
      <c r="O154" s="287">
        <v>0</v>
      </c>
      <c r="P154" s="239">
        <v>6.8000000000000005E-2</v>
      </c>
      <c r="Q154" s="215">
        <v>0.17249999999999999</v>
      </c>
      <c r="R154" s="291">
        <v>0.18</v>
      </c>
      <c r="S154" s="194">
        <v>0.18</v>
      </c>
      <c r="T154" s="107">
        <v>0.75</v>
      </c>
      <c r="U154" s="308">
        <v>0.18</v>
      </c>
      <c r="V154" s="61">
        <v>3.3520000000000003</v>
      </c>
      <c r="W154" s="61">
        <v>3.4431379869592864</v>
      </c>
      <c r="X154" s="197">
        <v>3.842000000000001</v>
      </c>
      <c r="Y154" s="62"/>
      <c r="Z154" s="281">
        <v>0.13</v>
      </c>
      <c r="AA154" s="296">
        <v>0.69894016891613742</v>
      </c>
      <c r="AB154" s="301">
        <v>4.7813213187895736</v>
      </c>
      <c r="AC154" s="145">
        <v>4.9113213187895735</v>
      </c>
      <c r="AD154" s="197">
        <v>5.480261487705711</v>
      </c>
      <c r="AE154" s="238">
        <v>4.0199999999999996</v>
      </c>
      <c r="AF154" s="133">
        <v>3.8020000000000005</v>
      </c>
      <c r="AG154" s="202">
        <v>3.9520000000000004</v>
      </c>
      <c r="AH154" s="242">
        <v>-0.1</v>
      </c>
      <c r="AI154" s="283">
        <v>1.50494085480813</v>
      </c>
      <c r="AJ154" s="88">
        <v>6.1009441013839996E-2</v>
      </c>
      <c r="AK154" s="88">
        <v>6.1859650785907001E-2</v>
      </c>
      <c r="AL154" s="90">
        <v>0.55907238607098608</v>
      </c>
      <c r="AM154" s="204">
        <v>0.55462813091186003</v>
      </c>
      <c r="AN154" s="184">
        <v>0.36499999999999999</v>
      </c>
      <c r="AO154" s="205">
        <v>0.12</v>
      </c>
      <c r="AP154" s="72"/>
      <c r="AQ154" s="184">
        <v>-3.4924362382171328</v>
      </c>
      <c r="AR154" s="206">
        <v>-2.8924362382171327</v>
      </c>
      <c r="AS154" s="72"/>
      <c r="AT154" s="273">
        <v>7.4999999999999997E-3</v>
      </c>
      <c r="AU154" s="72"/>
      <c r="AV154" s="184">
        <v>8.0000000000000002E-3</v>
      </c>
      <c r="AW154" s="72"/>
      <c r="AX154" s="72">
        <v>5.0000000000000001E-3</v>
      </c>
      <c r="AY154" s="90"/>
      <c r="AZ154" s="302">
        <v>0.75</v>
      </c>
      <c r="BA154" s="302"/>
      <c r="BB154" s="252">
        <v>-0.6</v>
      </c>
      <c r="BC154" s="151"/>
      <c r="BD154" s="90"/>
      <c r="BE154" s="72"/>
      <c r="BF154" s="151"/>
      <c r="BG154" s="72"/>
      <c r="BH154" s="125"/>
      <c r="BI154" s="125"/>
      <c r="BJ154" s="72"/>
      <c r="BK154" s="151"/>
      <c r="BL154" s="72"/>
      <c r="BM154" s="72"/>
      <c r="BN154" s="90"/>
      <c r="BO154" s="90"/>
      <c r="BP154" s="125"/>
      <c r="BQ154" s="72"/>
      <c r="BR154" s="125"/>
      <c r="BS154" s="72"/>
      <c r="BT154" s="72"/>
      <c r="BU154" s="72"/>
      <c r="BV154" s="72"/>
      <c r="BW154" s="72"/>
      <c r="BX154" s="72"/>
      <c r="BY154" s="72"/>
      <c r="BZ154" s="72"/>
      <c r="CA154" s="72"/>
      <c r="CB154" s="72"/>
      <c r="CC154" s="72"/>
      <c r="CD154" s="72"/>
      <c r="CE154" s="72"/>
      <c r="CF154" s="72"/>
      <c r="CG154" s="72"/>
    </row>
    <row r="155" spans="1:85" x14ac:dyDescent="0.2">
      <c r="A155" s="354">
        <v>40634</v>
      </c>
      <c r="B155" s="277">
        <v>3.7320000000000002</v>
      </c>
      <c r="C155" s="312">
        <v>-0.67800000000000005</v>
      </c>
      <c r="D155" s="188">
        <v>-0.58686585384070744</v>
      </c>
      <c r="E155" s="188">
        <v>-0.60789681064669843</v>
      </c>
      <c r="F155" s="285">
        <v>0.125</v>
      </c>
      <c r="G155" s="286">
        <v>0.125</v>
      </c>
      <c r="H155" s="286">
        <v>0.16</v>
      </c>
      <c r="I155" s="287">
        <v>0.12</v>
      </c>
      <c r="J155" s="286">
        <v>0.04</v>
      </c>
      <c r="K155" s="286">
        <v>0.11</v>
      </c>
      <c r="L155" s="286">
        <v>0.48</v>
      </c>
      <c r="M155" s="285">
        <v>-0.22</v>
      </c>
      <c r="N155" s="286">
        <v>0.43</v>
      </c>
      <c r="O155" s="287">
        <v>0</v>
      </c>
      <c r="P155" s="239">
        <v>-0.25</v>
      </c>
      <c r="Q155" s="215">
        <v>0.17249999999999999</v>
      </c>
      <c r="R155" s="291">
        <v>0.18</v>
      </c>
      <c r="S155" s="194">
        <v>0.18</v>
      </c>
      <c r="T155" s="107">
        <v>0.4</v>
      </c>
      <c r="U155" s="308">
        <v>0.18</v>
      </c>
      <c r="V155" s="61">
        <v>3.0540000000000003</v>
      </c>
      <c r="W155" s="61">
        <v>3.1451341461592928</v>
      </c>
      <c r="X155" s="197">
        <v>3.1241031893533018</v>
      </c>
      <c r="Y155" s="62"/>
      <c r="Z155" s="281">
        <v>0.13</v>
      </c>
      <c r="AA155" s="296">
        <v>0.1</v>
      </c>
      <c r="AB155" s="301">
        <v>4.3564351753079444</v>
      </c>
      <c r="AC155" s="145">
        <v>4.4864351753079443</v>
      </c>
      <c r="AD155" s="197">
        <v>4.4564351753079441</v>
      </c>
      <c r="AE155" s="238">
        <v>3.4820000000000002</v>
      </c>
      <c r="AF155" s="133">
        <v>3.512</v>
      </c>
      <c r="AG155" s="202">
        <v>3.7320000000000002</v>
      </c>
      <c r="AH155" s="242">
        <v>-0.1</v>
      </c>
      <c r="AI155" s="283">
        <v>1.5050042797379499</v>
      </c>
      <c r="AJ155" s="88">
        <v>6.1085986793402401E-2</v>
      </c>
      <c r="AK155" s="88">
        <v>6.19243817386348E-2</v>
      </c>
      <c r="AL155" s="90">
        <v>0.55582488884997616</v>
      </c>
      <c r="AM155" s="204">
        <v>0.55142968787349034</v>
      </c>
      <c r="AN155" s="184">
        <v>0.125</v>
      </c>
      <c r="AO155" s="205">
        <v>0.124</v>
      </c>
      <c r="AP155" s="72"/>
      <c r="AQ155" s="184">
        <v>-3.6919261128889529</v>
      </c>
      <c r="AR155" s="206">
        <v>-3.013926112888953</v>
      </c>
      <c r="AS155" s="72"/>
      <c r="AT155" s="273">
        <v>7.4999999999999997E-3</v>
      </c>
      <c r="AU155" s="72"/>
      <c r="AV155" s="184">
        <v>2.5000000000000001E-3</v>
      </c>
      <c r="AW155" s="72"/>
      <c r="AX155" s="72">
        <v>-0.105</v>
      </c>
      <c r="AY155" s="90"/>
      <c r="AZ155" s="302">
        <v>0.4</v>
      </c>
      <c r="BA155" s="302"/>
      <c r="BB155" s="252">
        <v>-0.67800000000000005</v>
      </c>
      <c r="BC155" s="151"/>
      <c r="BD155" s="90"/>
      <c r="BE155" s="72"/>
      <c r="BF155" s="151"/>
      <c r="BG155" s="72"/>
      <c r="BH155" s="125"/>
      <c r="BI155" s="125"/>
      <c r="BJ155" s="72"/>
      <c r="BK155" s="151"/>
      <c r="BL155" s="72"/>
      <c r="BM155" s="72"/>
      <c r="BN155" s="90"/>
      <c r="BO155" s="90"/>
      <c r="BP155" s="125"/>
      <c r="BQ155" s="72"/>
      <c r="BR155" s="125"/>
      <c r="BS155" s="72"/>
      <c r="BT155" s="72"/>
      <c r="BU155" s="72"/>
      <c r="BV155" s="72"/>
      <c r="BW155" s="72"/>
      <c r="BX155" s="72"/>
      <c r="BY155" s="72"/>
      <c r="BZ155" s="72"/>
      <c r="CA155" s="72"/>
      <c r="CB155" s="72"/>
      <c r="CC155" s="72"/>
      <c r="CD155" s="72"/>
      <c r="CE155" s="72"/>
      <c r="CF155" s="72"/>
      <c r="CG155" s="72"/>
    </row>
    <row r="156" spans="1:85" x14ac:dyDescent="0.2">
      <c r="A156" s="354">
        <v>40664</v>
      </c>
      <c r="B156" s="277">
        <v>3.722</v>
      </c>
      <c r="C156" s="311">
        <v>-0.67800000000000005</v>
      </c>
      <c r="D156" s="188">
        <v>-0.58686973915844032</v>
      </c>
      <c r="E156" s="188">
        <v>-0.60789979935264693</v>
      </c>
      <c r="F156" s="285">
        <v>0.125</v>
      </c>
      <c r="G156" s="286">
        <v>0.125</v>
      </c>
      <c r="H156" s="286">
        <v>0.16</v>
      </c>
      <c r="I156" s="287">
        <v>0.12</v>
      </c>
      <c r="J156" s="286">
        <v>0.04</v>
      </c>
      <c r="K156" s="286">
        <v>0.11</v>
      </c>
      <c r="L156" s="286">
        <v>0.42</v>
      </c>
      <c r="M156" s="285">
        <v>-0.27</v>
      </c>
      <c r="N156" s="286">
        <v>0.43</v>
      </c>
      <c r="O156" s="287">
        <v>0</v>
      </c>
      <c r="P156" s="239">
        <v>-0.1</v>
      </c>
      <c r="Q156" s="215">
        <v>0.17249999999999999</v>
      </c>
      <c r="R156" s="291">
        <v>0.18</v>
      </c>
      <c r="S156" s="194">
        <v>0.18</v>
      </c>
      <c r="T156" s="107">
        <v>0.45</v>
      </c>
      <c r="U156" s="308">
        <v>0.18</v>
      </c>
      <c r="V156" s="61">
        <v>3.044</v>
      </c>
      <c r="W156" s="61">
        <v>3.1351302608415597</v>
      </c>
      <c r="X156" s="197">
        <v>3.114100200647353</v>
      </c>
      <c r="Y156" s="62"/>
      <c r="Z156" s="281">
        <v>0.13</v>
      </c>
      <c r="AA156" s="296">
        <v>0.1</v>
      </c>
      <c r="AB156" s="301">
        <v>4.3423556165169472</v>
      </c>
      <c r="AC156" s="145">
        <v>4.4723556165169471</v>
      </c>
      <c r="AD156" s="197">
        <v>4.4423556165169469</v>
      </c>
      <c r="AE156" s="238">
        <v>3.6219999999999999</v>
      </c>
      <c r="AF156" s="133">
        <v>3.452</v>
      </c>
      <c r="AG156" s="202">
        <v>3.722</v>
      </c>
      <c r="AH156" s="242">
        <v>-0.1</v>
      </c>
      <c r="AI156" s="283">
        <v>1.5050684452496399</v>
      </c>
      <c r="AJ156" s="88">
        <v>6.1160063356122701E-2</v>
      </c>
      <c r="AK156" s="88">
        <v>6.1987024597437206E-2</v>
      </c>
      <c r="AL156" s="90">
        <v>0.55269349074205898</v>
      </c>
      <c r="AM156" s="204">
        <v>0.5483464290116975</v>
      </c>
      <c r="AN156" s="184">
        <v>0.125</v>
      </c>
      <c r="AO156" s="205">
        <v>0.12</v>
      </c>
      <c r="AP156" s="72"/>
      <c r="AQ156" s="184">
        <v>-3.6819291003456609</v>
      </c>
      <c r="AR156" s="206">
        <v>-3.003929100345661</v>
      </c>
      <c r="AS156" s="72"/>
      <c r="AT156" s="273">
        <v>7.4999999999999997E-3</v>
      </c>
      <c r="AU156" s="72"/>
      <c r="AV156" s="184">
        <v>2.5000000000000001E-3</v>
      </c>
      <c r="AW156" s="72"/>
      <c r="AX156" s="72">
        <v>-0.105</v>
      </c>
      <c r="AY156" s="90"/>
      <c r="AZ156" s="302">
        <v>0.45</v>
      </c>
      <c r="BA156" s="302"/>
      <c r="BB156" s="252">
        <v>-0.67800000000000005</v>
      </c>
      <c r="BC156" s="151"/>
      <c r="BD156" s="90"/>
      <c r="BE156" s="72"/>
      <c r="BF156" s="151"/>
      <c r="BG156" s="72"/>
      <c r="BH156" s="125"/>
      <c r="BI156" s="125"/>
      <c r="BJ156" s="72"/>
      <c r="BK156" s="151"/>
      <c r="BL156" s="72"/>
      <c r="BM156" s="72"/>
      <c r="BN156" s="90"/>
      <c r="BO156" s="90"/>
      <c r="BP156" s="125"/>
      <c r="BQ156" s="72"/>
      <c r="BR156" s="125"/>
      <c r="BS156" s="72"/>
      <c r="BT156" s="72"/>
      <c r="BU156" s="72"/>
      <c r="BV156" s="72"/>
      <c r="BW156" s="72"/>
      <c r="BX156" s="72"/>
      <c r="BY156" s="72"/>
      <c r="BZ156" s="72"/>
      <c r="CA156" s="72"/>
      <c r="CB156" s="72"/>
      <c r="CC156" s="72"/>
      <c r="CD156" s="72"/>
      <c r="CE156" s="72"/>
      <c r="CF156" s="72"/>
      <c r="CG156" s="72"/>
    </row>
    <row r="157" spans="1:85" x14ac:dyDescent="0.2">
      <c r="A157" s="354">
        <v>40695</v>
      </c>
      <c r="B157" s="277">
        <v>3.758</v>
      </c>
      <c r="C157" s="311">
        <v>-0.67800000000000005</v>
      </c>
      <c r="D157" s="188">
        <v>-0.5868739279746289</v>
      </c>
      <c r="E157" s="188">
        <v>-0.6079030215189456</v>
      </c>
      <c r="F157" s="285">
        <v>0.125</v>
      </c>
      <c r="G157" s="286">
        <v>0.125</v>
      </c>
      <c r="H157" s="286">
        <v>0.16</v>
      </c>
      <c r="I157" s="287">
        <v>0.12</v>
      </c>
      <c r="J157" s="286">
        <v>0.04</v>
      </c>
      <c r="K157" s="286">
        <v>0.11</v>
      </c>
      <c r="L157" s="286">
        <v>0.42</v>
      </c>
      <c r="M157" s="285">
        <v>-0.27</v>
      </c>
      <c r="N157" s="286">
        <v>0.43</v>
      </c>
      <c r="O157" s="287">
        <v>0</v>
      </c>
      <c r="P157" s="239">
        <v>-0.1</v>
      </c>
      <c r="Q157" s="215">
        <v>0.17249999999999999</v>
      </c>
      <c r="R157" s="291">
        <v>0.18</v>
      </c>
      <c r="S157" s="194">
        <v>0.18</v>
      </c>
      <c r="T157" s="107">
        <v>0.45</v>
      </c>
      <c r="U157" s="308">
        <v>0.18</v>
      </c>
      <c r="V157" s="61">
        <v>3.08</v>
      </c>
      <c r="W157" s="61">
        <v>3.1711260720253711</v>
      </c>
      <c r="X157" s="197">
        <v>3.1500969784810544</v>
      </c>
      <c r="Y157" s="62"/>
      <c r="Z157" s="281">
        <v>0.13</v>
      </c>
      <c r="AA157" s="296">
        <v>0.1</v>
      </c>
      <c r="AB157" s="301">
        <v>4.3939126432281768</v>
      </c>
      <c r="AC157" s="145">
        <v>4.5239126432281767</v>
      </c>
      <c r="AD157" s="197">
        <v>4.4939126432281764</v>
      </c>
      <c r="AE157" s="238">
        <v>3.6579999999999999</v>
      </c>
      <c r="AF157" s="133">
        <v>3.488</v>
      </c>
      <c r="AG157" s="202">
        <v>3.758</v>
      </c>
      <c r="AH157" s="242">
        <v>-0.1</v>
      </c>
      <c r="AI157" s="283">
        <v>1.50513762912784</v>
      </c>
      <c r="AJ157" s="88">
        <v>6.1236609139514002E-2</v>
      </c>
      <c r="AK157" s="88">
        <v>6.2051755552901905E-2</v>
      </c>
      <c r="AL157" s="90">
        <v>0.54946944377936646</v>
      </c>
      <c r="AM157" s="204">
        <v>0.54517279887163261</v>
      </c>
      <c r="AN157" s="184">
        <v>0.125</v>
      </c>
      <c r="AO157" s="205">
        <v>0.124</v>
      </c>
      <c r="AP157" s="72"/>
      <c r="AQ157" s="184">
        <v>-3.7179323211651352</v>
      </c>
      <c r="AR157" s="206">
        <v>-3.0399323211651352</v>
      </c>
      <c r="AS157" s="72"/>
      <c r="AT157" s="273">
        <v>7.4999999999999997E-3</v>
      </c>
      <c r="AU157" s="72"/>
      <c r="AV157" s="184">
        <v>2.5000000000000001E-3</v>
      </c>
      <c r="AW157" s="72"/>
      <c r="AX157" s="72">
        <v>-0.105</v>
      </c>
      <c r="AY157" s="90"/>
      <c r="AZ157" s="302">
        <v>0.45</v>
      </c>
      <c r="BA157" s="302"/>
      <c r="BB157" s="252">
        <v>-0.67800000000000005</v>
      </c>
      <c r="BC157" s="151"/>
      <c r="BD157" s="90"/>
      <c r="BE157" s="72"/>
      <c r="BF157" s="151"/>
      <c r="BG157" s="72"/>
      <c r="BH157" s="125"/>
      <c r="BI157" s="125"/>
      <c r="BJ157" s="72"/>
      <c r="BK157" s="151"/>
      <c r="BL157" s="72"/>
      <c r="BM157" s="72"/>
      <c r="BN157" s="90"/>
      <c r="BO157" s="90"/>
      <c r="BP157" s="125"/>
      <c r="BQ157" s="72"/>
      <c r="BR157" s="125"/>
      <c r="BS157" s="72"/>
      <c r="BT157" s="72"/>
      <c r="BU157" s="72"/>
      <c r="BV157" s="72"/>
      <c r="BW157" s="72"/>
      <c r="BX157" s="72"/>
      <c r="BY157" s="72"/>
      <c r="BZ157" s="72"/>
      <c r="CA157" s="72"/>
      <c r="CB157" s="72"/>
      <c r="CC157" s="72"/>
      <c r="CD157" s="72"/>
      <c r="CE157" s="72"/>
      <c r="CF157" s="72"/>
      <c r="CG157" s="72"/>
    </row>
    <row r="158" spans="1:85" x14ac:dyDescent="0.2">
      <c r="A158" s="354">
        <v>40725</v>
      </c>
      <c r="B158" s="277">
        <v>3.8</v>
      </c>
      <c r="C158" s="311">
        <v>-0.67800000000000005</v>
      </c>
      <c r="D158" s="188">
        <v>-0.58687583785786179</v>
      </c>
      <c r="E158" s="188">
        <v>-0.6079044906598936</v>
      </c>
      <c r="F158" s="285">
        <v>0.125</v>
      </c>
      <c r="G158" s="286">
        <v>0.125</v>
      </c>
      <c r="H158" s="286">
        <v>0.16</v>
      </c>
      <c r="I158" s="287">
        <v>0.12</v>
      </c>
      <c r="J158" s="286">
        <v>0.04</v>
      </c>
      <c r="K158" s="286">
        <v>0.11</v>
      </c>
      <c r="L158" s="286">
        <v>0.48</v>
      </c>
      <c r="M158" s="285">
        <v>-0.27</v>
      </c>
      <c r="N158" s="286">
        <v>0.43</v>
      </c>
      <c r="O158" s="287">
        <v>0</v>
      </c>
      <c r="P158" s="239">
        <v>-0.1</v>
      </c>
      <c r="Q158" s="215">
        <v>0.17249999999999999</v>
      </c>
      <c r="R158" s="291">
        <v>0.18</v>
      </c>
      <c r="S158" s="194">
        <v>0.18</v>
      </c>
      <c r="T158" s="107">
        <v>0.5</v>
      </c>
      <c r="U158" s="308">
        <v>0.18</v>
      </c>
      <c r="V158" s="61">
        <v>3.1219999999999999</v>
      </c>
      <c r="W158" s="61">
        <v>3.213124162142138</v>
      </c>
      <c r="X158" s="197">
        <v>3.1920955093401062</v>
      </c>
      <c r="Y158" s="62"/>
      <c r="Z158" s="281">
        <v>0.13</v>
      </c>
      <c r="AA158" s="296">
        <v>0.1</v>
      </c>
      <c r="AB158" s="301">
        <v>4.4539229822154756</v>
      </c>
      <c r="AC158" s="145">
        <v>4.5839229822154755</v>
      </c>
      <c r="AD158" s="197">
        <v>4.5539229822154752</v>
      </c>
      <c r="AE158" s="238">
        <v>3.7</v>
      </c>
      <c r="AF158" s="133">
        <v>3.53</v>
      </c>
      <c r="AG158" s="202">
        <v>3.8</v>
      </c>
      <c r="AH158" s="242">
        <v>-0.1</v>
      </c>
      <c r="AI158" s="283">
        <v>1.50516917550427</v>
      </c>
      <c r="AJ158" s="88">
        <v>6.1306059664105302E-2</v>
      </c>
      <c r="AK158" s="88">
        <v>6.2112384253685302E-2</v>
      </c>
      <c r="AL158" s="90">
        <v>0.54638530909669347</v>
      </c>
      <c r="AM158" s="204">
        <v>0.54212414317779634</v>
      </c>
      <c r="AN158" s="184">
        <v>0.125</v>
      </c>
      <c r="AO158" s="205">
        <v>0.12</v>
      </c>
      <c r="AP158" s="72"/>
      <c r="AQ158" s="184">
        <v>-3.7599337896920009</v>
      </c>
      <c r="AR158" s="206">
        <v>-3.0819337896920009</v>
      </c>
      <c r="AS158" s="72"/>
      <c r="AT158" s="273">
        <v>7.4999999999999997E-3</v>
      </c>
      <c r="AU158" s="72"/>
      <c r="AV158" s="184">
        <v>2.5000000000000001E-3</v>
      </c>
      <c r="AW158" s="72"/>
      <c r="AX158" s="72">
        <v>-0.105</v>
      </c>
      <c r="AY158" s="90"/>
      <c r="AZ158" s="302">
        <v>0.5</v>
      </c>
      <c r="BA158" s="302"/>
      <c r="BB158" s="252">
        <v>-0.67800000000000005</v>
      </c>
      <c r="BC158" s="151"/>
      <c r="BD158" s="90"/>
      <c r="BE158" s="72"/>
      <c r="BF158" s="151"/>
      <c r="BG158" s="72"/>
      <c r="BH158" s="125"/>
      <c r="BI158" s="125"/>
      <c r="BJ158" s="72"/>
      <c r="BK158" s="151"/>
      <c r="BL158" s="72"/>
      <c r="BM158" s="72"/>
      <c r="BN158" s="90"/>
      <c r="BO158" s="90"/>
      <c r="BP158" s="125"/>
      <c r="BQ158" s="72"/>
      <c r="BR158" s="125"/>
      <c r="BS158" s="72"/>
      <c r="BT158" s="72"/>
      <c r="BU158" s="72"/>
      <c r="BV158" s="72"/>
      <c r="BW158" s="72"/>
      <c r="BX158" s="72"/>
      <c r="BY158" s="72"/>
      <c r="BZ158" s="72"/>
      <c r="CA158" s="72"/>
      <c r="CB158" s="72"/>
      <c r="CC158" s="72"/>
      <c r="CD158" s="72"/>
      <c r="CE158" s="72"/>
      <c r="CF158" s="72"/>
      <c r="CG158" s="72"/>
    </row>
    <row r="159" spans="1:85" x14ac:dyDescent="0.2">
      <c r="A159" s="354">
        <v>40756</v>
      </c>
      <c r="B159" s="277">
        <v>3.8490000000000002</v>
      </c>
      <c r="C159" s="311">
        <v>-0.67800000000000005</v>
      </c>
      <c r="D159" s="188">
        <v>-0.58687621027786196</v>
      </c>
      <c r="E159" s="188">
        <v>-0.60790477713681668</v>
      </c>
      <c r="F159" s="285">
        <v>0.125</v>
      </c>
      <c r="G159" s="286">
        <v>0.125</v>
      </c>
      <c r="H159" s="286">
        <v>0.16</v>
      </c>
      <c r="I159" s="287">
        <v>0.12</v>
      </c>
      <c r="J159" s="286">
        <v>0.04</v>
      </c>
      <c r="K159" s="286">
        <v>0.11</v>
      </c>
      <c r="L159" s="286">
        <v>0.48</v>
      </c>
      <c r="M159" s="285">
        <v>-0.27</v>
      </c>
      <c r="N159" s="286">
        <v>0.43</v>
      </c>
      <c r="O159" s="287">
        <v>0</v>
      </c>
      <c r="P159" s="239">
        <v>-0.1</v>
      </c>
      <c r="Q159" s="215">
        <v>0.17249999999999999</v>
      </c>
      <c r="R159" s="291">
        <v>0.18</v>
      </c>
      <c r="S159" s="194">
        <v>0.18</v>
      </c>
      <c r="T159" s="107">
        <v>0.55000000000000004</v>
      </c>
      <c r="U159" s="308">
        <v>0.18</v>
      </c>
      <c r="V159" s="61">
        <v>3.1710000000000003</v>
      </c>
      <c r="W159" s="61">
        <v>3.2621237897221382</v>
      </c>
      <c r="X159" s="197">
        <v>3.2410952228631835</v>
      </c>
      <c r="Y159" s="62"/>
      <c r="Z159" s="281">
        <v>0.13</v>
      </c>
      <c r="AA159" s="296">
        <v>0.1</v>
      </c>
      <c r="AB159" s="301">
        <v>4.5238460917506149</v>
      </c>
      <c r="AC159" s="145">
        <v>4.6538460917506148</v>
      </c>
      <c r="AD159" s="197">
        <v>4.6238460917506146</v>
      </c>
      <c r="AE159" s="238">
        <v>3.7490000000000001</v>
      </c>
      <c r="AF159" s="133">
        <v>3.5790000000000002</v>
      </c>
      <c r="AG159" s="202">
        <v>3.8490000000000002</v>
      </c>
      <c r="AH159" s="242">
        <v>-0.1</v>
      </c>
      <c r="AI159" s="283">
        <v>1.5051753270823198</v>
      </c>
      <c r="AJ159" s="88">
        <v>6.1346753626324399E-2</v>
      </c>
      <c r="AK159" s="88">
        <v>6.2145895720993501E-2</v>
      </c>
      <c r="AL159" s="90">
        <v>0.54337558256352503</v>
      </c>
      <c r="AM159" s="204">
        <v>0.53914009242821248</v>
      </c>
      <c r="AN159" s="184">
        <v>0.125</v>
      </c>
      <c r="AO159" s="205">
        <v>0.12</v>
      </c>
      <c r="AP159" s="72"/>
      <c r="AQ159" s="184">
        <v>-3.8089340760491801</v>
      </c>
      <c r="AR159" s="206">
        <v>-3.1309340760491802</v>
      </c>
      <c r="AS159" s="72"/>
      <c r="AT159" s="273">
        <v>7.4999999999999997E-3</v>
      </c>
      <c r="AU159" s="72"/>
      <c r="AV159" s="184">
        <v>2.5000000000000001E-3</v>
      </c>
      <c r="AW159" s="72"/>
      <c r="AX159" s="72">
        <v>-0.105</v>
      </c>
      <c r="AY159" s="90"/>
      <c r="AZ159" s="302">
        <v>0.55000000000000004</v>
      </c>
      <c r="BA159" s="302"/>
      <c r="BB159" s="252">
        <v>-0.67800000000000005</v>
      </c>
      <c r="BC159" s="151"/>
      <c r="BD159" s="90"/>
      <c r="BE159" s="72"/>
      <c r="BF159" s="151"/>
      <c r="BG159" s="72"/>
      <c r="BH159" s="125"/>
      <c r="BI159" s="125"/>
      <c r="BJ159" s="72"/>
      <c r="BK159" s="151"/>
      <c r="BL159" s="72"/>
      <c r="BM159" s="72"/>
      <c r="BN159" s="90"/>
      <c r="BO159" s="90"/>
      <c r="BP159" s="125"/>
      <c r="BQ159" s="72"/>
      <c r="BR159" s="125"/>
      <c r="BS159" s="72"/>
      <c r="BT159" s="72"/>
      <c r="BU159" s="72"/>
      <c r="BV159" s="72"/>
      <c r="BW159" s="72"/>
      <c r="BX159" s="72"/>
      <c r="BY159" s="72"/>
      <c r="BZ159" s="72"/>
      <c r="CA159" s="72"/>
      <c r="CB159" s="72"/>
      <c r="CC159" s="72"/>
      <c r="CD159" s="72"/>
      <c r="CE159" s="72"/>
      <c r="CF159" s="72"/>
      <c r="CG159" s="72"/>
    </row>
    <row r="160" spans="1:85" x14ac:dyDescent="0.2">
      <c r="A160" s="354">
        <v>40787</v>
      </c>
      <c r="B160" s="277">
        <v>3.8640000000000003</v>
      </c>
      <c r="C160" s="311">
        <v>-0.67800000000000005</v>
      </c>
      <c r="D160" s="188">
        <v>-0.58687669045200375</v>
      </c>
      <c r="E160" s="188">
        <v>-0.6079051465015417</v>
      </c>
      <c r="F160" s="285">
        <v>0.125</v>
      </c>
      <c r="G160" s="286">
        <v>0.125</v>
      </c>
      <c r="H160" s="286">
        <v>0.16</v>
      </c>
      <c r="I160" s="287">
        <v>0.12</v>
      </c>
      <c r="J160" s="286">
        <v>0.04</v>
      </c>
      <c r="K160" s="286">
        <v>0.11</v>
      </c>
      <c r="L160" s="286">
        <v>0.44</v>
      </c>
      <c r="M160" s="285">
        <v>-0.27</v>
      </c>
      <c r="N160" s="286">
        <v>0.43</v>
      </c>
      <c r="O160" s="287">
        <v>0</v>
      </c>
      <c r="P160" s="239">
        <v>-0.1</v>
      </c>
      <c r="Q160" s="215">
        <v>0.17249999999999999</v>
      </c>
      <c r="R160" s="291">
        <v>0.18</v>
      </c>
      <c r="S160" s="194">
        <v>0.18</v>
      </c>
      <c r="T160" s="107">
        <v>0.55000000000000004</v>
      </c>
      <c r="U160" s="308">
        <v>0.18</v>
      </c>
      <c r="V160" s="61">
        <v>3.1860000000000004</v>
      </c>
      <c r="W160" s="61">
        <v>3.2771233095479966</v>
      </c>
      <c r="X160" s="197">
        <v>3.2560948534984586</v>
      </c>
      <c r="Y160" s="62"/>
      <c r="Z160" s="281">
        <v>0.13</v>
      </c>
      <c r="AA160" s="296">
        <v>0.1</v>
      </c>
      <c r="AB160" s="301">
        <v>4.545269504087166</v>
      </c>
      <c r="AC160" s="145">
        <v>4.6752695040871659</v>
      </c>
      <c r="AD160" s="197">
        <v>4.6452695040871657</v>
      </c>
      <c r="AE160" s="238">
        <v>3.7640000000000002</v>
      </c>
      <c r="AF160" s="133">
        <v>3.5940000000000003</v>
      </c>
      <c r="AG160" s="202">
        <v>3.8640000000000003</v>
      </c>
      <c r="AH160" s="242">
        <v>-0.1</v>
      </c>
      <c r="AI160" s="283">
        <v>1.50518325860144</v>
      </c>
      <c r="AJ160" s="88">
        <v>6.1387447589093598E-2</v>
      </c>
      <c r="AK160" s="88">
        <v>6.2179407188674304E-2</v>
      </c>
      <c r="AL160" s="90">
        <v>0.54037881747364658</v>
      </c>
      <c r="AM160" s="204">
        <v>0.53616951177598837</v>
      </c>
      <c r="AN160" s="184">
        <v>0.125</v>
      </c>
      <c r="AO160" s="205">
        <v>0.124</v>
      </c>
      <c r="AP160" s="72"/>
      <c r="AQ160" s="184">
        <v>-3.8239344452595154</v>
      </c>
      <c r="AR160" s="206">
        <v>-3.1459344452595155</v>
      </c>
      <c r="AS160" s="72"/>
      <c r="AT160" s="273">
        <v>7.4999999999999997E-3</v>
      </c>
      <c r="AU160" s="72"/>
      <c r="AV160" s="184">
        <v>2.5000000000000001E-3</v>
      </c>
      <c r="AW160" s="72"/>
      <c r="AX160" s="72">
        <v>-0.105</v>
      </c>
      <c r="AY160" s="90"/>
      <c r="AZ160" s="302">
        <v>0.55000000000000004</v>
      </c>
      <c r="BA160" s="302"/>
      <c r="BB160" s="252">
        <v>-0.67800000000000005</v>
      </c>
      <c r="BC160" s="151"/>
      <c r="BD160" s="90"/>
      <c r="BE160" s="72"/>
      <c r="BF160" s="151"/>
      <c r="BG160" s="72"/>
      <c r="BH160" s="125"/>
      <c r="BI160" s="125"/>
      <c r="BJ160" s="72"/>
      <c r="BK160" s="151"/>
      <c r="BL160" s="72"/>
      <c r="BM160" s="72"/>
      <c r="BN160" s="90"/>
      <c r="BO160" s="90"/>
      <c r="BP160" s="125"/>
      <c r="BQ160" s="72"/>
      <c r="BR160" s="125"/>
      <c r="BS160" s="72"/>
      <c r="BT160" s="72"/>
      <c r="BU160" s="72"/>
      <c r="BV160" s="72"/>
      <c r="BW160" s="72"/>
      <c r="BX160" s="72"/>
      <c r="BY160" s="72"/>
      <c r="BZ160" s="72"/>
      <c r="CA160" s="72"/>
      <c r="CB160" s="72"/>
      <c r="CC160" s="72"/>
      <c r="CD160" s="72"/>
      <c r="CE160" s="72"/>
      <c r="CF160" s="72"/>
      <c r="CG160" s="72"/>
    </row>
    <row r="161" spans="1:85" x14ac:dyDescent="0.2">
      <c r="A161" s="354">
        <v>40817</v>
      </c>
      <c r="B161" s="277">
        <v>3.8930000000000002</v>
      </c>
      <c r="C161" s="311">
        <v>-0.67800000000000005</v>
      </c>
      <c r="D161" s="188">
        <v>-0.58687725772587696</v>
      </c>
      <c r="E161" s="188">
        <v>-0.60790558286605911</v>
      </c>
      <c r="F161" s="285">
        <v>0.125</v>
      </c>
      <c r="G161" s="286">
        <v>0.125</v>
      </c>
      <c r="H161" s="286">
        <v>0.16</v>
      </c>
      <c r="I161" s="287">
        <v>0.12</v>
      </c>
      <c r="J161" s="286">
        <v>0.04</v>
      </c>
      <c r="K161" s="286">
        <v>0.11</v>
      </c>
      <c r="L161" s="286">
        <v>0.45</v>
      </c>
      <c r="M161" s="285">
        <v>-0.27</v>
      </c>
      <c r="N161" s="286">
        <v>0.43</v>
      </c>
      <c r="O161" s="287">
        <v>0</v>
      </c>
      <c r="P161" s="239">
        <v>-0.1</v>
      </c>
      <c r="Q161" s="215">
        <v>0.17249999999999999</v>
      </c>
      <c r="R161" s="291">
        <v>0.18</v>
      </c>
      <c r="S161" s="194">
        <v>0.18</v>
      </c>
      <c r="T161" s="107">
        <v>0.6</v>
      </c>
      <c r="U161" s="308">
        <v>0.18</v>
      </c>
      <c r="V161" s="61">
        <v>3.2149999999999999</v>
      </c>
      <c r="W161" s="61">
        <v>3.3061227422741233</v>
      </c>
      <c r="X161" s="197">
        <v>3.2850944171339411</v>
      </c>
      <c r="Y161" s="62"/>
      <c r="Z161" s="281">
        <v>0.13</v>
      </c>
      <c r="AA161" s="296">
        <v>0.1</v>
      </c>
      <c r="AB161" s="301">
        <v>4.5866705672957826</v>
      </c>
      <c r="AC161" s="145">
        <v>4.7166705672957825</v>
      </c>
      <c r="AD161" s="197">
        <v>4.6866705672957822</v>
      </c>
      <c r="AE161" s="238">
        <v>3.7930000000000001</v>
      </c>
      <c r="AF161" s="133">
        <v>3.6230000000000002</v>
      </c>
      <c r="AG161" s="202">
        <v>3.8930000000000002</v>
      </c>
      <c r="AH161" s="242">
        <v>-0.1</v>
      </c>
      <c r="AI161" s="283">
        <v>1.5051926289420898</v>
      </c>
      <c r="AJ161" s="88">
        <v>6.1426828843910403E-2</v>
      </c>
      <c r="AK161" s="88">
        <v>6.22118376416236E-2</v>
      </c>
      <c r="AL161" s="90">
        <v>0.53749103370313667</v>
      </c>
      <c r="AM161" s="204">
        <v>0.53330754255268642</v>
      </c>
      <c r="AN161" s="184">
        <v>0.125</v>
      </c>
      <c r="AO161" s="205">
        <v>0.12</v>
      </c>
      <c r="AP161" s="72"/>
      <c r="AQ161" s="184">
        <v>-3.8529348814416382</v>
      </c>
      <c r="AR161" s="206">
        <v>-3.1749348814416383</v>
      </c>
      <c r="AS161" s="72"/>
      <c r="AT161" s="273">
        <v>7.4999999999999997E-3</v>
      </c>
      <c r="AU161" s="72"/>
      <c r="AV161" s="184">
        <v>2.5000000000000001E-3</v>
      </c>
      <c r="AW161" s="72"/>
      <c r="AX161" s="72">
        <v>-0.105</v>
      </c>
      <c r="AY161" s="90"/>
      <c r="AZ161" s="302">
        <v>0.6</v>
      </c>
      <c r="BA161" s="302"/>
      <c r="BB161" s="252">
        <v>-0.67800000000000005</v>
      </c>
      <c r="BC161" s="151"/>
      <c r="BD161" s="90"/>
      <c r="BE161" s="72"/>
      <c r="BF161" s="151"/>
      <c r="BG161" s="72"/>
      <c r="BH161" s="125"/>
      <c r="BI161" s="125"/>
      <c r="BJ161" s="72"/>
      <c r="BK161" s="151"/>
      <c r="BL161" s="72"/>
      <c r="BM161" s="72"/>
      <c r="BN161" s="90"/>
      <c r="BO161" s="90"/>
      <c r="BP161" s="125"/>
      <c r="BQ161" s="72"/>
      <c r="BR161" s="125"/>
      <c r="BS161" s="72"/>
      <c r="BT161" s="72"/>
      <c r="BU161" s="72"/>
      <c r="BV161" s="72"/>
      <c r="BW161" s="72"/>
      <c r="BX161" s="72"/>
      <c r="BY161" s="72"/>
      <c r="BZ161" s="72"/>
      <c r="CA161" s="72"/>
      <c r="CB161" s="72"/>
      <c r="CC161" s="72"/>
      <c r="CD161" s="72"/>
      <c r="CE161" s="72"/>
      <c r="CF161" s="72"/>
      <c r="CG161" s="72"/>
    </row>
    <row r="162" spans="1:85" x14ac:dyDescent="0.2">
      <c r="A162" s="353">
        <v>40848</v>
      </c>
      <c r="B162" s="277">
        <v>4.0330000000000004</v>
      </c>
      <c r="C162" s="312">
        <v>-0.61799999999999999</v>
      </c>
      <c r="D162" s="188">
        <v>-0.52687794991005665</v>
      </c>
      <c r="E162" s="188">
        <v>-0.11</v>
      </c>
      <c r="F162" s="285">
        <v>0.185</v>
      </c>
      <c r="G162" s="286">
        <v>0.36</v>
      </c>
      <c r="H162" s="286">
        <v>0.30499999999999999</v>
      </c>
      <c r="I162" s="287">
        <v>0.40500000000000003</v>
      </c>
      <c r="J162" s="286">
        <v>0.14000000000000001</v>
      </c>
      <c r="K162" s="286">
        <v>0.17</v>
      </c>
      <c r="L162" s="286">
        <v>0.73</v>
      </c>
      <c r="M162" s="285">
        <v>-0.15</v>
      </c>
      <c r="N162" s="286">
        <v>0.35</v>
      </c>
      <c r="O162" s="287">
        <v>0</v>
      </c>
      <c r="P162" s="239">
        <v>0.248</v>
      </c>
      <c r="Q162" s="215">
        <v>0.17249999999999999</v>
      </c>
      <c r="R162" s="291">
        <v>0.18</v>
      </c>
      <c r="S162" s="194">
        <v>0.18</v>
      </c>
      <c r="T162" s="107">
        <v>0.8</v>
      </c>
      <c r="U162" s="308">
        <v>0.18</v>
      </c>
      <c r="V162" s="61">
        <v>3.415</v>
      </c>
      <c r="W162" s="61">
        <v>3.5061220500899437</v>
      </c>
      <c r="X162" s="197">
        <v>3.923</v>
      </c>
      <c r="Y162" s="62"/>
      <c r="Z162" s="281">
        <v>0.13</v>
      </c>
      <c r="AA162" s="296">
        <v>0.72474225431510675</v>
      </c>
      <c r="AB162" s="301">
        <v>4.8720370048938753</v>
      </c>
      <c r="AC162" s="145">
        <v>5.0020370048938751</v>
      </c>
      <c r="AD162" s="197">
        <v>5.596779259208982</v>
      </c>
      <c r="AE162" s="238">
        <v>4.2810000000000006</v>
      </c>
      <c r="AF162" s="133">
        <v>3.8830000000000005</v>
      </c>
      <c r="AG162" s="202">
        <v>4.0330000000000004</v>
      </c>
      <c r="AH162" s="242">
        <v>-0.1</v>
      </c>
      <c r="AI162" s="283">
        <v>1.5052040627336201</v>
      </c>
      <c r="AJ162" s="88">
        <v>6.1467522807761008E-2</v>
      </c>
      <c r="AK162" s="88">
        <v>6.2245349110037602E-2</v>
      </c>
      <c r="AL162" s="90">
        <v>0.53451968172194597</v>
      </c>
      <c r="AM162" s="204">
        <v>0.53036334643305949</v>
      </c>
      <c r="AN162" s="184">
        <v>0.36</v>
      </c>
      <c r="AO162" s="205">
        <v>0.124</v>
      </c>
      <c r="AP162" s="72"/>
      <c r="AQ162" s="184">
        <v>-3.5556299050160249</v>
      </c>
      <c r="AR162" s="206">
        <v>-2.9376299050160251</v>
      </c>
      <c r="AS162" s="72"/>
      <c r="AT162" s="273">
        <v>7.4999999999999997E-3</v>
      </c>
      <c r="AU162" s="72"/>
      <c r="AV162" s="184">
        <v>8.0000000000000002E-3</v>
      </c>
      <c r="AW162" s="72"/>
      <c r="AX162" s="72">
        <v>5.0000000000000001E-3</v>
      </c>
      <c r="AY162" s="90"/>
      <c r="AZ162" s="302">
        <v>0.8</v>
      </c>
      <c r="BA162" s="302"/>
      <c r="BB162" s="252">
        <v>-0.61799999999999999</v>
      </c>
      <c r="BC162" s="151"/>
      <c r="BD162" s="90"/>
      <c r="BE162" s="72"/>
      <c r="BF162" s="151"/>
      <c r="BG162" s="72"/>
      <c r="BH162" s="125"/>
      <c r="BI162" s="125"/>
      <c r="BJ162" s="72"/>
      <c r="BK162" s="151"/>
      <c r="BL162" s="72"/>
      <c r="BM162" s="72"/>
      <c r="BN162" s="90"/>
      <c r="BO162" s="90"/>
      <c r="BP162" s="125"/>
      <c r="BQ162" s="72"/>
      <c r="BR162" s="125"/>
      <c r="BS162" s="72"/>
      <c r="BT162" s="72"/>
      <c r="BU162" s="72"/>
      <c r="BV162" s="72"/>
      <c r="BW162" s="72"/>
      <c r="BX162" s="72"/>
      <c r="BY162" s="72"/>
      <c r="BZ162" s="72"/>
      <c r="CA162" s="72"/>
      <c r="CB162" s="72"/>
      <c r="CC162" s="72"/>
      <c r="CD162" s="72"/>
      <c r="CE162" s="72"/>
      <c r="CF162" s="72"/>
      <c r="CG162" s="72"/>
    </row>
    <row r="163" spans="1:85" x14ac:dyDescent="0.2">
      <c r="A163" s="354">
        <v>40878</v>
      </c>
      <c r="B163" s="277">
        <v>4.173</v>
      </c>
      <c r="C163" s="311">
        <v>-0.61799999999999999</v>
      </c>
      <c r="D163" s="188">
        <v>-0.52687872233979549</v>
      </c>
      <c r="E163" s="188">
        <v>-0.11</v>
      </c>
      <c r="F163" s="285">
        <v>0.185</v>
      </c>
      <c r="G163" s="286">
        <v>0.36</v>
      </c>
      <c r="H163" s="286">
        <v>0.30499999999999999</v>
      </c>
      <c r="I163" s="287">
        <v>0.40500000000000003</v>
      </c>
      <c r="J163" s="286">
        <v>0.14000000000000001</v>
      </c>
      <c r="K163" s="286">
        <v>0.17</v>
      </c>
      <c r="L163" s="286">
        <v>1.1399999999999999</v>
      </c>
      <c r="M163" s="285">
        <v>-0.15</v>
      </c>
      <c r="N163" s="286">
        <v>0.35</v>
      </c>
      <c r="O163" s="287">
        <v>0</v>
      </c>
      <c r="P163" s="239">
        <v>0.308</v>
      </c>
      <c r="Q163" s="215">
        <v>0.17249999999999999</v>
      </c>
      <c r="R163" s="291">
        <v>0.18</v>
      </c>
      <c r="S163" s="194">
        <v>0.18</v>
      </c>
      <c r="T163" s="107">
        <v>1</v>
      </c>
      <c r="U163" s="308">
        <v>0.18</v>
      </c>
      <c r="V163" s="61">
        <v>3.5550000000000002</v>
      </c>
      <c r="W163" s="61">
        <v>3.6461212776602046</v>
      </c>
      <c r="X163" s="197">
        <v>4.0629999999999997</v>
      </c>
      <c r="Y163" s="62"/>
      <c r="Z163" s="281">
        <v>0.13</v>
      </c>
      <c r="AA163" s="296">
        <v>0.72474839791279155</v>
      </c>
      <c r="AB163" s="301">
        <v>5.0718121153149083</v>
      </c>
      <c r="AC163" s="145">
        <v>5.2018121153149082</v>
      </c>
      <c r="AD163" s="197">
        <v>5.7965605132276998</v>
      </c>
      <c r="AE163" s="238">
        <v>4.4809999999999999</v>
      </c>
      <c r="AF163" s="133">
        <v>4.0229999999999997</v>
      </c>
      <c r="AG163" s="202">
        <v>4.173</v>
      </c>
      <c r="AH163" s="242">
        <v>-0.1</v>
      </c>
      <c r="AI163" s="283">
        <v>1.5052168222603899</v>
      </c>
      <c r="AJ163" s="88">
        <v>6.1506904063624503E-2</v>
      </c>
      <c r="AK163" s="88">
        <v>6.2277779563696602E-2</v>
      </c>
      <c r="AL163" s="90">
        <v>0.53165643227622283</v>
      </c>
      <c r="AM163" s="204">
        <v>0.5275268329104239</v>
      </c>
      <c r="AN163" s="184">
        <v>0.36</v>
      </c>
      <c r="AO163" s="205">
        <v>0.12</v>
      </c>
      <c r="AP163" s="72"/>
      <c r="AQ163" s="184">
        <v>-3.6956436482764188</v>
      </c>
      <c r="AR163" s="206">
        <v>-3.0776436482764189</v>
      </c>
      <c r="AS163" s="72"/>
      <c r="AT163" s="273">
        <v>7.4999999999999997E-3</v>
      </c>
      <c r="AU163" s="72"/>
      <c r="AV163" s="184">
        <v>8.0000000000000002E-3</v>
      </c>
      <c r="AW163" s="72"/>
      <c r="AX163" s="72">
        <v>0.01</v>
      </c>
      <c r="AY163" s="90"/>
      <c r="AZ163" s="302">
        <v>1</v>
      </c>
      <c r="BA163" s="302"/>
      <c r="BB163" s="252">
        <v>-0.61799999999999999</v>
      </c>
      <c r="BC163" s="151"/>
      <c r="BD163" s="90"/>
      <c r="BE163" s="72"/>
      <c r="BF163" s="151"/>
      <c r="BG163" s="72"/>
      <c r="BH163" s="125"/>
      <c r="BI163" s="125"/>
      <c r="BJ163" s="72"/>
      <c r="BK163" s="151"/>
      <c r="BL163" s="72"/>
      <c r="BM163" s="72"/>
      <c r="BN163" s="90"/>
      <c r="BO163" s="90"/>
      <c r="BP163" s="125"/>
      <c r="BQ163" s="72"/>
      <c r="BR163" s="125"/>
      <c r="BS163" s="72"/>
      <c r="BT163" s="72"/>
      <c r="BU163" s="72"/>
      <c r="BV163" s="72"/>
      <c r="BW163" s="72"/>
      <c r="BX163" s="72"/>
      <c r="BY163" s="72"/>
      <c r="BZ163" s="72"/>
      <c r="CA163" s="72"/>
      <c r="CB163" s="72"/>
      <c r="CC163" s="72"/>
      <c r="CD163" s="72"/>
      <c r="CE163" s="72"/>
      <c r="CF163" s="72"/>
      <c r="CG163" s="72"/>
    </row>
    <row r="164" spans="1:85" x14ac:dyDescent="0.2">
      <c r="A164" s="354">
        <v>40909</v>
      </c>
      <c r="B164" s="277">
        <v>4.2780000000000005</v>
      </c>
      <c r="C164" s="311">
        <v>-0.61799999999999999</v>
      </c>
      <c r="D164" s="188">
        <v>-0.52687962650199838</v>
      </c>
      <c r="E164" s="188">
        <v>-0.11</v>
      </c>
      <c r="F164" s="285">
        <v>0.185</v>
      </c>
      <c r="G164" s="286">
        <v>0.36</v>
      </c>
      <c r="H164" s="286">
        <v>0.30499999999999999</v>
      </c>
      <c r="I164" s="287">
        <v>0.40500000000000003</v>
      </c>
      <c r="J164" s="286">
        <v>0.14000000000000001</v>
      </c>
      <c r="K164" s="286">
        <v>0.17</v>
      </c>
      <c r="L164" s="286">
        <v>1.63</v>
      </c>
      <c r="M164" s="285">
        <v>-0.15</v>
      </c>
      <c r="N164" s="286">
        <v>0.35</v>
      </c>
      <c r="O164" s="287">
        <v>0</v>
      </c>
      <c r="P164" s="239">
        <v>0.37800000000000006</v>
      </c>
      <c r="Q164" s="215">
        <v>0.17249999999999999</v>
      </c>
      <c r="R164" s="291">
        <v>0.18</v>
      </c>
      <c r="S164" s="194">
        <v>0.18</v>
      </c>
      <c r="T164" s="107">
        <v>1</v>
      </c>
      <c r="U164" s="308">
        <v>0.18</v>
      </c>
      <c r="V164" s="61">
        <v>3.66</v>
      </c>
      <c r="W164" s="61">
        <v>3.7511203734980021</v>
      </c>
      <c r="X164" s="197">
        <v>4.1680000000000001</v>
      </c>
      <c r="Y164" s="62"/>
      <c r="Z164" s="281">
        <v>0.13</v>
      </c>
      <c r="AA164" s="296">
        <v>0.72475558939020868</v>
      </c>
      <c r="AB164" s="301">
        <v>5.221664285764108</v>
      </c>
      <c r="AC164" s="145">
        <v>5.3516642857641079</v>
      </c>
      <c r="AD164" s="197">
        <v>5.9464198751543167</v>
      </c>
      <c r="AE164" s="238">
        <v>4.6560000000000006</v>
      </c>
      <c r="AF164" s="133">
        <v>4.1280000000000001</v>
      </c>
      <c r="AG164" s="202">
        <v>4.2780000000000005</v>
      </c>
      <c r="AH164" s="242">
        <v>-0.1</v>
      </c>
      <c r="AI164" s="283">
        <v>1.5052317581096</v>
      </c>
      <c r="AJ164" s="88">
        <v>6.1547598028557401E-2</v>
      </c>
      <c r="AK164" s="88">
        <v>6.2311291032844301E-2</v>
      </c>
      <c r="AL164" s="90">
        <v>0.52871037129349563</v>
      </c>
      <c r="AM164" s="204">
        <v>0.52460886072042889</v>
      </c>
      <c r="AN164" s="184">
        <v>0.36</v>
      </c>
      <c r="AO164" s="205">
        <v>0.12</v>
      </c>
      <c r="AP164" s="72"/>
      <c r="AQ164" s="184">
        <v>-3.8006580305855007</v>
      </c>
      <c r="AR164" s="206">
        <v>-3.1826580305855008</v>
      </c>
      <c r="AS164" s="72"/>
      <c r="AT164" s="273">
        <v>7.4999999999999997E-3</v>
      </c>
      <c r="AU164" s="72"/>
      <c r="AV164" s="184">
        <v>8.0000000000000002E-3</v>
      </c>
      <c r="AW164" s="72"/>
      <c r="AX164" s="72">
        <v>0.03</v>
      </c>
      <c r="AY164" s="90"/>
      <c r="AZ164" s="302">
        <v>1</v>
      </c>
      <c r="BA164" s="302"/>
      <c r="BB164" s="252">
        <v>-0.61799999999999999</v>
      </c>
      <c r="BC164" s="151"/>
      <c r="BD164" s="90"/>
      <c r="BE164" s="72"/>
      <c r="BF164" s="151"/>
      <c r="BG164" s="72"/>
      <c r="BH164" s="125"/>
      <c r="BI164" s="125"/>
      <c r="BJ164" s="72"/>
      <c r="BK164" s="151"/>
      <c r="BL164" s="72"/>
      <c r="BM164" s="72"/>
      <c r="BN164" s="90"/>
      <c r="BO164" s="90"/>
      <c r="BP164" s="125"/>
      <c r="BQ164" s="72"/>
      <c r="BR164" s="125"/>
      <c r="BS164" s="72"/>
      <c r="BT164" s="72"/>
      <c r="BU164" s="72"/>
      <c r="BV164" s="72"/>
      <c r="BW164" s="72"/>
      <c r="BX164" s="72"/>
      <c r="BY164" s="72"/>
      <c r="BZ164" s="72"/>
      <c r="CA164" s="72"/>
      <c r="CB164" s="72"/>
      <c r="CC164" s="72"/>
      <c r="CD164" s="72"/>
      <c r="CE164" s="72"/>
      <c r="CF164" s="72"/>
      <c r="CG164" s="72"/>
    </row>
    <row r="165" spans="1:85" x14ac:dyDescent="0.2">
      <c r="A165" s="354">
        <v>40940</v>
      </c>
      <c r="B165" s="277">
        <v>4.16</v>
      </c>
      <c r="C165" s="311">
        <v>-0.61799999999999999</v>
      </c>
      <c r="D165" s="188">
        <v>-0.52688063837754084</v>
      </c>
      <c r="E165" s="188">
        <v>-0.11</v>
      </c>
      <c r="F165" s="285">
        <v>0.185</v>
      </c>
      <c r="G165" s="286">
        <v>0.36</v>
      </c>
      <c r="H165" s="286">
        <v>0.30499999999999999</v>
      </c>
      <c r="I165" s="287">
        <v>0.40500000000000003</v>
      </c>
      <c r="J165" s="286">
        <v>0.14000000000000001</v>
      </c>
      <c r="K165" s="286">
        <v>0.17</v>
      </c>
      <c r="L165" s="286">
        <v>1.63</v>
      </c>
      <c r="M165" s="285">
        <v>-0.15</v>
      </c>
      <c r="N165" s="286">
        <v>0.35</v>
      </c>
      <c r="O165" s="287">
        <v>0</v>
      </c>
      <c r="P165" s="239">
        <v>0.248</v>
      </c>
      <c r="Q165" s="215">
        <v>0.16750000000000001</v>
      </c>
      <c r="R165" s="291">
        <v>0.17499999999999999</v>
      </c>
      <c r="S165" s="194">
        <v>0.17499999999999999</v>
      </c>
      <c r="T165" s="107">
        <v>1</v>
      </c>
      <c r="U165" s="308">
        <v>0.17499999999999999</v>
      </c>
      <c r="V165" s="61">
        <v>3.5420000000000003</v>
      </c>
      <c r="W165" s="61">
        <v>3.6331193616224593</v>
      </c>
      <c r="X165" s="197">
        <v>4.05</v>
      </c>
      <c r="Y165" s="62"/>
      <c r="Z165" s="281">
        <v>0.13</v>
      </c>
      <c r="AA165" s="296">
        <v>0.7247636377615061</v>
      </c>
      <c r="AB165" s="301">
        <v>5.0533716632898775</v>
      </c>
      <c r="AC165" s="145">
        <v>5.1833716632898774</v>
      </c>
      <c r="AD165" s="197">
        <v>5.7781353010513836</v>
      </c>
      <c r="AE165" s="238">
        <v>4.4080000000000004</v>
      </c>
      <c r="AF165" s="133">
        <v>4.01</v>
      </c>
      <c r="AG165" s="202">
        <v>4.16</v>
      </c>
      <c r="AH165" s="242">
        <v>-0.1</v>
      </c>
      <c r="AI165" s="283">
        <v>1.50524847362619</v>
      </c>
      <c r="AJ165" s="88">
        <v>6.1588291994040506E-2</v>
      </c>
      <c r="AK165" s="88">
        <v>6.2344802502365002E-2</v>
      </c>
      <c r="AL165" s="90">
        <v>0.5257771161102045</v>
      </c>
      <c r="AM165" s="204">
        <v>0.52170415391724734</v>
      </c>
      <c r="AN165" s="184">
        <v>0.36</v>
      </c>
      <c r="AO165" s="205">
        <v>0.13300000000000001</v>
      </c>
      <c r="AP165" s="72"/>
      <c r="AQ165" s="184">
        <v>-3.6826725967779246</v>
      </c>
      <c r="AR165" s="206">
        <v>-3.0646725967779247</v>
      </c>
      <c r="AS165" s="72"/>
      <c r="AT165" s="273">
        <v>7.4999999999999997E-3</v>
      </c>
      <c r="AU165" s="72"/>
      <c r="AV165" s="184">
        <v>8.0000000000000002E-3</v>
      </c>
      <c r="AW165" s="72"/>
      <c r="AX165" s="72">
        <v>2.5000000000000001E-2</v>
      </c>
      <c r="AY165" s="90"/>
      <c r="AZ165" s="302">
        <v>1</v>
      </c>
      <c r="BA165" s="302"/>
      <c r="BB165" s="252">
        <v>-0.61799999999999999</v>
      </c>
      <c r="BC165" s="151"/>
      <c r="BD165" s="90"/>
      <c r="BE165" s="72"/>
      <c r="BF165" s="151"/>
      <c r="BG165" s="72"/>
      <c r="BH165" s="125"/>
      <c r="BI165" s="125"/>
      <c r="BJ165" s="72"/>
      <c r="BK165" s="151"/>
      <c r="BL165" s="72"/>
      <c r="BM165" s="72"/>
      <c r="BN165" s="90"/>
      <c r="BO165" s="90"/>
      <c r="BP165" s="125"/>
      <c r="BQ165" s="72"/>
      <c r="BR165" s="125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</row>
    <row r="166" spans="1:85" x14ac:dyDescent="0.2">
      <c r="A166" s="354">
        <v>40969</v>
      </c>
      <c r="B166" s="277">
        <v>4.0270000000000001</v>
      </c>
      <c r="C166" s="311">
        <v>-0.61799999999999999</v>
      </c>
      <c r="D166" s="188">
        <v>-0.52688168247610356</v>
      </c>
      <c r="E166" s="188">
        <v>-0.11</v>
      </c>
      <c r="F166" s="285">
        <v>0.185</v>
      </c>
      <c r="G166" s="286">
        <v>0.36</v>
      </c>
      <c r="H166" s="286">
        <v>0.30499999999999999</v>
      </c>
      <c r="I166" s="287">
        <v>0.40500000000000003</v>
      </c>
      <c r="J166" s="286">
        <v>0.14000000000000001</v>
      </c>
      <c r="K166" s="286">
        <v>0.17</v>
      </c>
      <c r="L166" s="286">
        <v>0.72</v>
      </c>
      <c r="M166" s="285">
        <v>-0.15</v>
      </c>
      <c r="N166" s="286">
        <v>0.35</v>
      </c>
      <c r="O166" s="287">
        <v>0</v>
      </c>
      <c r="P166" s="239">
        <v>6.8000000000000005E-2</v>
      </c>
      <c r="Q166" s="215">
        <v>0.16250000000000001</v>
      </c>
      <c r="R166" s="291">
        <v>0.17</v>
      </c>
      <c r="S166" s="194">
        <v>0.17</v>
      </c>
      <c r="T166" s="107">
        <v>0.75</v>
      </c>
      <c r="U166" s="308">
        <v>0.17</v>
      </c>
      <c r="V166" s="61">
        <v>3.4090000000000003</v>
      </c>
      <c r="W166" s="61">
        <v>3.5001183175238966</v>
      </c>
      <c r="X166" s="197">
        <v>3.9170000000000003</v>
      </c>
      <c r="Y166" s="62"/>
      <c r="Z166" s="281">
        <v>0.13</v>
      </c>
      <c r="AA166" s="296">
        <v>0.72477194261933953</v>
      </c>
      <c r="AB166" s="301">
        <v>4.8636762842309631</v>
      </c>
      <c r="AC166" s="145">
        <v>4.993676284230963</v>
      </c>
      <c r="AD166" s="197">
        <v>5.5884482268503026</v>
      </c>
      <c r="AE166" s="238">
        <v>4.0949999999999998</v>
      </c>
      <c r="AF166" s="133">
        <v>3.8770000000000002</v>
      </c>
      <c r="AG166" s="202">
        <v>4.0270000000000001</v>
      </c>
      <c r="AH166" s="242">
        <v>-0.1</v>
      </c>
      <c r="AI166" s="283">
        <v>1.5052657218350198</v>
      </c>
      <c r="AJ166" s="88">
        <v>6.1626360542892798E-2</v>
      </c>
      <c r="AK166" s="88">
        <v>6.2376151941930601E-2</v>
      </c>
      <c r="AL166" s="90">
        <v>0.52304466822079576</v>
      </c>
      <c r="AM166" s="204">
        <v>0.51899882007998177</v>
      </c>
      <c r="AN166" s="184">
        <v>0.36</v>
      </c>
      <c r="AO166" s="205">
        <v>0.12</v>
      </c>
      <c r="AP166" s="72"/>
      <c r="AQ166" s="184">
        <v>-3.5496863896661899</v>
      </c>
      <c r="AR166" s="206">
        <v>-2.93168638966619</v>
      </c>
      <c r="AS166" s="72"/>
      <c r="AT166" s="273">
        <v>7.4999999999999997E-3</v>
      </c>
      <c r="AU166" s="72"/>
      <c r="AV166" s="184">
        <v>8.0000000000000002E-3</v>
      </c>
      <c r="AW166" s="72"/>
      <c r="AX166" s="72">
        <v>5.0000000000000001E-3</v>
      </c>
      <c r="AY166" s="90"/>
      <c r="AZ166" s="302">
        <v>0.75</v>
      </c>
      <c r="BA166" s="302"/>
      <c r="BB166" s="252">
        <v>-0.61799999999999999</v>
      </c>
      <c r="BC166" s="151"/>
      <c r="BD166" s="90"/>
      <c r="BE166" s="72"/>
      <c r="BF166" s="151"/>
      <c r="BG166" s="72"/>
      <c r="BH166" s="125"/>
      <c r="BI166" s="125"/>
      <c r="BJ166" s="72"/>
      <c r="BK166" s="151"/>
      <c r="BL166" s="72"/>
      <c r="BM166" s="72"/>
      <c r="BN166" s="90"/>
      <c r="BO166" s="90"/>
      <c r="BP166" s="125"/>
      <c r="BQ166" s="72"/>
      <c r="BR166" s="125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2"/>
      <c r="CF166" s="72"/>
      <c r="CG166" s="72"/>
    </row>
    <row r="167" spans="1:85" x14ac:dyDescent="0.2">
      <c r="A167" s="354">
        <v>41000</v>
      </c>
      <c r="B167" s="277">
        <v>3.8070000000000004</v>
      </c>
      <c r="C167" s="312">
        <v>-0.71799999999999997</v>
      </c>
      <c r="D167" s="188">
        <v>-0.62688290280203285</v>
      </c>
      <c r="E167" s="188">
        <v>-0.64790992523233282</v>
      </c>
      <c r="F167" s="285">
        <v>0.125</v>
      </c>
      <c r="G167" s="286">
        <v>0.125</v>
      </c>
      <c r="H167" s="286">
        <v>0.16</v>
      </c>
      <c r="I167" s="287">
        <v>0.12</v>
      </c>
      <c r="J167" s="286">
        <v>0.04</v>
      </c>
      <c r="K167" s="286">
        <v>0.11</v>
      </c>
      <c r="L167" s="286">
        <v>0.48</v>
      </c>
      <c r="M167" s="285">
        <v>-0.22</v>
      </c>
      <c r="N167" s="286">
        <v>0.43</v>
      </c>
      <c r="O167" s="287">
        <v>0</v>
      </c>
      <c r="P167" s="239">
        <v>-0.25</v>
      </c>
      <c r="Q167" s="215">
        <v>0.16250000000000001</v>
      </c>
      <c r="R167" s="291">
        <v>0.17</v>
      </c>
      <c r="S167" s="194">
        <v>0.17</v>
      </c>
      <c r="T167" s="107">
        <v>0.4</v>
      </c>
      <c r="U167" s="308">
        <v>0.17</v>
      </c>
      <c r="V167" s="61">
        <v>3.0890000000000004</v>
      </c>
      <c r="W167" s="61">
        <v>3.1801170971979675</v>
      </c>
      <c r="X167" s="197">
        <v>3.1590900747676676</v>
      </c>
      <c r="Y167" s="62"/>
      <c r="Z167" s="281">
        <v>0.13</v>
      </c>
      <c r="AA167" s="296">
        <v>0.1</v>
      </c>
      <c r="AB167" s="301">
        <v>4.4071860534310368</v>
      </c>
      <c r="AC167" s="145">
        <v>4.5371860534310366</v>
      </c>
      <c r="AD167" s="197">
        <v>4.5071860534310364</v>
      </c>
      <c r="AE167" s="238">
        <v>3.5570000000000004</v>
      </c>
      <c r="AF167" s="133">
        <v>3.5870000000000002</v>
      </c>
      <c r="AG167" s="202">
        <v>3.8070000000000004</v>
      </c>
      <c r="AH167" s="242">
        <v>-0.1</v>
      </c>
      <c r="AI167" s="283">
        <v>1.50528588177039</v>
      </c>
      <c r="AJ167" s="88">
        <v>6.1667054509440003E-2</v>
      </c>
      <c r="AK167" s="88">
        <v>6.2409663412172502E-2</v>
      </c>
      <c r="AL167" s="90">
        <v>0.52013610808836541</v>
      </c>
      <c r="AM167" s="204">
        <v>0.51611967047093943</v>
      </c>
      <c r="AN167" s="184">
        <v>0.125</v>
      </c>
      <c r="AO167" s="205">
        <v>0.124</v>
      </c>
      <c r="AP167" s="72"/>
      <c r="AQ167" s="184">
        <v>-3.7669392219928586</v>
      </c>
      <c r="AR167" s="206">
        <v>-3.0489392219928586</v>
      </c>
      <c r="AS167" s="72"/>
      <c r="AT167" s="273">
        <v>7.4999999999999997E-3</v>
      </c>
      <c r="AU167" s="72"/>
      <c r="AV167" s="184">
        <v>2.5000000000000001E-3</v>
      </c>
      <c r="AW167" s="72"/>
      <c r="AX167" s="72">
        <v>-0.105</v>
      </c>
      <c r="AY167" s="90"/>
      <c r="AZ167" s="302">
        <v>0.4</v>
      </c>
      <c r="BA167" s="302"/>
      <c r="BB167" s="252">
        <v>-0.71799999999999997</v>
      </c>
      <c r="BC167" s="151"/>
      <c r="BD167" s="90"/>
      <c r="BE167" s="72"/>
      <c r="BF167" s="151"/>
      <c r="BG167" s="72"/>
      <c r="BH167" s="125"/>
      <c r="BI167" s="125"/>
      <c r="BJ167" s="72"/>
      <c r="BK167" s="151"/>
      <c r="BL167" s="72"/>
      <c r="BM167" s="72"/>
      <c r="BN167" s="90"/>
      <c r="BO167" s="90"/>
      <c r="BP167" s="125"/>
      <c r="BQ167" s="72"/>
      <c r="BR167" s="125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2"/>
      <c r="CF167" s="72"/>
      <c r="CG167" s="72"/>
    </row>
    <row r="168" spans="1:85" x14ac:dyDescent="0.2">
      <c r="A168" s="354">
        <v>41030</v>
      </c>
      <c r="B168" s="277">
        <v>3.7970000000000002</v>
      </c>
      <c r="C168" s="311">
        <v>-0.71799999999999997</v>
      </c>
      <c r="D168" s="188">
        <v>-0.62688418629285847</v>
      </c>
      <c r="E168" s="188">
        <v>-0.64791091253296829</v>
      </c>
      <c r="F168" s="285">
        <v>0.125</v>
      </c>
      <c r="G168" s="286">
        <v>0.125</v>
      </c>
      <c r="H168" s="286">
        <v>0.16</v>
      </c>
      <c r="I168" s="287">
        <v>0.12</v>
      </c>
      <c r="J168" s="286">
        <v>0.04</v>
      </c>
      <c r="K168" s="286">
        <v>0.11</v>
      </c>
      <c r="L168" s="286">
        <v>0.42</v>
      </c>
      <c r="M168" s="285">
        <v>-0.27</v>
      </c>
      <c r="N168" s="286">
        <v>0.43</v>
      </c>
      <c r="O168" s="287">
        <v>0</v>
      </c>
      <c r="P168" s="239">
        <v>-0.1</v>
      </c>
      <c r="Q168" s="215">
        <v>0.16250000000000001</v>
      </c>
      <c r="R168" s="291">
        <v>0.17</v>
      </c>
      <c r="S168" s="194">
        <v>0.17</v>
      </c>
      <c r="T168" s="107">
        <v>0.45</v>
      </c>
      <c r="U168" s="308">
        <v>0.17</v>
      </c>
      <c r="V168" s="61">
        <v>3.0790000000000002</v>
      </c>
      <c r="W168" s="61">
        <v>3.1701158137071417</v>
      </c>
      <c r="X168" s="197">
        <v>3.1490890874670319</v>
      </c>
      <c r="Y168" s="62"/>
      <c r="Z168" s="281">
        <v>0.13</v>
      </c>
      <c r="AA168" s="296">
        <v>0.1</v>
      </c>
      <c r="AB168" s="301">
        <v>4.3929805783935985</v>
      </c>
      <c r="AC168" s="145">
        <v>4.5229805783935983</v>
      </c>
      <c r="AD168" s="197">
        <v>4.4929805783935981</v>
      </c>
      <c r="AE168" s="238">
        <v>3.6970000000000001</v>
      </c>
      <c r="AF168" s="133">
        <v>3.5270000000000001</v>
      </c>
      <c r="AG168" s="202">
        <v>3.7970000000000002</v>
      </c>
      <c r="AH168" s="242">
        <v>-0.1</v>
      </c>
      <c r="AI168" s="283">
        <v>1.5053070857803299</v>
      </c>
      <c r="AJ168" s="88">
        <v>6.1706435767912501E-2</v>
      </c>
      <c r="AK168" s="88">
        <v>6.2442093867600197E-2</v>
      </c>
      <c r="AL168" s="90">
        <v>0.51733347657331641</v>
      </c>
      <c r="AM168" s="204">
        <v>0.51334591166590893</v>
      </c>
      <c r="AN168" s="184">
        <v>0.125</v>
      </c>
      <c r="AO168" s="205">
        <v>0.12</v>
      </c>
      <c r="AP168" s="72"/>
      <c r="AQ168" s="184">
        <v>-3.7569402088808146</v>
      </c>
      <c r="AR168" s="206">
        <v>-3.0389402088808146</v>
      </c>
      <c r="AS168" s="72"/>
      <c r="AT168" s="273">
        <v>7.4999999999999997E-3</v>
      </c>
      <c r="AU168" s="72"/>
      <c r="AV168" s="184">
        <v>2.5000000000000001E-3</v>
      </c>
      <c r="AW168" s="72"/>
      <c r="AX168" s="72">
        <v>-0.105</v>
      </c>
      <c r="AY168" s="90"/>
      <c r="AZ168" s="302">
        <v>0.45</v>
      </c>
      <c r="BA168" s="302"/>
      <c r="BB168" s="252">
        <v>-0.71799999999999997</v>
      </c>
      <c r="BC168" s="151"/>
      <c r="BD168" s="90"/>
      <c r="BE168" s="72"/>
      <c r="BF168" s="151"/>
      <c r="BG168" s="72"/>
      <c r="BH168" s="125"/>
      <c r="BI168" s="125"/>
      <c r="BJ168" s="72"/>
      <c r="BK168" s="151"/>
      <c r="BL168" s="72"/>
      <c r="BM168" s="72"/>
      <c r="BN168" s="90"/>
      <c r="BO168" s="90"/>
      <c r="BP168" s="125"/>
      <c r="BQ168" s="72"/>
      <c r="BR168" s="125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</row>
    <row r="169" spans="1:85" x14ac:dyDescent="0.2">
      <c r="A169" s="354">
        <v>41061</v>
      </c>
      <c r="B169" s="277">
        <v>3.8330000000000002</v>
      </c>
      <c r="C169" s="311">
        <v>-0.71799999999999997</v>
      </c>
      <c r="D169" s="188">
        <v>-0.62688561850440383</v>
      </c>
      <c r="E169" s="188">
        <v>-0.64791201423415679</v>
      </c>
      <c r="F169" s="285">
        <v>0.125</v>
      </c>
      <c r="G169" s="286">
        <v>0.125</v>
      </c>
      <c r="H169" s="286">
        <v>0.16</v>
      </c>
      <c r="I169" s="287">
        <v>0.12</v>
      </c>
      <c r="J169" s="286">
        <v>0.04</v>
      </c>
      <c r="K169" s="286">
        <v>0.11</v>
      </c>
      <c r="L169" s="286">
        <v>0.42</v>
      </c>
      <c r="M169" s="285">
        <v>-0.27</v>
      </c>
      <c r="N169" s="286">
        <v>0.43</v>
      </c>
      <c r="O169" s="287">
        <v>0</v>
      </c>
      <c r="P169" s="239">
        <v>-0.1</v>
      </c>
      <c r="Q169" s="215">
        <v>0.16250000000000001</v>
      </c>
      <c r="R169" s="291">
        <v>0.17</v>
      </c>
      <c r="S169" s="194">
        <v>0.17</v>
      </c>
      <c r="T169" s="107">
        <v>0.45</v>
      </c>
      <c r="U169" s="308">
        <v>0.17</v>
      </c>
      <c r="V169" s="61">
        <v>3.1150000000000002</v>
      </c>
      <c r="W169" s="61">
        <v>3.2061143814955964</v>
      </c>
      <c r="X169" s="197">
        <v>3.1850879857658434</v>
      </c>
      <c r="Y169" s="62"/>
      <c r="Z169" s="281">
        <v>0.13</v>
      </c>
      <c r="AA169" s="296">
        <v>0.1</v>
      </c>
      <c r="AB169" s="301">
        <v>4.4444136408868857</v>
      </c>
      <c r="AC169" s="145">
        <v>4.5744136408868856</v>
      </c>
      <c r="AD169" s="197">
        <v>4.5444136408868854</v>
      </c>
      <c r="AE169" s="238">
        <v>3.7330000000000001</v>
      </c>
      <c r="AF169" s="133">
        <v>3.5630000000000002</v>
      </c>
      <c r="AG169" s="202">
        <v>3.8330000000000002</v>
      </c>
      <c r="AH169" s="242">
        <v>-0.1</v>
      </c>
      <c r="AI169" s="283">
        <v>1.5053307474476898</v>
      </c>
      <c r="AJ169" s="88">
        <v>6.1747129735541001E-2</v>
      </c>
      <c r="AK169" s="88">
        <v>6.2475605338575296E-2</v>
      </c>
      <c r="AL169" s="90">
        <v>0.51444990041145355</v>
      </c>
      <c r="AM169" s="204">
        <v>0.51049258609806292</v>
      </c>
      <c r="AN169" s="184">
        <v>0.125</v>
      </c>
      <c r="AO169" s="205">
        <v>0.124</v>
      </c>
      <c r="AP169" s="72"/>
      <c r="AQ169" s="184">
        <v>-3.7929413101215057</v>
      </c>
      <c r="AR169" s="206">
        <v>-3.0749413101215057</v>
      </c>
      <c r="AS169" s="72"/>
      <c r="AT169" s="273">
        <v>7.4999999999999997E-3</v>
      </c>
      <c r="AU169" s="72"/>
      <c r="AV169" s="184">
        <v>2.5000000000000001E-3</v>
      </c>
      <c r="AW169" s="72"/>
      <c r="AX169" s="72">
        <v>-0.105</v>
      </c>
      <c r="AY169" s="90"/>
      <c r="AZ169" s="302">
        <v>0.45</v>
      </c>
      <c r="BA169" s="302"/>
      <c r="BB169" s="252">
        <v>-0.71799999999999997</v>
      </c>
      <c r="BC169" s="151"/>
      <c r="BD169" s="90"/>
      <c r="BE169" s="72"/>
      <c r="BF169" s="151"/>
      <c r="BG169" s="72"/>
      <c r="BH169" s="125"/>
      <c r="BI169" s="125"/>
      <c r="BJ169" s="72"/>
      <c r="BK169" s="151"/>
      <c r="BL169" s="72"/>
      <c r="BM169" s="72"/>
      <c r="BN169" s="90"/>
      <c r="BO169" s="90"/>
      <c r="BP169" s="125"/>
      <c r="BQ169" s="72"/>
      <c r="BR169" s="125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</row>
    <row r="170" spans="1:85" x14ac:dyDescent="0.2">
      <c r="A170" s="354">
        <v>41091</v>
      </c>
      <c r="B170" s="277">
        <v>3.875</v>
      </c>
      <c r="C170" s="311">
        <v>-0.71799999999999997</v>
      </c>
      <c r="D170" s="188">
        <v>-0.6268871070257811</v>
      </c>
      <c r="E170" s="188">
        <v>-0.64791315925060111</v>
      </c>
      <c r="F170" s="285">
        <v>0.125</v>
      </c>
      <c r="G170" s="286">
        <v>0.125</v>
      </c>
      <c r="H170" s="286">
        <v>0.16</v>
      </c>
      <c r="I170" s="287">
        <v>0.12</v>
      </c>
      <c r="J170" s="286">
        <v>0.04</v>
      </c>
      <c r="K170" s="286">
        <v>0.11</v>
      </c>
      <c r="L170" s="286">
        <v>0.48</v>
      </c>
      <c r="M170" s="285">
        <v>-0.27</v>
      </c>
      <c r="N170" s="286">
        <v>0.43</v>
      </c>
      <c r="O170" s="287">
        <v>0</v>
      </c>
      <c r="P170" s="239">
        <v>-0.1</v>
      </c>
      <c r="Q170" s="215">
        <v>0.16250000000000001</v>
      </c>
      <c r="R170" s="291">
        <v>0.17</v>
      </c>
      <c r="S170" s="194">
        <v>0.17</v>
      </c>
      <c r="T170" s="107">
        <v>0.5</v>
      </c>
      <c r="U170" s="308">
        <v>0.17</v>
      </c>
      <c r="V170" s="61">
        <v>3.157</v>
      </c>
      <c r="W170" s="61">
        <v>3.2481128929742189</v>
      </c>
      <c r="X170" s="197">
        <v>3.2270868407493989</v>
      </c>
      <c r="Y170" s="62"/>
      <c r="Z170" s="281">
        <v>0.13</v>
      </c>
      <c r="AA170" s="296">
        <v>0.1</v>
      </c>
      <c r="AB170" s="301">
        <v>4.5044119070626616</v>
      </c>
      <c r="AC170" s="145">
        <v>4.6344119070626615</v>
      </c>
      <c r="AD170" s="197">
        <v>4.6044119070626612</v>
      </c>
      <c r="AE170" s="238">
        <v>3.7749999999999999</v>
      </c>
      <c r="AF170" s="133">
        <v>3.605</v>
      </c>
      <c r="AG170" s="202">
        <v>3.875</v>
      </c>
      <c r="AH170" s="242">
        <v>-0.1</v>
      </c>
      <c r="AI170" s="283">
        <v>1.5053553402020601</v>
      </c>
      <c r="AJ170" s="88">
        <v>6.1786510995060204E-2</v>
      </c>
      <c r="AK170" s="88">
        <v>6.2508035794712299E-2</v>
      </c>
      <c r="AL170" s="90">
        <v>0.5116713868735655</v>
      </c>
      <c r="AM170" s="204">
        <v>0.50774374071108463</v>
      </c>
      <c r="AN170" s="184">
        <v>0.125</v>
      </c>
      <c r="AO170" s="205">
        <v>0.12</v>
      </c>
      <c r="AP170" s="72"/>
      <c r="AQ170" s="184">
        <v>-3.8349424546593469</v>
      </c>
      <c r="AR170" s="206">
        <v>-3.1169424546593469</v>
      </c>
      <c r="AS170" s="72"/>
      <c r="AT170" s="273">
        <v>7.4999999999999997E-3</v>
      </c>
      <c r="AU170" s="72"/>
      <c r="AV170" s="184">
        <v>2.5000000000000001E-3</v>
      </c>
      <c r="AW170" s="72"/>
      <c r="AX170" s="72">
        <v>-0.105</v>
      </c>
      <c r="AY170" s="90"/>
      <c r="AZ170" s="302">
        <v>0.5</v>
      </c>
      <c r="BA170" s="302"/>
      <c r="BB170" s="252">
        <v>-0.71799999999999997</v>
      </c>
      <c r="BC170" s="151"/>
      <c r="BD170" s="90"/>
      <c r="BE170" s="72"/>
      <c r="BF170" s="151"/>
      <c r="BG170" s="72"/>
      <c r="BH170" s="125"/>
      <c r="BI170" s="125"/>
      <c r="BJ170" s="72"/>
      <c r="BK170" s="151"/>
      <c r="BL170" s="72"/>
      <c r="BM170" s="72"/>
      <c r="BN170" s="90"/>
      <c r="BO170" s="90"/>
      <c r="BP170" s="125"/>
      <c r="BQ170" s="72"/>
      <c r="BR170" s="125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2"/>
      <c r="CF170" s="72"/>
      <c r="CG170" s="72"/>
    </row>
    <row r="171" spans="1:85" x14ac:dyDescent="0.2">
      <c r="A171" s="354">
        <v>41122</v>
      </c>
      <c r="B171" s="277">
        <v>3.9240000000000004</v>
      </c>
      <c r="C171" s="311">
        <v>-0.71799999999999997</v>
      </c>
      <c r="D171" s="188">
        <v>-0.62688875108078701</v>
      </c>
      <c r="E171" s="188">
        <v>-0.6479144239082979</v>
      </c>
      <c r="F171" s="285">
        <v>0.125</v>
      </c>
      <c r="G171" s="286">
        <v>0.125</v>
      </c>
      <c r="H171" s="286">
        <v>0.16</v>
      </c>
      <c r="I171" s="287">
        <v>0.12</v>
      </c>
      <c r="J171" s="286">
        <v>0.04</v>
      </c>
      <c r="K171" s="286">
        <v>0.11</v>
      </c>
      <c r="L171" s="286">
        <v>0.48</v>
      </c>
      <c r="M171" s="285">
        <v>-0.27</v>
      </c>
      <c r="N171" s="286">
        <v>0.43</v>
      </c>
      <c r="O171" s="287">
        <v>0</v>
      </c>
      <c r="P171" s="239">
        <v>-0.1</v>
      </c>
      <c r="Q171" s="215">
        <v>0.16250000000000001</v>
      </c>
      <c r="R171" s="291">
        <v>0.17</v>
      </c>
      <c r="S171" s="194">
        <v>0.17</v>
      </c>
      <c r="T171" s="107">
        <v>0.55000000000000004</v>
      </c>
      <c r="U171" s="308">
        <v>0.17</v>
      </c>
      <c r="V171" s="61">
        <v>3.2060000000000004</v>
      </c>
      <c r="W171" s="61">
        <v>3.2971112489192134</v>
      </c>
      <c r="X171" s="197">
        <v>3.2760855760917025</v>
      </c>
      <c r="Y171" s="62"/>
      <c r="Z171" s="281">
        <v>0.13</v>
      </c>
      <c r="AA171" s="296">
        <v>0.1</v>
      </c>
      <c r="AB171" s="301">
        <v>4.5744077152268092</v>
      </c>
      <c r="AC171" s="145">
        <v>4.7044077152268091</v>
      </c>
      <c r="AD171" s="197">
        <v>4.6744077152268089</v>
      </c>
      <c r="AE171" s="238">
        <v>3.8240000000000003</v>
      </c>
      <c r="AF171" s="133">
        <v>3.6540000000000004</v>
      </c>
      <c r="AG171" s="202">
        <v>3.9240000000000004</v>
      </c>
      <c r="AH171" s="242">
        <v>-0.1</v>
      </c>
      <c r="AI171" s="283">
        <v>1.5053825035546899</v>
      </c>
      <c r="AJ171" s="88">
        <v>6.18272049637709E-2</v>
      </c>
      <c r="AK171" s="88">
        <v>6.2541547266420611E-2</v>
      </c>
      <c r="AL171" s="90">
        <v>0.50881267041387968</v>
      </c>
      <c r="AM171" s="204">
        <v>0.50491607885826906</v>
      </c>
      <c r="AN171" s="184">
        <v>0.125</v>
      </c>
      <c r="AO171" s="205">
        <v>0.12</v>
      </c>
      <c r="AP171" s="72"/>
      <c r="AQ171" s="184">
        <v>-3.8839437187884331</v>
      </c>
      <c r="AR171" s="206">
        <v>-3.1659437187884332</v>
      </c>
      <c r="AS171" s="72"/>
      <c r="AT171" s="273">
        <v>7.4999999999999997E-3</v>
      </c>
      <c r="AU171" s="72"/>
      <c r="AV171" s="184">
        <v>2.5000000000000001E-3</v>
      </c>
      <c r="AW171" s="72"/>
      <c r="AX171" s="72">
        <v>-0.105</v>
      </c>
      <c r="AY171" s="90"/>
      <c r="AZ171" s="302">
        <v>0.55000000000000004</v>
      </c>
      <c r="BA171" s="302"/>
      <c r="BB171" s="252">
        <v>-0.71799999999999997</v>
      </c>
      <c r="BC171" s="151"/>
      <c r="BD171" s="90"/>
      <c r="BE171" s="72"/>
      <c r="BF171" s="151"/>
      <c r="BG171" s="72"/>
      <c r="BH171" s="125"/>
      <c r="BI171" s="125"/>
      <c r="BJ171" s="72"/>
      <c r="BK171" s="151"/>
      <c r="BL171" s="72"/>
      <c r="BM171" s="72"/>
      <c r="BN171" s="90"/>
      <c r="BO171" s="90"/>
      <c r="BP171" s="125"/>
      <c r="BQ171" s="72"/>
      <c r="BR171" s="125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2"/>
      <c r="CF171" s="72"/>
      <c r="CG171" s="72"/>
    </row>
    <row r="172" spans="1:85" x14ac:dyDescent="0.2">
      <c r="A172" s="354">
        <v>41153</v>
      </c>
      <c r="B172" s="277">
        <v>3.9390000000000001</v>
      </c>
      <c r="C172" s="311">
        <v>-0.71799999999999997</v>
      </c>
      <c r="D172" s="188">
        <v>-0.6268905027768592</v>
      </c>
      <c r="E172" s="188">
        <v>-0.64791577136681466</v>
      </c>
      <c r="F172" s="285">
        <v>0.125</v>
      </c>
      <c r="G172" s="286">
        <v>0.125</v>
      </c>
      <c r="H172" s="286">
        <v>0.16</v>
      </c>
      <c r="I172" s="287">
        <v>0.12</v>
      </c>
      <c r="J172" s="286">
        <v>0.04</v>
      </c>
      <c r="K172" s="286">
        <v>0.11</v>
      </c>
      <c r="L172" s="286">
        <v>0.44</v>
      </c>
      <c r="M172" s="285">
        <v>-0.27</v>
      </c>
      <c r="N172" s="286">
        <v>0.43</v>
      </c>
      <c r="O172" s="287">
        <v>0</v>
      </c>
      <c r="P172" s="239">
        <v>-0.1</v>
      </c>
      <c r="Q172" s="215">
        <v>0.16250000000000001</v>
      </c>
      <c r="R172" s="291">
        <v>0.17</v>
      </c>
      <c r="S172" s="194">
        <v>0.17</v>
      </c>
      <c r="T172" s="107">
        <v>0.55000000000000004</v>
      </c>
      <c r="U172" s="308">
        <v>0.17</v>
      </c>
      <c r="V172" s="61">
        <v>3.2210000000000001</v>
      </c>
      <c r="W172" s="61">
        <v>3.3121094972231409</v>
      </c>
      <c r="X172" s="197">
        <v>3.2910842286331854</v>
      </c>
      <c r="Y172" s="62"/>
      <c r="Z172" s="281">
        <v>0.13</v>
      </c>
      <c r="AA172" s="296">
        <v>0.1</v>
      </c>
      <c r="AB172" s="301">
        <v>4.5958984821798481</v>
      </c>
      <c r="AC172" s="145">
        <v>4.725898482179848</v>
      </c>
      <c r="AD172" s="197">
        <v>4.6958984821798477</v>
      </c>
      <c r="AE172" s="238">
        <v>3.839</v>
      </c>
      <c r="AF172" s="133">
        <v>3.669</v>
      </c>
      <c r="AG172" s="202">
        <v>3.9390000000000001</v>
      </c>
      <c r="AH172" s="242">
        <v>-0.1</v>
      </c>
      <c r="AI172" s="283">
        <v>1.5054114464497799</v>
      </c>
      <c r="AJ172" s="88">
        <v>6.1867898933031004E-2</v>
      </c>
      <c r="AK172" s="88">
        <v>6.2575058738501901E-2</v>
      </c>
      <c r="AL172" s="90">
        <v>0.50596653976526229</v>
      </c>
      <c r="AM172" s="204">
        <v>0.50210139781358931</v>
      </c>
      <c r="AN172" s="184">
        <v>0.125</v>
      </c>
      <c r="AO172" s="205">
        <v>0.124</v>
      </c>
      <c r="AP172" s="72"/>
      <c r="AQ172" s="184">
        <v>-3.8989450656837303</v>
      </c>
      <c r="AR172" s="206">
        <v>-3.1809450656837304</v>
      </c>
      <c r="AS172" s="72"/>
      <c r="AT172" s="273">
        <v>7.4999999999999997E-3</v>
      </c>
      <c r="AU172" s="72"/>
      <c r="AV172" s="184">
        <v>2.5000000000000001E-3</v>
      </c>
      <c r="AW172" s="72"/>
      <c r="AX172" s="72">
        <v>-0.105</v>
      </c>
      <c r="AY172" s="90"/>
      <c r="AZ172" s="302">
        <v>0.55000000000000004</v>
      </c>
      <c r="BA172" s="302"/>
      <c r="BB172" s="252">
        <v>-0.71799999999999997</v>
      </c>
      <c r="BC172" s="151"/>
      <c r="BD172" s="90"/>
      <c r="BE172" s="72"/>
      <c r="BF172" s="151"/>
      <c r="BG172" s="72"/>
      <c r="BH172" s="125"/>
      <c r="BI172" s="125"/>
      <c r="BJ172" s="72"/>
      <c r="BK172" s="151"/>
      <c r="BL172" s="72"/>
      <c r="BM172" s="72"/>
      <c r="BN172" s="90"/>
      <c r="BO172" s="90"/>
      <c r="BP172" s="125"/>
      <c r="BQ172" s="72"/>
      <c r="BR172" s="125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72"/>
    </row>
    <row r="173" spans="1:85" x14ac:dyDescent="0.2">
      <c r="A173" s="354">
        <v>41183</v>
      </c>
      <c r="B173" s="277">
        <v>3.968</v>
      </c>
      <c r="C173" s="311">
        <v>-0.71799999999999997</v>
      </c>
      <c r="D173" s="188">
        <v>-0.62689230044392596</v>
      </c>
      <c r="E173" s="188">
        <v>-0.64791715418763562</v>
      </c>
      <c r="F173" s="285">
        <v>0.125</v>
      </c>
      <c r="G173" s="286">
        <v>0.125</v>
      </c>
      <c r="H173" s="286">
        <v>0.16</v>
      </c>
      <c r="I173" s="287">
        <v>0.12</v>
      </c>
      <c r="J173" s="286">
        <v>0.04</v>
      </c>
      <c r="K173" s="286">
        <v>0.11</v>
      </c>
      <c r="L173" s="286">
        <v>0.45</v>
      </c>
      <c r="M173" s="285">
        <v>-0.27</v>
      </c>
      <c r="N173" s="286">
        <v>0.43</v>
      </c>
      <c r="O173" s="287">
        <v>0</v>
      </c>
      <c r="P173" s="239">
        <v>-0.1</v>
      </c>
      <c r="Q173" s="215">
        <v>0.16250000000000001</v>
      </c>
      <c r="R173" s="291">
        <v>0.17</v>
      </c>
      <c r="S173" s="194">
        <v>0.17</v>
      </c>
      <c r="T173" s="107">
        <v>0.6</v>
      </c>
      <c r="U173" s="308">
        <v>0.17</v>
      </c>
      <c r="V173" s="61">
        <v>3.25</v>
      </c>
      <c r="W173" s="61">
        <v>3.341107699556074</v>
      </c>
      <c r="X173" s="197">
        <v>3.3200828458123643</v>
      </c>
      <c r="Y173" s="62"/>
      <c r="Z173" s="281">
        <v>0.13</v>
      </c>
      <c r="AA173" s="296">
        <v>0.1</v>
      </c>
      <c r="AB173" s="301">
        <v>4.6373687631083733</v>
      </c>
      <c r="AC173" s="145">
        <v>4.7673687631083732</v>
      </c>
      <c r="AD173" s="197">
        <v>4.737368763108373</v>
      </c>
      <c r="AE173" s="238">
        <v>3.8679999999999999</v>
      </c>
      <c r="AF173" s="133">
        <v>3.698</v>
      </c>
      <c r="AG173" s="202">
        <v>3.968</v>
      </c>
      <c r="AH173" s="242">
        <v>-0.1</v>
      </c>
      <c r="AI173" s="283">
        <v>1.50544115007079</v>
      </c>
      <c r="AJ173" s="88">
        <v>6.1907280194129402E-2</v>
      </c>
      <c r="AK173" s="88">
        <v>6.2607489195709604E-2</v>
      </c>
      <c r="AL173" s="90">
        <v>0.50322417271349995</v>
      </c>
      <c r="AM173" s="204">
        <v>0.49938983342995069</v>
      </c>
      <c r="AN173" s="184">
        <v>0.125</v>
      </c>
      <c r="AO173" s="205">
        <v>0.12</v>
      </c>
      <c r="AP173" s="72"/>
      <c r="AQ173" s="184">
        <v>-3.9279464479265491</v>
      </c>
      <c r="AR173" s="206">
        <v>-3.2099464479265492</v>
      </c>
      <c r="AS173" s="72"/>
      <c r="AT173" s="273">
        <v>7.4999999999999997E-3</v>
      </c>
      <c r="AU173" s="72"/>
      <c r="AV173" s="184">
        <v>2.5000000000000001E-3</v>
      </c>
      <c r="AW173" s="72"/>
      <c r="AX173" s="72">
        <v>-0.105</v>
      </c>
      <c r="AY173" s="90"/>
      <c r="AZ173" s="302">
        <v>0.6</v>
      </c>
      <c r="BA173" s="302"/>
      <c r="BB173" s="252">
        <v>-0.71799999999999997</v>
      </c>
      <c r="BC173" s="151"/>
      <c r="BD173" s="90"/>
      <c r="BE173" s="72"/>
      <c r="BF173" s="151"/>
      <c r="BG173" s="72"/>
      <c r="BH173" s="125"/>
      <c r="BI173" s="125"/>
      <c r="BJ173" s="72"/>
      <c r="BK173" s="151"/>
      <c r="BL173" s="72"/>
      <c r="BM173" s="72"/>
      <c r="BN173" s="90"/>
      <c r="BO173" s="90"/>
      <c r="BP173" s="125"/>
      <c r="BQ173" s="72"/>
      <c r="BR173" s="125"/>
      <c r="BS173" s="72"/>
      <c r="BT173" s="72"/>
      <c r="BU173" s="72"/>
      <c r="BV173" s="72"/>
      <c r="BW173" s="72"/>
      <c r="BX173" s="72"/>
      <c r="BY173" s="72"/>
      <c r="BZ173" s="72"/>
      <c r="CA173" s="72"/>
      <c r="CB173" s="72"/>
      <c r="CC173" s="72"/>
      <c r="CD173" s="72"/>
      <c r="CE173" s="72"/>
      <c r="CF173" s="72"/>
      <c r="CG173" s="72"/>
    </row>
    <row r="174" spans="1:85" x14ac:dyDescent="0.2">
      <c r="A174" s="353">
        <v>41214</v>
      </c>
      <c r="B174" s="277">
        <v>4.1080000000000005</v>
      </c>
      <c r="C174" s="312">
        <v>-0.65800000000000003</v>
      </c>
      <c r="D174" s="188">
        <v>-0.56689426391439524</v>
      </c>
      <c r="E174" s="188">
        <v>-0.11</v>
      </c>
      <c r="F174" s="285">
        <v>0.185</v>
      </c>
      <c r="G174" s="286">
        <v>0.35499999999999998</v>
      </c>
      <c r="H174" s="286">
        <v>0.30499999999999999</v>
      </c>
      <c r="I174" s="287">
        <v>0.40500000000000003</v>
      </c>
      <c r="J174" s="286">
        <v>0.14000000000000001</v>
      </c>
      <c r="K174" s="286">
        <v>0.17</v>
      </c>
      <c r="L174" s="286">
        <v>0.73</v>
      </c>
      <c r="M174" s="285">
        <v>-0.15</v>
      </c>
      <c r="N174" s="286">
        <v>0.35</v>
      </c>
      <c r="O174" s="287">
        <v>0</v>
      </c>
      <c r="P174" s="239">
        <v>0.248</v>
      </c>
      <c r="Q174" s="215">
        <v>0.16250000000000001</v>
      </c>
      <c r="R174" s="291">
        <v>0.17</v>
      </c>
      <c r="S174" s="194">
        <v>0.17</v>
      </c>
      <c r="T174" s="107">
        <v>0.8</v>
      </c>
      <c r="U174" s="308">
        <v>0.17</v>
      </c>
      <c r="V174" s="61">
        <v>3.45</v>
      </c>
      <c r="W174" s="61">
        <v>3.5411057360856053</v>
      </c>
      <c r="X174" s="197">
        <v>3.9980000000000002</v>
      </c>
      <c r="Y174" s="62"/>
      <c r="Z174" s="281">
        <v>0.13</v>
      </c>
      <c r="AA174" s="296">
        <v>0.78194856944091384</v>
      </c>
      <c r="AB174" s="301">
        <v>4.9228513952028363</v>
      </c>
      <c r="AC174" s="145">
        <v>5.0528513952028362</v>
      </c>
      <c r="AD174" s="197">
        <v>5.7047999646437502</v>
      </c>
      <c r="AE174" s="238">
        <v>4.3560000000000008</v>
      </c>
      <c r="AF174" s="133">
        <v>3.9580000000000006</v>
      </c>
      <c r="AG174" s="202">
        <v>4.1080000000000005</v>
      </c>
      <c r="AH174" s="242">
        <v>-0.1</v>
      </c>
      <c r="AI174" s="283">
        <v>1.5054735946716298</v>
      </c>
      <c r="AJ174" s="88">
        <v>6.1947974164470801E-2</v>
      </c>
      <c r="AK174" s="88">
        <v>6.26410006685236E-2</v>
      </c>
      <c r="AL174" s="90">
        <v>0.50040271326652741</v>
      </c>
      <c r="AM174" s="204">
        <v>0.49660057450546979</v>
      </c>
      <c r="AN174" s="184">
        <v>0.35499999999999998</v>
      </c>
      <c r="AO174" s="205">
        <v>0.124</v>
      </c>
      <c r="AP174" s="72"/>
      <c r="AQ174" s="184">
        <v>-3.5908730619292286</v>
      </c>
      <c r="AR174" s="206">
        <v>-2.9328730619292287</v>
      </c>
      <c r="AS174" s="72"/>
      <c r="AT174" s="273">
        <v>7.4999999999999997E-3</v>
      </c>
      <c r="AU174" s="72"/>
      <c r="AV174" s="184">
        <v>8.0000000000000002E-3</v>
      </c>
      <c r="AW174" s="72"/>
      <c r="AX174" s="72">
        <v>5.0000000000000001E-3</v>
      </c>
      <c r="AY174" s="90"/>
      <c r="AZ174" s="302">
        <v>0.8</v>
      </c>
      <c r="BA174" s="302"/>
      <c r="BB174" s="252">
        <v>-0.65800000000000003</v>
      </c>
      <c r="BC174" s="151"/>
      <c r="BD174" s="90"/>
      <c r="BE174" s="72"/>
      <c r="BF174" s="151"/>
      <c r="BG174" s="72"/>
      <c r="BH174" s="125"/>
      <c r="BI174" s="125"/>
      <c r="BJ174" s="72"/>
      <c r="BK174" s="151"/>
      <c r="BL174" s="72"/>
      <c r="BM174" s="72"/>
      <c r="BN174" s="90"/>
      <c r="BO174" s="90"/>
      <c r="BP174" s="125"/>
      <c r="BQ174" s="72"/>
      <c r="BR174" s="125"/>
      <c r="BS174" s="72"/>
      <c r="BT174" s="72"/>
      <c r="BU174" s="72"/>
      <c r="BV174" s="72"/>
      <c r="BW174" s="72"/>
      <c r="BX174" s="72"/>
      <c r="BY174" s="72"/>
      <c r="BZ174" s="72"/>
      <c r="CA174" s="72"/>
      <c r="CB174" s="72"/>
      <c r="CC174" s="72"/>
      <c r="CD174" s="72"/>
      <c r="CE174" s="72"/>
      <c r="CF174" s="72"/>
      <c r="CG174" s="72"/>
    </row>
    <row r="175" spans="1:85" x14ac:dyDescent="0.2">
      <c r="A175" s="354">
        <v>41244</v>
      </c>
      <c r="B175" s="277">
        <v>4.2480000000000002</v>
      </c>
      <c r="C175" s="311">
        <v>-0.65800000000000003</v>
      </c>
      <c r="D175" s="188">
        <v>-0.56689626650086167</v>
      </c>
      <c r="E175" s="188">
        <v>-0.11</v>
      </c>
      <c r="F175" s="285">
        <v>0.185</v>
      </c>
      <c r="G175" s="286">
        <v>0.35499999999999998</v>
      </c>
      <c r="H175" s="286">
        <v>0.30499999999999999</v>
      </c>
      <c r="I175" s="287">
        <v>0.40500000000000003</v>
      </c>
      <c r="J175" s="286">
        <v>0.14000000000000001</v>
      </c>
      <c r="K175" s="286">
        <v>0.17</v>
      </c>
      <c r="L175" s="286">
        <v>1.1399999999999999</v>
      </c>
      <c r="M175" s="285">
        <v>-0.15</v>
      </c>
      <c r="N175" s="286">
        <v>0.35</v>
      </c>
      <c r="O175" s="287">
        <v>0</v>
      </c>
      <c r="P175" s="239">
        <v>0.308</v>
      </c>
      <c r="Q175" s="215">
        <v>0.16250000000000001</v>
      </c>
      <c r="R175" s="291">
        <v>0.17</v>
      </c>
      <c r="S175" s="194">
        <v>0.17</v>
      </c>
      <c r="T175" s="107">
        <v>1</v>
      </c>
      <c r="U175" s="308">
        <v>0.17</v>
      </c>
      <c r="V175" s="61">
        <v>3.59</v>
      </c>
      <c r="W175" s="61">
        <v>3.6811037334991386</v>
      </c>
      <c r="X175" s="197">
        <v>4.1379999999999999</v>
      </c>
      <c r="Y175" s="62"/>
      <c r="Z175" s="281">
        <v>0.13</v>
      </c>
      <c r="AA175" s="296">
        <v>0.78196575775539934</v>
      </c>
      <c r="AB175" s="301">
        <v>5.1227318801859276</v>
      </c>
      <c r="AC175" s="145">
        <v>5.2527318801859275</v>
      </c>
      <c r="AD175" s="197">
        <v>5.904697637941327</v>
      </c>
      <c r="AE175" s="238">
        <v>4.556</v>
      </c>
      <c r="AF175" s="133">
        <v>4.0979999999999999</v>
      </c>
      <c r="AG175" s="202">
        <v>4.2480000000000002</v>
      </c>
      <c r="AH175" s="242">
        <v>-0.1</v>
      </c>
      <c r="AI175" s="283">
        <v>1.50550668707004</v>
      </c>
      <c r="AJ175" s="88">
        <v>6.1987355426615903E-2</v>
      </c>
      <c r="AK175" s="88">
        <v>6.2673431126440998E-2</v>
      </c>
      <c r="AL175" s="90">
        <v>0.49768416082757094</v>
      </c>
      <c r="AM175" s="204">
        <v>0.49391353472297139</v>
      </c>
      <c r="AN175" s="184">
        <v>0.35499999999999998</v>
      </c>
      <c r="AO175" s="205">
        <v>0.12</v>
      </c>
      <c r="AP175" s="72"/>
      <c r="AQ175" s="184">
        <v>-3.7308901524405078</v>
      </c>
      <c r="AR175" s="206">
        <v>-3.0728901524405079</v>
      </c>
      <c r="AS175" s="72"/>
      <c r="AT175" s="273">
        <v>7.4999999999999997E-3</v>
      </c>
      <c r="AU175" s="72"/>
      <c r="AV175" s="184">
        <v>8.0000000000000002E-3</v>
      </c>
      <c r="AW175" s="72"/>
      <c r="AX175" s="72">
        <v>0.01</v>
      </c>
      <c r="AY175" s="90"/>
      <c r="AZ175" s="302">
        <v>1</v>
      </c>
      <c r="BA175" s="302"/>
      <c r="BB175" s="252">
        <v>-0.65800000000000003</v>
      </c>
      <c r="BC175" s="151"/>
      <c r="BD175" s="90"/>
      <c r="BE175" s="72"/>
      <c r="BF175" s="151"/>
      <c r="BG175" s="72"/>
      <c r="BH175" s="125"/>
      <c r="BI175" s="125"/>
      <c r="BJ175" s="72"/>
      <c r="BK175" s="151"/>
      <c r="BL175" s="72"/>
      <c r="BM175" s="72"/>
      <c r="BN175" s="90"/>
      <c r="BO175" s="90"/>
      <c r="BP175" s="125"/>
      <c r="BQ175" s="72"/>
      <c r="BR175" s="125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2"/>
      <c r="CF175" s="72"/>
      <c r="CG175" s="72"/>
    </row>
    <row r="176" spans="1:85" x14ac:dyDescent="0.2">
      <c r="A176" s="354">
        <v>41275</v>
      </c>
      <c r="B176" s="277">
        <v>4.3580000000000005</v>
      </c>
      <c r="C176" s="311">
        <v>-0.65800000000000003</v>
      </c>
      <c r="D176" s="188">
        <v>-0.56689844169629744</v>
      </c>
      <c r="E176" s="188">
        <v>-0.10999999999999943</v>
      </c>
      <c r="F176" s="285">
        <v>0.185</v>
      </c>
      <c r="G176" s="286">
        <v>0.35499999999999998</v>
      </c>
      <c r="H176" s="286">
        <v>0.30499999999999999</v>
      </c>
      <c r="I176" s="287">
        <v>0.40500000000000003</v>
      </c>
      <c r="J176" s="286">
        <v>0.14000000000000001</v>
      </c>
      <c r="K176" s="286">
        <v>0.17</v>
      </c>
      <c r="L176" s="286">
        <v>1.63</v>
      </c>
      <c r="M176" s="285">
        <v>-0.15</v>
      </c>
      <c r="N176" s="286">
        <v>0.35</v>
      </c>
      <c r="O176" s="287">
        <v>0</v>
      </c>
      <c r="P176" s="239">
        <v>0.37800000000000006</v>
      </c>
      <c r="Q176" s="215">
        <v>0.16250000000000001</v>
      </c>
      <c r="R176" s="291">
        <v>0.17</v>
      </c>
      <c r="S176" s="194">
        <v>0.17</v>
      </c>
      <c r="T176" s="107">
        <v>1</v>
      </c>
      <c r="U176" s="308">
        <v>0.17</v>
      </c>
      <c r="V176" s="61">
        <v>3.7</v>
      </c>
      <c r="W176" s="61">
        <v>3.7911015583037031</v>
      </c>
      <c r="X176" s="197">
        <v>4.2480000000000011</v>
      </c>
      <c r="Y176" s="62"/>
      <c r="Z176" s="281">
        <v>0.13</v>
      </c>
      <c r="AA176" s="296">
        <v>0.78198442843874982</v>
      </c>
      <c r="AB176" s="301">
        <v>5.2798218708455771</v>
      </c>
      <c r="AC176" s="145">
        <v>5.409821870845577</v>
      </c>
      <c r="AD176" s="197">
        <v>6.0618062992843269</v>
      </c>
      <c r="AE176" s="238">
        <v>4.7360000000000007</v>
      </c>
      <c r="AF176" s="133">
        <v>4.2080000000000002</v>
      </c>
      <c r="AG176" s="202">
        <v>4.3580000000000005</v>
      </c>
      <c r="AH176" s="242">
        <v>-0.1</v>
      </c>
      <c r="AI176" s="283">
        <v>1.5055426334505</v>
      </c>
      <c r="AJ176" s="88">
        <v>6.2028049398039596E-2</v>
      </c>
      <c r="AK176" s="88">
        <v>6.2706942599989102E-2</v>
      </c>
      <c r="AL176" s="90">
        <v>0.4948872469108973</v>
      </c>
      <c r="AM176" s="204">
        <v>0.49114953788747262</v>
      </c>
      <c r="AN176" s="184">
        <v>0.35499999999999998</v>
      </c>
      <c r="AO176" s="205">
        <v>0.12</v>
      </c>
      <c r="AP176" s="72"/>
      <c r="AQ176" s="184">
        <v>-3.8409080075192636</v>
      </c>
      <c r="AR176" s="206">
        <v>-3.1829080075192637</v>
      </c>
      <c r="AS176" s="72"/>
      <c r="AT176" s="273">
        <v>7.4999999999999997E-3</v>
      </c>
      <c r="AU176" s="72"/>
      <c r="AV176" s="184">
        <v>8.0000000000000002E-3</v>
      </c>
      <c r="AW176" s="72"/>
      <c r="AX176" s="72">
        <v>0.03</v>
      </c>
      <c r="AY176" s="90"/>
      <c r="AZ176" s="302">
        <v>1</v>
      </c>
      <c r="BA176" s="302"/>
      <c r="BB176" s="252">
        <v>-0.65800000000000003</v>
      </c>
      <c r="BC176" s="151"/>
      <c r="BD176" s="90"/>
      <c r="BE176" s="72"/>
      <c r="BF176" s="151"/>
      <c r="BG176" s="72"/>
      <c r="BH176" s="125"/>
      <c r="BI176" s="125"/>
      <c r="BJ176" s="72"/>
      <c r="BK176" s="151"/>
      <c r="BL176" s="72"/>
      <c r="BM176" s="72"/>
      <c r="BN176" s="90"/>
      <c r="BO176" s="90"/>
      <c r="BP176" s="125"/>
      <c r="BQ176" s="72"/>
      <c r="BR176" s="125"/>
      <c r="BS176" s="72"/>
      <c r="BT176" s="72"/>
      <c r="BU176" s="72"/>
      <c r="BV176" s="72"/>
      <c r="BW176" s="72"/>
      <c r="BX176" s="72"/>
      <c r="BY176" s="72"/>
      <c r="BZ176" s="72"/>
      <c r="CA176" s="72"/>
      <c r="CB176" s="72"/>
      <c r="CC176" s="72"/>
      <c r="CD176" s="72"/>
      <c r="CE176" s="72"/>
      <c r="CF176" s="72"/>
      <c r="CG176" s="72"/>
    </row>
    <row r="177" spans="1:85" x14ac:dyDescent="0.2">
      <c r="A177" s="354">
        <v>41306</v>
      </c>
      <c r="B177" s="277">
        <v>4.24</v>
      </c>
      <c r="C177" s="311">
        <v>-0.65800000000000003</v>
      </c>
      <c r="D177" s="188">
        <v>-0.56690072446979745</v>
      </c>
      <c r="E177" s="188">
        <v>-0.11</v>
      </c>
      <c r="F177" s="285">
        <v>0.185</v>
      </c>
      <c r="G177" s="286">
        <v>0.35499999999999998</v>
      </c>
      <c r="H177" s="286">
        <v>0.30499999999999999</v>
      </c>
      <c r="I177" s="287">
        <v>0.40500000000000003</v>
      </c>
      <c r="J177" s="286">
        <v>0.14000000000000001</v>
      </c>
      <c r="K177" s="286">
        <v>0.17</v>
      </c>
      <c r="L177" s="286">
        <v>1.63</v>
      </c>
      <c r="M177" s="285">
        <v>-0.15</v>
      </c>
      <c r="N177" s="286">
        <v>0.35</v>
      </c>
      <c r="O177" s="287">
        <v>0</v>
      </c>
      <c r="P177" s="239">
        <v>0.248</v>
      </c>
      <c r="Q177" s="215">
        <v>0.16250000000000001</v>
      </c>
      <c r="R177" s="291">
        <v>0.17</v>
      </c>
      <c r="S177" s="194">
        <v>0.17</v>
      </c>
      <c r="T177" s="107">
        <v>1</v>
      </c>
      <c r="U177" s="308">
        <v>0.17</v>
      </c>
      <c r="V177" s="61">
        <v>3.5820000000000003</v>
      </c>
      <c r="W177" s="61">
        <v>3.6730992755302028</v>
      </c>
      <c r="X177" s="197">
        <v>4.13</v>
      </c>
      <c r="Y177" s="62"/>
      <c r="Z177" s="281">
        <v>0.13</v>
      </c>
      <c r="AA177" s="296">
        <v>0.78200402347196718</v>
      </c>
      <c r="AB177" s="301">
        <v>5.1115664453952272</v>
      </c>
      <c r="AC177" s="145">
        <v>5.2415664453952271</v>
      </c>
      <c r="AD177" s="197">
        <v>5.8935704688671944</v>
      </c>
      <c r="AE177" s="238">
        <v>4.4880000000000004</v>
      </c>
      <c r="AF177" s="133">
        <v>4.09</v>
      </c>
      <c r="AG177" s="202">
        <v>4.24</v>
      </c>
      <c r="AH177" s="242">
        <v>-0.1</v>
      </c>
      <c r="AI177" s="283">
        <v>1.5055803594675898</v>
      </c>
      <c r="AJ177" s="88">
        <v>6.2068743370013106E-2</v>
      </c>
      <c r="AK177" s="88">
        <v>6.2740454073909407E-2</v>
      </c>
      <c r="AL177" s="90">
        <v>0.49210275862202268</v>
      </c>
      <c r="AM177" s="204">
        <v>0.48839831787813953</v>
      </c>
      <c r="AN177" s="184">
        <v>0.35499999999999998</v>
      </c>
      <c r="AO177" s="205">
        <v>0.13300000000000001</v>
      </c>
      <c r="AP177" s="72"/>
      <c r="AQ177" s="184">
        <v>-3.7229260606494097</v>
      </c>
      <c r="AR177" s="206">
        <v>-3.0649260606494098</v>
      </c>
      <c r="AS177" s="72"/>
      <c r="AT177" s="273">
        <v>7.4999999999999997E-3</v>
      </c>
      <c r="AU177" s="72"/>
      <c r="AV177" s="184">
        <v>8.0000000000000002E-3</v>
      </c>
      <c r="AW177" s="72"/>
      <c r="AX177" s="72">
        <v>2.5000000000000001E-2</v>
      </c>
      <c r="AY177" s="90"/>
      <c r="AZ177" s="302">
        <v>1</v>
      </c>
      <c r="BA177" s="302"/>
      <c r="BB177" s="252">
        <v>-0.65800000000000003</v>
      </c>
      <c r="BC177" s="151"/>
      <c r="BD177" s="90"/>
      <c r="BE177" s="72"/>
      <c r="BF177" s="151"/>
      <c r="BG177" s="72"/>
      <c r="BH177" s="125"/>
      <c r="BI177" s="125"/>
      <c r="BJ177" s="72"/>
      <c r="BK177" s="151"/>
      <c r="BL177" s="72"/>
      <c r="BM177" s="72"/>
      <c r="BN177" s="90"/>
      <c r="BO177" s="90"/>
      <c r="BP177" s="125"/>
      <c r="BQ177" s="72"/>
      <c r="BR177" s="125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</row>
    <row r="178" spans="1:85" x14ac:dyDescent="0.2">
      <c r="A178" s="354">
        <v>41334</v>
      </c>
      <c r="B178" s="277">
        <v>4.1070000000000002</v>
      </c>
      <c r="C178" s="311">
        <v>-0.65800000000000003</v>
      </c>
      <c r="D178" s="188">
        <v>-0.56690287878382284</v>
      </c>
      <c r="E178" s="188">
        <v>-0.11</v>
      </c>
      <c r="F178" s="285">
        <v>0.185</v>
      </c>
      <c r="G178" s="286">
        <v>0.35499999999999998</v>
      </c>
      <c r="H178" s="286">
        <v>0.30499999999999999</v>
      </c>
      <c r="I178" s="287">
        <v>0.40500000000000003</v>
      </c>
      <c r="J178" s="286">
        <v>0.14000000000000001</v>
      </c>
      <c r="K178" s="286">
        <v>0.17</v>
      </c>
      <c r="L178" s="286">
        <v>0.72</v>
      </c>
      <c r="M178" s="285">
        <v>-0.15</v>
      </c>
      <c r="N178" s="286">
        <v>0.35</v>
      </c>
      <c r="O178" s="287">
        <v>0</v>
      </c>
      <c r="P178" s="239">
        <v>6.8000000000000005E-2</v>
      </c>
      <c r="Q178" s="215">
        <v>0.16250000000000001</v>
      </c>
      <c r="R178" s="291">
        <v>0.17</v>
      </c>
      <c r="S178" s="194">
        <v>0.17</v>
      </c>
      <c r="T178" s="107">
        <v>0.75</v>
      </c>
      <c r="U178" s="308">
        <v>0.17</v>
      </c>
      <c r="V178" s="61">
        <v>3.4490000000000003</v>
      </c>
      <c r="W178" s="61">
        <v>3.5400971212161774</v>
      </c>
      <c r="X178" s="197">
        <v>3.9969999999999999</v>
      </c>
      <c r="Y178" s="62"/>
      <c r="Z178" s="281">
        <v>0.13</v>
      </c>
      <c r="AA178" s="296">
        <v>0.78202251672634837</v>
      </c>
      <c r="AB178" s="301">
        <v>4.9218898908561677</v>
      </c>
      <c r="AC178" s="145">
        <v>5.0518898908561676</v>
      </c>
      <c r="AD178" s="197">
        <v>5.7039124075825161</v>
      </c>
      <c r="AE178" s="238">
        <v>4.1749999999999998</v>
      </c>
      <c r="AF178" s="133">
        <v>3.9570000000000003</v>
      </c>
      <c r="AG178" s="202">
        <v>4.1070000000000002</v>
      </c>
      <c r="AH178" s="242">
        <v>-0.1</v>
      </c>
      <c r="AI178" s="283">
        <v>1.5056159642467799</v>
      </c>
      <c r="AJ178" s="88">
        <v>6.2105499216138997E-2</v>
      </c>
      <c r="AK178" s="88">
        <v>6.2770722502286408E-2</v>
      </c>
      <c r="AL178" s="90">
        <v>0.48959838986921972</v>
      </c>
      <c r="AM178" s="204">
        <v>0.48592429258840808</v>
      </c>
      <c r="AN178" s="184">
        <v>0.35499999999999998</v>
      </c>
      <c r="AO178" s="205">
        <v>0.12</v>
      </c>
      <c r="AP178" s="72"/>
      <c r="AQ178" s="184">
        <v>-3.5899425369088043</v>
      </c>
      <c r="AR178" s="206">
        <v>-2.9319425369088044</v>
      </c>
      <c r="AS178" s="72"/>
      <c r="AT178" s="273">
        <v>7.4999999999999997E-3</v>
      </c>
      <c r="AU178" s="72"/>
      <c r="AV178" s="184">
        <v>8.0000000000000002E-3</v>
      </c>
      <c r="AW178" s="72"/>
      <c r="AX178" s="72">
        <v>5.0000000000000001E-3</v>
      </c>
      <c r="AY178" s="90"/>
      <c r="AZ178" s="302">
        <v>0.75</v>
      </c>
      <c r="BA178" s="302"/>
      <c r="BB178" s="252">
        <v>-0.65800000000000003</v>
      </c>
      <c r="BC178" s="151"/>
      <c r="BD178" s="90"/>
      <c r="BE178" s="72"/>
      <c r="BF178" s="151"/>
      <c r="BG178" s="72"/>
      <c r="BH178" s="125"/>
      <c r="BI178" s="125"/>
      <c r="BJ178" s="72"/>
      <c r="BK178" s="151"/>
      <c r="BL178" s="72"/>
      <c r="BM178" s="72"/>
      <c r="BN178" s="90"/>
      <c r="BO178" s="90"/>
      <c r="BP178" s="125"/>
      <c r="BQ178" s="72"/>
      <c r="BR178" s="125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</row>
    <row r="179" spans="1:85" x14ac:dyDescent="0.2">
      <c r="A179" s="354">
        <v>41365</v>
      </c>
      <c r="B179" s="277">
        <v>3.887</v>
      </c>
      <c r="C179" s="312">
        <v>-0.75800000000000001</v>
      </c>
      <c r="D179" s="188">
        <v>-0.66690536626396568</v>
      </c>
      <c r="E179" s="188">
        <v>-0.68792720481843528</v>
      </c>
      <c r="F179" s="285">
        <v>0.125</v>
      </c>
      <c r="G179" s="286">
        <v>0.125</v>
      </c>
      <c r="H179" s="286">
        <v>0.16</v>
      </c>
      <c r="I179" s="287">
        <v>0.12</v>
      </c>
      <c r="J179" s="286">
        <v>0.04</v>
      </c>
      <c r="K179" s="286">
        <v>0.11</v>
      </c>
      <c r="L179" s="286">
        <v>0.48</v>
      </c>
      <c r="M179" s="285">
        <v>-0.22</v>
      </c>
      <c r="N179" s="286">
        <v>0.43</v>
      </c>
      <c r="O179" s="287">
        <v>0</v>
      </c>
      <c r="P179" s="239">
        <v>-0.25</v>
      </c>
      <c r="Q179" s="215">
        <v>0.16250000000000001</v>
      </c>
      <c r="R179" s="291">
        <v>0.17</v>
      </c>
      <c r="S179" s="194">
        <v>0.17</v>
      </c>
      <c r="T179" s="107">
        <v>0.4</v>
      </c>
      <c r="U179" s="308">
        <v>0.17</v>
      </c>
      <c r="V179" s="61">
        <v>3.129</v>
      </c>
      <c r="W179" s="61">
        <v>3.2200946337360343</v>
      </c>
      <c r="X179" s="197">
        <v>3.1990727951815647</v>
      </c>
      <c r="Y179" s="62"/>
      <c r="Z179" s="281">
        <v>0.13</v>
      </c>
      <c r="AA179" s="296">
        <v>0.1</v>
      </c>
      <c r="AB179" s="301">
        <v>4.465356336781598</v>
      </c>
      <c r="AC179" s="145">
        <v>4.5953563367815979</v>
      </c>
      <c r="AD179" s="197">
        <v>4.5653563367815977</v>
      </c>
      <c r="AE179" s="238">
        <v>3.637</v>
      </c>
      <c r="AF179" s="133">
        <v>3.6669999999999998</v>
      </c>
      <c r="AG179" s="202">
        <v>3.887</v>
      </c>
      <c r="AH179" s="242">
        <v>-0.1</v>
      </c>
      <c r="AI179" s="283">
        <v>1.50565707742392</v>
      </c>
      <c r="AJ179" s="88">
        <v>6.2146193189158302E-2</v>
      </c>
      <c r="AK179" s="88">
        <v>6.2804233976916396E-2</v>
      </c>
      <c r="AL179" s="90">
        <v>0.48683746007106754</v>
      </c>
      <c r="AM179" s="204">
        <v>0.48319727574890309</v>
      </c>
      <c r="AN179" s="184">
        <v>0.125</v>
      </c>
      <c r="AO179" s="205">
        <v>0.124</v>
      </c>
      <c r="AP179" s="72"/>
      <c r="AQ179" s="184">
        <v>-3.8469564943563128</v>
      </c>
      <c r="AR179" s="206">
        <v>-3.0889564943563128</v>
      </c>
      <c r="AS179" s="72"/>
      <c r="AT179" s="273">
        <v>7.4999999999999997E-3</v>
      </c>
      <c r="AU179" s="72"/>
      <c r="AV179" s="184">
        <v>2.5000000000000001E-3</v>
      </c>
      <c r="AW179" s="72"/>
      <c r="AX179" s="72">
        <v>-0.105</v>
      </c>
      <c r="AY179" s="90"/>
      <c r="AZ179" s="302">
        <v>0.4</v>
      </c>
      <c r="BA179" s="302"/>
      <c r="BB179" s="252">
        <v>-0.75800000000000001</v>
      </c>
      <c r="BC179" s="151"/>
      <c r="BD179" s="90"/>
      <c r="BE179" s="72"/>
      <c r="BF179" s="151"/>
      <c r="BG179" s="72"/>
      <c r="BH179" s="125"/>
      <c r="BI179" s="125"/>
      <c r="BJ179" s="72"/>
      <c r="BK179" s="151"/>
      <c r="BL179" s="72"/>
      <c r="BM179" s="72"/>
      <c r="BN179" s="90"/>
      <c r="BO179" s="90"/>
      <c r="BP179" s="125"/>
      <c r="BQ179" s="72"/>
      <c r="BR179" s="125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</row>
    <row r="180" spans="1:85" x14ac:dyDescent="0.2">
      <c r="A180" s="354">
        <v>41395</v>
      </c>
      <c r="B180" s="277">
        <v>3.8770000000000002</v>
      </c>
      <c r="C180" s="311">
        <v>-0.75800000000000001</v>
      </c>
      <c r="D180" s="188">
        <v>-0.66690787589220424</v>
      </c>
      <c r="E180" s="188">
        <v>-0.68792913530169564</v>
      </c>
      <c r="F180" s="285">
        <v>0.125</v>
      </c>
      <c r="G180" s="286">
        <v>0.125</v>
      </c>
      <c r="H180" s="286">
        <v>0.16</v>
      </c>
      <c r="I180" s="287">
        <v>0.12</v>
      </c>
      <c r="J180" s="286">
        <v>0.04</v>
      </c>
      <c r="K180" s="286">
        <v>0.11</v>
      </c>
      <c r="L180" s="286">
        <v>0.42</v>
      </c>
      <c r="M180" s="285">
        <v>-0.27</v>
      </c>
      <c r="N180" s="286">
        <v>0.43</v>
      </c>
      <c r="O180" s="287">
        <v>0</v>
      </c>
      <c r="P180" s="239">
        <v>-0.1</v>
      </c>
      <c r="Q180" s="215">
        <v>0.16250000000000001</v>
      </c>
      <c r="R180" s="291">
        <v>0.17</v>
      </c>
      <c r="S180" s="194">
        <v>0.17</v>
      </c>
      <c r="T180" s="107">
        <v>0.45</v>
      </c>
      <c r="U180" s="308">
        <v>0.17</v>
      </c>
      <c r="V180" s="61">
        <v>3.1190000000000002</v>
      </c>
      <c r="W180" s="61">
        <v>3.210092124107796</v>
      </c>
      <c r="X180" s="197">
        <v>3.1890708646983046</v>
      </c>
      <c r="Y180" s="62"/>
      <c r="Z180" s="281">
        <v>0.13</v>
      </c>
      <c r="AA180" s="296">
        <v>0.1</v>
      </c>
      <c r="AB180" s="301">
        <v>4.4512080925918358</v>
      </c>
      <c r="AC180" s="145">
        <v>4.5812080925918357</v>
      </c>
      <c r="AD180" s="197">
        <v>4.5512080925918355</v>
      </c>
      <c r="AE180" s="238">
        <v>3.7770000000000001</v>
      </c>
      <c r="AF180" s="133">
        <v>3.6070000000000002</v>
      </c>
      <c r="AG180" s="202">
        <v>3.8770000000000002</v>
      </c>
      <c r="AH180" s="242">
        <v>-0.1</v>
      </c>
      <c r="AI180" s="283">
        <v>1.50569855894119</v>
      </c>
      <c r="AJ180" s="88">
        <v>6.2185574453894603E-2</v>
      </c>
      <c r="AK180" s="88">
        <v>6.2836664436590098E-2</v>
      </c>
      <c r="AL180" s="90">
        <v>0.48417733326178497</v>
      </c>
      <c r="AM180" s="204">
        <v>0.48057027881625636</v>
      </c>
      <c r="AN180" s="184">
        <v>0.125</v>
      </c>
      <c r="AO180" s="205">
        <v>0.12</v>
      </c>
      <c r="AP180" s="72"/>
      <c r="AQ180" s="184">
        <v>-3.8369584240326557</v>
      </c>
      <c r="AR180" s="206">
        <v>-3.0789584240326557</v>
      </c>
      <c r="AS180" s="72"/>
      <c r="AT180" s="273">
        <v>7.4999999999999997E-3</v>
      </c>
      <c r="AU180" s="72"/>
      <c r="AV180" s="184">
        <v>2.5000000000000001E-3</v>
      </c>
      <c r="AW180" s="72"/>
      <c r="AX180" s="72">
        <v>-0.105</v>
      </c>
      <c r="AY180" s="90"/>
      <c r="AZ180" s="302">
        <v>0.45</v>
      </c>
      <c r="BA180" s="302"/>
      <c r="BB180" s="252">
        <v>-0.75800000000000001</v>
      </c>
      <c r="BC180" s="151"/>
      <c r="BD180" s="90"/>
      <c r="BE180" s="72"/>
      <c r="BF180" s="151"/>
      <c r="BG180" s="72"/>
      <c r="BH180" s="125"/>
      <c r="BI180" s="125"/>
      <c r="BJ180" s="72"/>
      <c r="BK180" s="151"/>
      <c r="BL180" s="72"/>
      <c r="BM180" s="72"/>
      <c r="BN180" s="90"/>
      <c r="BO180" s="90"/>
      <c r="BP180" s="125"/>
      <c r="BQ180" s="72"/>
      <c r="BR180" s="125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</row>
    <row r="181" spans="1:85" x14ac:dyDescent="0.2">
      <c r="A181" s="354">
        <v>41426</v>
      </c>
      <c r="B181" s="277">
        <v>3.9130000000000003</v>
      </c>
      <c r="C181" s="311">
        <v>-0.75800000000000001</v>
      </c>
      <c r="D181" s="188">
        <v>-0.66691057496249773</v>
      </c>
      <c r="E181" s="188">
        <v>-0.68793121150961412</v>
      </c>
      <c r="F181" s="285">
        <v>0.125</v>
      </c>
      <c r="G181" s="286">
        <v>0.125</v>
      </c>
      <c r="H181" s="286">
        <v>0.16</v>
      </c>
      <c r="I181" s="287">
        <v>0.12</v>
      </c>
      <c r="J181" s="286">
        <v>0.04</v>
      </c>
      <c r="K181" s="286">
        <v>0.11</v>
      </c>
      <c r="L181" s="286">
        <v>0.42</v>
      </c>
      <c r="M181" s="285">
        <v>-0.27</v>
      </c>
      <c r="N181" s="286">
        <v>0.43</v>
      </c>
      <c r="O181" s="287">
        <v>0</v>
      </c>
      <c r="P181" s="239">
        <v>-0.1</v>
      </c>
      <c r="Q181" s="215">
        <v>0.16250000000000001</v>
      </c>
      <c r="R181" s="291">
        <v>0.17</v>
      </c>
      <c r="S181" s="194">
        <v>0.17</v>
      </c>
      <c r="T181" s="107">
        <v>0.45</v>
      </c>
      <c r="U181" s="308">
        <v>0.17</v>
      </c>
      <c r="V181" s="61">
        <v>3.1549999999999998</v>
      </c>
      <c r="W181" s="61">
        <v>3.2460894250375025</v>
      </c>
      <c r="X181" s="197">
        <v>3.2250687884903861</v>
      </c>
      <c r="Y181" s="62"/>
      <c r="Z181" s="281">
        <v>0.13</v>
      </c>
      <c r="AA181" s="296">
        <v>0.1</v>
      </c>
      <c r="AB181" s="301">
        <v>4.5027180688772406</v>
      </c>
      <c r="AC181" s="145">
        <v>4.6327180688772405</v>
      </c>
      <c r="AD181" s="197">
        <v>4.6027180688772402</v>
      </c>
      <c r="AE181" s="238">
        <v>3.8130000000000002</v>
      </c>
      <c r="AF181" s="133">
        <v>3.6430000000000002</v>
      </c>
      <c r="AG181" s="202">
        <v>3.9130000000000003</v>
      </c>
      <c r="AH181" s="242">
        <v>-0.1</v>
      </c>
      <c r="AI181" s="283">
        <v>1.5057431742875897</v>
      </c>
      <c r="AJ181" s="88">
        <v>6.2226268427995696E-2</v>
      </c>
      <c r="AK181" s="88">
        <v>6.2870175911953208E-2</v>
      </c>
      <c r="AL181" s="90">
        <v>0.48144063568519646</v>
      </c>
      <c r="AM181" s="204">
        <v>0.47786812854822736</v>
      </c>
      <c r="AN181" s="184">
        <v>0.125</v>
      </c>
      <c r="AO181" s="205">
        <v>0.124</v>
      </c>
      <c r="AP181" s="72"/>
      <c r="AQ181" s="184">
        <v>-3.8729604993727453</v>
      </c>
      <c r="AR181" s="206">
        <v>-3.1149604993727453</v>
      </c>
      <c r="AS181" s="72"/>
      <c r="AT181" s="273">
        <v>7.4999999999999997E-3</v>
      </c>
      <c r="AU181" s="72"/>
      <c r="AV181" s="184">
        <v>2.5000000000000001E-3</v>
      </c>
      <c r="AW181" s="72"/>
      <c r="AX181" s="72">
        <v>-0.105</v>
      </c>
      <c r="AY181" s="90"/>
      <c r="AZ181" s="302">
        <v>0.45</v>
      </c>
      <c r="BA181" s="302"/>
      <c r="BB181" s="252">
        <v>-0.75800000000000001</v>
      </c>
      <c r="BC181" s="151"/>
      <c r="BD181" s="90"/>
      <c r="BE181" s="72"/>
      <c r="BF181" s="151"/>
      <c r="BG181" s="72"/>
      <c r="BH181" s="125"/>
      <c r="BI181" s="125"/>
      <c r="BJ181" s="72"/>
      <c r="BK181" s="151"/>
      <c r="BL181" s="72"/>
      <c r="BM181" s="72"/>
      <c r="BN181" s="90"/>
      <c r="BO181" s="90"/>
      <c r="BP181" s="125"/>
      <c r="BQ181" s="72"/>
      <c r="BR181" s="125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</row>
    <row r="182" spans="1:85" x14ac:dyDescent="0.2">
      <c r="A182" s="354">
        <v>41456</v>
      </c>
      <c r="B182" s="277">
        <v>3.9550000000000001</v>
      </c>
      <c r="C182" s="311">
        <v>-0.75800000000000001</v>
      </c>
      <c r="D182" s="188">
        <v>-0.66691328932696381</v>
      </c>
      <c r="E182" s="188">
        <v>-0.68793329948227999</v>
      </c>
      <c r="F182" s="285">
        <v>0.125</v>
      </c>
      <c r="G182" s="286">
        <v>0.125</v>
      </c>
      <c r="H182" s="286">
        <v>0.16</v>
      </c>
      <c r="I182" s="287">
        <v>0.12</v>
      </c>
      <c r="J182" s="286">
        <v>0.04</v>
      </c>
      <c r="K182" s="286">
        <v>0.11</v>
      </c>
      <c r="L182" s="286">
        <v>0.48</v>
      </c>
      <c r="M182" s="285">
        <v>-0.27</v>
      </c>
      <c r="N182" s="286">
        <v>0.43</v>
      </c>
      <c r="O182" s="287">
        <v>0</v>
      </c>
      <c r="P182" s="239">
        <v>-0.1</v>
      </c>
      <c r="Q182" s="215">
        <v>0.16250000000000001</v>
      </c>
      <c r="R182" s="291">
        <v>0.17</v>
      </c>
      <c r="S182" s="194">
        <v>0.17</v>
      </c>
      <c r="T182" s="107">
        <v>0.5</v>
      </c>
      <c r="U182" s="308">
        <v>0.17</v>
      </c>
      <c r="V182" s="61">
        <v>3.1970000000000001</v>
      </c>
      <c r="W182" s="61">
        <v>3.2880867106730363</v>
      </c>
      <c r="X182" s="197">
        <v>3.2670667005177201</v>
      </c>
      <c r="Y182" s="62"/>
      <c r="Z182" s="281">
        <v>0.13</v>
      </c>
      <c r="AA182" s="296">
        <v>0.1</v>
      </c>
      <c r="AB182" s="301">
        <v>4.5627951314639992</v>
      </c>
      <c r="AC182" s="145">
        <v>4.6927951314639991</v>
      </c>
      <c r="AD182" s="197">
        <v>4.6627951314639988</v>
      </c>
      <c r="AE182" s="238">
        <v>3.855</v>
      </c>
      <c r="AF182" s="133">
        <v>3.6850000000000001</v>
      </c>
      <c r="AG182" s="202">
        <v>3.9550000000000001</v>
      </c>
      <c r="AH182" s="242">
        <v>-0.1</v>
      </c>
      <c r="AI182" s="283">
        <v>1.5057880451116299</v>
      </c>
      <c r="AJ182" s="88">
        <v>6.2265649693777902E-2</v>
      </c>
      <c r="AK182" s="88">
        <v>6.2902606372336106E-2</v>
      </c>
      <c r="AL182" s="90">
        <v>0.47880389781687355</v>
      </c>
      <c r="AM182" s="204">
        <v>0.4752651188434398</v>
      </c>
      <c r="AN182" s="184">
        <v>0.125</v>
      </c>
      <c r="AO182" s="205">
        <v>0.12</v>
      </c>
      <c r="AP182" s="72"/>
      <c r="AQ182" s="184">
        <v>-3.9149625864726652</v>
      </c>
      <c r="AR182" s="206">
        <v>-3.1569625864726651</v>
      </c>
      <c r="AS182" s="72"/>
      <c r="AT182" s="273">
        <v>7.4999999999999997E-3</v>
      </c>
      <c r="AU182" s="72"/>
      <c r="AV182" s="184">
        <v>2.5000000000000001E-3</v>
      </c>
      <c r="AW182" s="72"/>
      <c r="AX182" s="72">
        <v>-0.105</v>
      </c>
      <c r="AY182" s="90"/>
      <c r="AZ182" s="302">
        <v>0.5</v>
      </c>
      <c r="BA182" s="302"/>
      <c r="BB182" s="252">
        <v>-0.75800000000000001</v>
      </c>
      <c r="BC182" s="151"/>
      <c r="BD182" s="90"/>
      <c r="BE182" s="72"/>
      <c r="BF182" s="151"/>
      <c r="BG182" s="72"/>
      <c r="BH182" s="125"/>
      <c r="BI182" s="125"/>
      <c r="BJ182" s="72"/>
      <c r="BK182" s="151"/>
      <c r="BL182" s="72"/>
      <c r="BM182" s="72"/>
      <c r="BN182" s="90"/>
      <c r="BO182" s="90"/>
      <c r="BP182" s="125"/>
      <c r="BQ182" s="72"/>
      <c r="BR182" s="125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</row>
    <row r="183" spans="1:85" x14ac:dyDescent="0.2">
      <c r="A183" s="354">
        <v>41487</v>
      </c>
      <c r="B183" s="277">
        <v>4.0040000000000004</v>
      </c>
      <c r="C183" s="311">
        <v>-0.75800000000000001</v>
      </c>
      <c r="D183" s="188">
        <v>-0.66691619992791606</v>
      </c>
      <c r="E183" s="188">
        <v>-0.68793553840608901</v>
      </c>
      <c r="F183" s="285">
        <v>0.125</v>
      </c>
      <c r="G183" s="286">
        <v>0.125</v>
      </c>
      <c r="H183" s="286">
        <v>0.16</v>
      </c>
      <c r="I183" s="287">
        <v>0.12</v>
      </c>
      <c r="J183" s="286">
        <v>0.04</v>
      </c>
      <c r="K183" s="286">
        <v>0.11</v>
      </c>
      <c r="L183" s="286">
        <v>0.48</v>
      </c>
      <c r="M183" s="285">
        <v>-0.27</v>
      </c>
      <c r="N183" s="286">
        <v>0.43</v>
      </c>
      <c r="O183" s="287">
        <v>0</v>
      </c>
      <c r="P183" s="239">
        <v>-0.1</v>
      </c>
      <c r="Q183" s="215">
        <v>0.16250000000000001</v>
      </c>
      <c r="R183" s="291">
        <v>0.17</v>
      </c>
      <c r="S183" s="194">
        <v>0.17</v>
      </c>
      <c r="T183" s="107">
        <v>0.55000000000000004</v>
      </c>
      <c r="U183" s="308">
        <v>0.17</v>
      </c>
      <c r="V183" s="61">
        <v>3.2460000000000004</v>
      </c>
      <c r="W183" s="61">
        <v>3.3370838000720844</v>
      </c>
      <c r="X183" s="197">
        <v>3.3160644615939114</v>
      </c>
      <c r="Y183" s="62"/>
      <c r="Z183" s="281">
        <v>0.13</v>
      </c>
      <c r="AA183" s="296">
        <v>0.1</v>
      </c>
      <c r="AB183" s="301">
        <v>4.6328765342030307</v>
      </c>
      <c r="AC183" s="145">
        <v>4.7628765342030306</v>
      </c>
      <c r="AD183" s="197">
        <v>4.7328765342030303</v>
      </c>
      <c r="AE183" s="238">
        <v>3.9040000000000004</v>
      </c>
      <c r="AF183" s="133">
        <v>3.7340000000000004</v>
      </c>
      <c r="AG183" s="202">
        <v>4.0040000000000004</v>
      </c>
      <c r="AH183" s="242">
        <v>-0.1</v>
      </c>
      <c r="AI183" s="283">
        <v>1.50583616286818</v>
      </c>
      <c r="AJ183" s="88">
        <v>6.2306343668960804E-2</v>
      </c>
      <c r="AK183" s="88">
        <v>6.2936117848432407E-2</v>
      </c>
      <c r="AL183" s="90">
        <v>0.47609130504536357</v>
      </c>
      <c r="AM183" s="204">
        <v>0.47258767565221871</v>
      </c>
      <c r="AN183" s="184">
        <v>0.125</v>
      </c>
      <c r="AO183" s="205">
        <v>0.12</v>
      </c>
      <c r="AP183" s="72"/>
      <c r="AQ183" s="184">
        <v>-3.9639648244606325</v>
      </c>
      <c r="AR183" s="206">
        <v>-3.2059648244606325</v>
      </c>
      <c r="AS183" s="72"/>
      <c r="AT183" s="273">
        <v>7.4999999999999997E-3</v>
      </c>
      <c r="AU183" s="72"/>
      <c r="AV183" s="184">
        <v>2.5000000000000001E-3</v>
      </c>
      <c r="AW183" s="72"/>
      <c r="AX183" s="72">
        <v>-0.105</v>
      </c>
      <c r="AY183" s="90"/>
      <c r="AZ183" s="302">
        <v>0.55000000000000004</v>
      </c>
      <c r="BA183" s="302"/>
      <c r="BB183" s="252">
        <v>-0.75800000000000001</v>
      </c>
      <c r="BC183" s="151"/>
      <c r="BD183" s="90"/>
      <c r="BE183" s="72"/>
      <c r="BF183" s="151"/>
      <c r="BG183" s="72"/>
      <c r="BH183" s="125"/>
      <c r="BI183" s="125"/>
      <c r="BJ183" s="72"/>
      <c r="BK183" s="151"/>
      <c r="BL183" s="72"/>
      <c r="BM183" s="72"/>
      <c r="BN183" s="90"/>
      <c r="BO183" s="90"/>
      <c r="BP183" s="125"/>
      <c r="BQ183" s="72"/>
      <c r="BR183" s="125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</row>
    <row r="184" spans="1:85" x14ac:dyDescent="0.2">
      <c r="A184" s="354">
        <v>41518</v>
      </c>
      <c r="B184" s="277">
        <v>4.0190000000000001</v>
      </c>
      <c r="C184" s="311">
        <v>-0.75800000000000001</v>
      </c>
      <c r="D184" s="188">
        <v>-0.6669192180043293</v>
      </c>
      <c r="E184" s="188">
        <v>-0.68793786000333013</v>
      </c>
      <c r="F184" s="285">
        <v>0.125</v>
      </c>
      <c r="G184" s="286">
        <v>0.125</v>
      </c>
      <c r="H184" s="286">
        <v>0.16</v>
      </c>
      <c r="I184" s="287">
        <v>0.12</v>
      </c>
      <c r="J184" s="286">
        <v>0.04</v>
      </c>
      <c r="K184" s="286">
        <v>0.11</v>
      </c>
      <c r="L184" s="286">
        <v>0.44</v>
      </c>
      <c r="M184" s="285">
        <v>-0.27</v>
      </c>
      <c r="N184" s="286">
        <v>0.43</v>
      </c>
      <c r="O184" s="287">
        <v>0</v>
      </c>
      <c r="P184" s="239">
        <v>-0.1</v>
      </c>
      <c r="Q184" s="215">
        <v>0.16250000000000001</v>
      </c>
      <c r="R184" s="291">
        <v>0.17</v>
      </c>
      <c r="S184" s="194">
        <v>0.17</v>
      </c>
      <c r="T184" s="107">
        <v>0.55000000000000004</v>
      </c>
      <c r="U184" s="308">
        <v>0.17</v>
      </c>
      <c r="V184" s="61">
        <v>3.2610000000000001</v>
      </c>
      <c r="W184" s="61">
        <v>3.3520807819956708</v>
      </c>
      <c r="X184" s="197">
        <v>3.33106213999667</v>
      </c>
      <c r="Y184" s="62"/>
      <c r="Z184" s="281">
        <v>0.13</v>
      </c>
      <c r="AA184" s="296">
        <v>0.1</v>
      </c>
      <c r="AB184" s="301">
        <v>4.6544396162535318</v>
      </c>
      <c r="AC184" s="145">
        <v>4.7844396162535316</v>
      </c>
      <c r="AD184" s="197">
        <v>4.7544396162535314</v>
      </c>
      <c r="AE184" s="238">
        <v>3.919</v>
      </c>
      <c r="AF184" s="133">
        <v>3.7490000000000001</v>
      </c>
      <c r="AG184" s="202">
        <v>4.0190000000000001</v>
      </c>
      <c r="AH184" s="242">
        <v>-0.1</v>
      </c>
      <c r="AI184" s="283">
        <v>1.5058860606458098</v>
      </c>
      <c r="AJ184" s="88">
        <v>6.2347037644692606E-2</v>
      </c>
      <c r="AK184" s="88">
        <v>6.2969629324900897E-2</v>
      </c>
      <c r="AL184" s="90">
        <v>0.47339091327875316</v>
      </c>
      <c r="AM184" s="204">
        <v>0.46992272745080105</v>
      </c>
      <c r="AN184" s="184">
        <v>0.125</v>
      </c>
      <c r="AO184" s="205">
        <v>0.124</v>
      </c>
      <c r="AP184" s="72"/>
      <c r="AQ184" s="184">
        <v>-3.9789671450874766</v>
      </c>
      <c r="AR184" s="206">
        <v>-3.2209671450874766</v>
      </c>
      <c r="AS184" s="72"/>
      <c r="AT184" s="273">
        <v>7.4999999999999997E-3</v>
      </c>
      <c r="AU184" s="72"/>
      <c r="AV184" s="184">
        <v>2.5000000000000001E-3</v>
      </c>
      <c r="AW184" s="72"/>
      <c r="AX184" s="72">
        <v>-0.105</v>
      </c>
      <c r="AY184" s="90"/>
      <c r="AZ184" s="302">
        <v>0.55000000000000004</v>
      </c>
      <c r="BA184" s="302"/>
      <c r="BB184" s="252">
        <v>-0.75800000000000001</v>
      </c>
      <c r="BC184" s="151"/>
      <c r="BD184" s="90"/>
      <c r="BE184" s="72"/>
      <c r="BF184" s="151"/>
      <c r="BG184" s="72"/>
      <c r="BH184" s="125"/>
      <c r="BI184" s="125"/>
      <c r="BJ184" s="72"/>
      <c r="BK184" s="151"/>
      <c r="BL184" s="72"/>
      <c r="BM184" s="72"/>
      <c r="BN184" s="90"/>
      <c r="BO184" s="90"/>
      <c r="BP184" s="125"/>
      <c r="BQ184" s="72"/>
      <c r="BR184" s="125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</row>
    <row r="185" spans="1:85" x14ac:dyDescent="0.2">
      <c r="A185" s="354">
        <v>41548</v>
      </c>
      <c r="B185" s="277">
        <v>4.048</v>
      </c>
      <c r="C185" s="311">
        <v>-0.75800000000000001</v>
      </c>
      <c r="D185" s="188">
        <v>-0.66692224103886577</v>
      </c>
      <c r="E185" s="188">
        <v>-0.68794018541451241</v>
      </c>
      <c r="F185" s="285">
        <v>0.125</v>
      </c>
      <c r="G185" s="286">
        <v>0.125</v>
      </c>
      <c r="H185" s="286">
        <v>0.16</v>
      </c>
      <c r="I185" s="287">
        <v>0.12</v>
      </c>
      <c r="J185" s="286">
        <v>0.04</v>
      </c>
      <c r="K185" s="286">
        <v>0.11</v>
      </c>
      <c r="L185" s="286">
        <v>0.45</v>
      </c>
      <c r="M185" s="285">
        <v>-0.27</v>
      </c>
      <c r="N185" s="286">
        <v>0.43</v>
      </c>
      <c r="O185" s="287">
        <v>0</v>
      </c>
      <c r="P185" s="239">
        <v>-0.1</v>
      </c>
      <c r="Q185" s="215">
        <v>0.16250000000000001</v>
      </c>
      <c r="R185" s="291">
        <v>0.17</v>
      </c>
      <c r="S185" s="194">
        <v>0.17</v>
      </c>
      <c r="T185" s="107">
        <v>0.6</v>
      </c>
      <c r="U185" s="308">
        <v>0.17</v>
      </c>
      <c r="V185" s="61">
        <v>3.29</v>
      </c>
      <c r="W185" s="61">
        <v>3.3810777589611343</v>
      </c>
      <c r="X185" s="197">
        <v>3.3600598145854876</v>
      </c>
      <c r="Y185" s="62"/>
      <c r="Z185" s="281">
        <v>0.13</v>
      </c>
      <c r="AA185" s="296">
        <v>0.1</v>
      </c>
      <c r="AB185" s="301">
        <v>4.6959873066542324</v>
      </c>
      <c r="AC185" s="145">
        <v>4.8259873066542323</v>
      </c>
      <c r="AD185" s="197">
        <v>4.795987306654232</v>
      </c>
      <c r="AE185" s="238">
        <v>3.948</v>
      </c>
      <c r="AF185" s="133">
        <v>3.778</v>
      </c>
      <c r="AG185" s="202">
        <v>4.048</v>
      </c>
      <c r="AH185" s="242">
        <v>-0.1</v>
      </c>
      <c r="AI185" s="283">
        <v>1.50593604371106</v>
      </c>
      <c r="AJ185" s="88">
        <v>6.2386418912054001E-2</v>
      </c>
      <c r="AK185" s="88">
        <v>6.3002059786354508E-2</v>
      </c>
      <c r="AL185" s="90">
        <v>0.47078921674379315</v>
      </c>
      <c r="AM185" s="204">
        <v>0.46735560348383598</v>
      </c>
      <c r="AN185" s="184">
        <v>0.125</v>
      </c>
      <c r="AO185" s="205">
        <v>0.12</v>
      </c>
      <c r="AP185" s="72"/>
      <c r="AQ185" s="184">
        <v>-4.0079694695266657</v>
      </c>
      <c r="AR185" s="206">
        <v>-3.2499694695266657</v>
      </c>
      <c r="AS185" s="72"/>
      <c r="AT185" s="273">
        <v>7.4999999999999997E-3</v>
      </c>
      <c r="AU185" s="72"/>
      <c r="AV185" s="184">
        <v>2.5000000000000001E-3</v>
      </c>
      <c r="AW185" s="72"/>
      <c r="AX185" s="72">
        <v>-0.105</v>
      </c>
      <c r="AY185" s="90"/>
      <c r="AZ185" s="302">
        <v>0.6</v>
      </c>
      <c r="BA185" s="302"/>
      <c r="BB185" s="252">
        <v>-0.75800000000000001</v>
      </c>
      <c r="BC185" s="151"/>
      <c r="BD185" s="90"/>
      <c r="BE185" s="72"/>
      <c r="BF185" s="151"/>
      <c r="BG185" s="72"/>
      <c r="BH185" s="125"/>
      <c r="BI185" s="125"/>
      <c r="BJ185" s="72"/>
      <c r="BK185" s="151"/>
      <c r="BL185" s="72"/>
      <c r="BM185" s="72"/>
      <c r="BN185" s="90"/>
      <c r="BO185" s="90"/>
      <c r="BP185" s="125"/>
      <c r="BQ185" s="72"/>
      <c r="BR185" s="125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</row>
    <row r="186" spans="1:85" x14ac:dyDescent="0.2">
      <c r="A186" s="353">
        <v>41579</v>
      </c>
      <c r="B186" s="277">
        <v>4.1880000000000006</v>
      </c>
      <c r="C186" s="312">
        <v>-0.69799999999999995</v>
      </c>
      <c r="D186" s="188">
        <v>-0.60692547055074675</v>
      </c>
      <c r="E186" s="188">
        <v>-0.11</v>
      </c>
      <c r="F186" s="285">
        <v>0.185</v>
      </c>
      <c r="G186" s="286">
        <v>0.35</v>
      </c>
      <c r="H186" s="286">
        <v>0.30499999999999999</v>
      </c>
      <c r="I186" s="287">
        <v>0.40500000000000003</v>
      </c>
      <c r="J186" s="286">
        <v>0.14000000000000001</v>
      </c>
      <c r="K186" s="286">
        <v>0.17</v>
      </c>
      <c r="L186" s="286">
        <v>0.73</v>
      </c>
      <c r="M186" s="285">
        <v>-0.15</v>
      </c>
      <c r="N186" s="286">
        <v>0.35</v>
      </c>
      <c r="O186" s="287">
        <v>0</v>
      </c>
      <c r="P186" s="239">
        <v>0.248</v>
      </c>
      <c r="Q186" s="215">
        <v>0.16250000000000001</v>
      </c>
      <c r="R186" s="291">
        <v>0.17</v>
      </c>
      <c r="S186" s="194">
        <v>0.17</v>
      </c>
      <c r="T186" s="107">
        <v>0.8</v>
      </c>
      <c r="U186" s="308">
        <v>0.17</v>
      </c>
      <c r="V186" s="61">
        <v>3.49</v>
      </c>
      <c r="W186" s="61">
        <v>3.5810745294492539</v>
      </c>
      <c r="X186" s="197">
        <v>4.0780000000000003</v>
      </c>
      <c r="Y186" s="62"/>
      <c r="Z186" s="281">
        <v>0.13</v>
      </c>
      <c r="AA186" s="296">
        <v>0.83931259883799214</v>
      </c>
      <c r="AB186" s="301">
        <v>4.981634302626861</v>
      </c>
      <c r="AC186" s="145">
        <v>5.1116343026268609</v>
      </c>
      <c r="AD186" s="197">
        <v>5.8209469014648532</v>
      </c>
      <c r="AE186" s="238">
        <v>4.4360000000000008</v>
      </c>
      <c r="AF186" s="133">
        <v>4.0380000000000003</v>
      </c>
      <c r="AG186" s="202">
        <v>4.1880000000000006</v>
      </c>
      <c r="AH186" s="242">
        <v>-0.1</v>
      </c>
      <c r="AI186" s="283">
        <v>1.5059894443530901</v>
      </c>
      <c r="AJ186" s="88">
        <v>6.2427112888868E-2</v>
      </c>
      <c r="AK186" s="88">
        <v>6.3035571263556606E-2</v>
      </c>
      <c r="AL186" s="90">
        <v>0.46811273674879517</v>
      </c>
      <c r="AM186" s="204">
        <v>0.46471512215617899</v>
      </c>
      <c r="AN186" s="184">
        <v>0.35</v>
      </c>
      <c r="AO186" s="205">
        <v>0.124</v>
      </c>
      <c r="AP186" s="72"/>
      <c r="AQ186" s="184">
        <v>-3.6311734164003329</v>
      </c>
      <c r="AR186" s="206">
        <v>-2.9331734164003329</v>
      </c>
      <c r="AS186" s="72"/>
      <c r="AT186" s="273">
        <v>7.4999999999999997E-3</v>
      </c>
      <c r="AU186" s="72"/>
      <c r="AV186" s="184">
        <v>8.0000000000000002E-3</v>
      </c>
      <c r="AW186" s="72"/>
      <c r="AX186" s="72">
        <v>5.0000000000000001E-3</v>
      </c>
      <c r="AY186" s="90"/>
      <c r="AZ186" s="302">
        <v>0.8</v>
      </c>
      <c r="BA186" s="302"/>
      <c r="BB186" s="252">
        <v>-0.69799999999999995</v>
      </c>
      <c r="BC186" s="151"/>
      <c r="BD186" s="90"/>
      <c r="BE186" s="72"/>
      <c r="BF186" s="151"/>
      <c r="BG186" s="72"/>
      <c r="BH186" s="125"/>
      <c r="BI186" s="125"/>
      <c r="BJ186" s="72"/>
      <c r="BK186" s="151"/>
      <c r="BL186" s="72"/>
      <c r="BM186" s="72"/>
      <c r="BN186" s="90"/>
      <c r="BO186" s="90"/>
      <c r="BP186" s="125"/>
      <c r="BQ186" s="72"/>
      <c r="BR186" s="125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</row>
    <row r="187" spans="1:85" x14ac:dyDescent="0.2">
      <c r="A187" s="354">
        <v>41609</v>
      </c>
      <c r="B187" s="277">
        <v>4.3280000000000003</v>
      </c>
      <c r="C187" s="311">
        <v>-0.69799999999999995</v>
      </c>
      <c r="D187" s="188">
        <v>-0.60692869816830841</v>
      </c>
      <c r="E187" s="188">
        <v>-0.11</v>
      </c>
      <c r="F187" s="285">
        <v>0.185</v>
      </c>
      <c r="G187" s="286">
        <v>0.35</v>
      </c>
      <c r="H187" s="286">
        <v>0.30499999999999999</v>
      </c>
      <c r="I187" s="287">
        <v>0.40500000000000003</v>
      </c>
      <c r="J187" s="286">
        <v>0.14000000000000001</v>
      </c>
      <c r="K187" s="286">
        <v>0.17</v>
      </c>
      <c r="L187" s="286">
        <v>1.1399999999999999</v>
      </c>
      <c r="M187" s="285">
        <v>-0.15</v>
      </c>
      <c r="N187" s="286">
        <v>0.35</v>
      </c>
      <c r="O187" s="287">
        <v>0</v>
      </c>
      <c r="P187" s="239">
        <v>0.308</v>
      </c>
      <c r="Q187" s="215">
        <v>0.16250000000000001</v>
      </c>
      <c r="R187" s="291">
        <v>0.17</v>
      </c>
      <c r="S187" s="194">
        <v>0.17</v>
      </c>
      <c r="T187" s="107">
        <v>1</v>
      </c>
      <c r="U187" s="308">
        <v>0.17</v>
      </c>
      <c r="V187" s="61">
        <v>3.63</v>
      </c>
      <c r="W187" s="61">
        <v>3.7210713018316919</v>
      </c>
      <c r="X187" s="197">
        <v>4.218</v>
      </c>
      <c r="Y187" s="62"/>
      <c r="Z187" s="281">
        <v>0.13</v>
      </c>
      <c r="AA187" s="296">
        <v>0.83934234454305301</v>
      </c>
      <c r="AB187" s="301">
        <v>5.181654269883138</v>
      </c>
      <c r="AC187" s="145">
        <v>5.3116542698831379</v>
      </c>
      <c r="AD187" s="197">
        <v>6.0209966144261911</v>
      </c>
      <c r="AE187" s="238">
        <v>4.6360000000000001</v>
      </c>
      <c r="AF187" s="133">
        <v>4.1779999999999999</v>
      </c>
      <c r="AG187" s="202">
        <v>4.3280000000000003</v>
      </c>
      <c r="AH187" s="242">
        <v>-0.1</v>
      </c>
      <c r="AI187" s="283">
        <v>1.5060428174561498</v>
      </c>
      <c r="AJ187" s="88">
        <v>6.2466494157275197E-2</v>
      </c>
      <c r="AK187" s="88">
        <v>6.3068001725719497E-2</v>
      </c>
      <c r="AL187" s="90">
        <v>0.46553411849480603</v>
      </c>
      <c r="AM187" s="204">
        <v>0.46217159883973774</v>
      </c>
      <c r="AN187" s="184">
        <v>0.35</v>
      </c>
      <c r="AO187" s="205">
        <v>0.12</v>
      </c>
      <c r="AP187" s="72"/>
      <c r="AQ187" s="184">
        <v>-3.7711941742617432</v>
      </c>
      <c r="AR187" s="206">
        <v>-3.0731941742617432</v>
      </c>
      <c r="AS187" s="72"/>
      <c r="AT187" s="273">
        <v>7.4999999999999997E-3</v>
      </c>
      <c r="AU187" s="72"/>
      <c r="AV187" s="184">
        <v>8.0000000000000002E-3</v>
      </c>
      <c r="AW187" s="72"/>
      <c r="AX187" s="72">
        <v>0.01</v>
      </c>
      <c r="AY187" s="90"/>
      <c r="AZ187" s="302">
        <v>1</v>
      </c>
      <c r="BA187" s="302"/>
      <c r="BB187" s="252">
        <v>-0.69799999999999995</v>
      </c>
      <c r="BC187" s="151"/>
      <c r="BD187" s="90"/>
      <c r="BE187" s="72"/>
      <c r="BF187" s="151"/>
      <c r="BG187" s="72"/>
      <c r="BH187" s="125"/>
      <c r="BI187" s="125"/>
      <c r="BJ187" s="72"/>
      <c r="BK187" s="151"/>
      <c r="BL187" s="72"/>
      <c r="BM187" s="72"/>
      <c r="BN187" s="90"/>
      <c r="BO187" s="90"/>
      <c r="BP187" s="125"/>
      <c r="BQ187" s="72"/>
      <c r="BR187" s="125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</row>
    <row r="188" spans="1:85" x14ac:dyDescent="0.2">
      <c r="A188" s="354">
        <v>41640</v>
      </c>
      <c r="B188" s="277">
        <v>4.4380000000000006</v>
      </c>
      <c r="C188" s="311">
        <v>-0.69799999999999995</v>
      </c>
      <c r="D188" s="188">
        <v>-0.6069321390489173</v>
      </c>
      <c r="E188" s="188">
        <v>-0.11</v>
      </c>
      <c r="F188" s="285">
        <v>0.185</v>
      </c>
      <c r="G188" s="286">
        <v>0.35</v>
      </c>
      <c r="H188" s="286">
        <v>0.30499999999999999</v>
      </c>
      <c r="I188" s="287">
        <v>0.40500000000000003</v>
      </c>
      <c r="J188" s="286">
        <v>0.14000000000000001</v>
      </c>
      <c r="K188" s="286">
        <v>0.17</v>
      </c>
      <c r="L188" s="286">
        <v>1.63</v>
      </c>
      <c r="M188" s="285">
        <v>-0.15</v>
      </c>
      <c r="N188" s="286">
        <v>0.35</v>
      </c>
      <c r="O188" s="287">
        <v>0</v>
      </c>
      <c r="P188" s="239">
        <v>0.37800000000000006</v>
      </c>
      <c r="Q188" s="215">
        <v>0.16250000000000001</v>
      </c>
      <c r="R188" s="291">
        <v>0.17</v>
      </c>
      <c r="S188" s="194">
        <v>0.17</v>
      </c>
      <c r="T188" s="107">
        <v>1</v>
      </c>
      <c r="U188" s="308">
        <v>0.17</v>
      </c>
      <c r="V188" s="61">
        <v>3.74</v>
      </c>
      <c r="W188" s="61">
        <v>3.8310678609510833</v>
      </c>
      <c r="X188" s="197">
        <v>4.3280000000000003</v>
      </c>
      <c r="Y188" s="62"/>
      <c r="Z188" s="281">
        <v>0.13</v>
      </c>
      <c r="AA188" s="296">
        <v>0.83937405800120324</v>
      </c>
      <c r="AB188" s="301">
        <v>5.3388758110960914</v>
      </c>
      <c r="AC188" s="145">
        <v>5.4688758110960913</v>
      </c>
      <c r="AD188" s="197">
        <v>6.1782498690972947</v>
      </c>
      <c r="AE188" s="238">
        <v>4.8160000000000007</v>
      </c>
      <c r="AF188" s="133">
        <v>4.2880000000000003</v>
      </c>
      <c r="AG188" s="202">
        <v>4.4380000000000006</v>
      </c>
      <c r="AH188" s="242">
        <v>-0.1</v>
      </c>
      <c r="AI188" s="283">
        <v>1.5060997213240099</v>
      </c>
      <c r="AJ188" s="88">
        <v>6.2507188135170602E-2</v>
      </c>
      <c r="AK188" s="88">
        <v>6.31015132036543E-2</v>
      </c>
      <c r="AL188" s="90">
        <v>0.46288142173583907</v>
      </c>
      <c r="AM188" s="204">
        <v>0.45955542536744171</v>
      </c>
      <c r="AN188" s="184">
        <v>0.35</v>
      </c>
      <c r="AO188" s="205">
        <v>0.12</v>
      </c>
      <c r="AP188" s="72"/>
      <c r="AQ188" s="184">
        <v>-3.8812158328046795</v>
      </c>
      <c r="AR188" s="206">
        <v>-3.1832158328046796</v>
      </c>
      <c r="AS188" s="72"/>
      <c r="AT188" s="273">
        <v>7.4999999999999997E-3</v>
      </c>
      <c r="AU188" s="72"/>
      <c r="AV188" s="184">
        <v>8.0000000000000002E-3</v>
      </c>
      <c r="AW188" s="72"/>
      <c r="AX188" s="72">
        <v>0.03</v>
      </c>
      <c r="AY188" s="90"/>
      <c r="AZ188" s="302">
        <v>1</v>
      </c>
      <c r="BA188" s="302"/>
      <c r="BB188" s="252">
        <v>-0.69799999999999995</v>
      </c>
      <c r="BC188" s="151"/>
      <c r="BD188" s="90"/>
      <c r="BE188" s="72"/>
      <c r="BF188" s="151"/>
      <c r="BG188" s="72"/>
      <c r="BH188" s="125"/>
      <c r="BI188" s="125"/>
      <c r="BJ188" s="72"/>
      <c r="BK188" s="151"/>
      <c r="BL188" s="72"/>
      <c r="BM188" s="72"/>
      <c r="BN188" s="90"/>
      <c r="BO188" s="90"/>
      <c r="BP188" s="125"/>
      <c r="BQ188" s="72"/>
      <c r="BR188" s="125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</row>
    <row r="189" spans="1:85" x14ac:dyDescent="0.2">
      <c r="A189" s="354">
        <v>41671</v>
      </c>
      <c r="B189" s="277">
        <v>4.32</v>
      </c>
      <c r="C189" s="311">
        <v>-0.69799999999999995</v>
      </c>
      <c r="D189" s="188">
        <v>-0.60693568731991698</v>
      </c>
      <c r="E189" s="188">
        <v>-0.11</v>
      </c>
      <c r="F189" s="285">
        <v>0.185</v>
      </c>
      <c r="G189" s="286">
        <v>0.35</v>
      </c>
      <c r="H189" s="286">
        <v>0.30499999999999999</v>
      </c>
      <c r="I189" s="287">
        <v>0.40500000000000003</v>
      </c>
      <c r="J189" s="286">
        <v>0.14000000000000001</v>
      </c>
      <c r="K189" s="286">
        <v>0.17</v>
      </c>
      <c r="L189" s="286">
        <v>1.63</v>
      </c>
      <c r="M189" s="285">
        <v>-0.15</v>
      </c>
      <c r="N189" s="286">
        <v>0.35</v>
      </c>
      <c r="O189" s="287">
        <v>0</v>
      </c>
      <c r="P189" s="239">
        <v>0.248</v>
      </c>
      <c r="Q189" s="215">
        <v>0.16250000000000001</v>
      </c>
      <c r="R189" s="291">
        <v>0.17</v>
      </c>
      <c r="S189" s="194">
        <v>0.17</v>
      </c>
      <c r="T189" s="107">
        <v>1</v>
      </c>
      <c r="U189" s="308">
        <v>0.17</v>
      </c>
      <c r="V189" s="61">
        <v>3.6220000000000003</v>
      </c>
      <c r="W189" s="61">
        <v>3.7130643126800833</v>
      </c>
      <c r="X189" s="197">
        <v>4.21</v>
      </c>
      <c r="Y189" s="62"/>
      <c r="Z189" s="281">
        <v>0.13</v>
      </c>
      <c r="AA189" s="296">
        <v>0.83940676375102363</v>
      </c>
      <c r="AB189" s="301">
        <v>5.1706314597044365</v>
      </c>
      <c r="AC189" s="145">
        <v>5.3006314597044364</v>
      </c>
      <c r="AD189" s="197">
        <v>6.0100382234554601</v>
      </c>
      <c r="AE189" s="238">
        <v>4.5680000000000005</v>
      </c>
      <c r="AF189" s="133">
        <v>4.17</v>
      </c>
      <c r="AG189" s="202">
        <v>4.32</v>
      </c>
      <c r="AH189" s="242">
        <v>-0.1</v>
      </c>
      <c r="AI189" s="283">
        <v>1.5061584056736399</v>
      </c>
      <c r="AJ189" s="88">
        <v>6.2547882113615005E-2</v>
      </c>
      <c r="AK189" s="88">
        <v>6.3135024681962207E-2</v>
      </c>
      <c r="AL189" s="90">
        <v>0.4602407621473586</v>
      </c>
      <c r="AM189" s="204">
        <v>0.45695154419372969</v>
      </c>
      <c r="AN189" s="184">
        <v>0.35</v>
      </c>
      <c r="AO189" s="205">
        <v>0.13300000000000001</v>
      </c>
      <c r="AP189" s="72"/>
      <c r="AQ189" s="184">
        <v>-3.7632377034907463</v>
      </c>
      <c r="AR189" s="206">
        <v>-3.0652377034907463</v>
      </c>
      <c r="AS189" s="72"/>
      <c r="AT189" s="273">
        <v>7.4999999999999997E-3</v>
      </c>
      <c r="AU189" s="72"/>
      <c r="AV189" s="184">
        <v>8.0000000000000002E-3</v>
      </c>
      <c r="AW189" s="72"/>
      <c r="AX189" s="72">
        <v>2.5000000000000001E-2</v>
      </c>
      <c r="AY189" s="90"/>
      <c r="AZ189" s="302">
        <v>1</v>
      </c>
      <c r="BA189" s="302"/>
      <c r="BB189" s="252">
        <v>-0.69799999999999995</v>
      </c>
      <c r="BC189" s="151"/>
      <c r="BD189" s="90"/>
      <c r="BE189" s="72"/>
      <c r="BF189" s="151"/>
      <c r="BG189" s="72"/>
      <c r="BH189" s="125"/>
      <c r="BI189" s="125"/>
      <c r="BJ189" s="72"/>
      <c r="BK189" s="151"/>
      <c r="BL189" s="72"/>
      <c r="BM189" s="72"/>
      <c r="BN189" s="90"/>
      <c r="BO189" s="90"/>
      <c r="BP189" s="125"/>
      <c r="BQ189" s="72"/>
      <c r="BR189" s="125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</row>
    <row r="190" spans="1:85" x14ac:dyDescent="0.2">
      <c r="A190" s="354">
        <v>41699</v>
      </c>
      <c r="B190" s="277">
        <v>4.1870000000000003</v>
      </c>
      <c r="C190" s="311">
        <v>-0.69799999999999995</v>
      </c>
      <c r="D190" s="188">
        <v>-0.60693898449892325</v>
      </c>
      <c r="E190" s="188">
        <v>-0.11</v>
      </c>
      <c r="F190" s="285">
        <v>0.185</v>
      </c>
      <c r="G190" s="286">
        <v>0.35</v>
      </c>
      <c r="H190" s="286">
        <v>0.30499999999999999</v>
      </c>
      <c r="I190" s="287">
        <v>0.40500000000000003</v>
      </c>
      <c r="J190" s="286">
        <v>0.14000000000000001</v>
      </c>
      <c r="K190" s="286">
        <v>0.17</v>
      </c>
      <c r="L190" s="286">
        <v>0.72</v>
      </c>
      <c r="M190" s="285">
        <v>-0.15</v>
      </c>
      <c r="N190" s="286">
        <v>0.35</v>
      </c>
      <c r="O190" s="287">
        <v>0</v>
      </c>
      <c r="P190" s="239">
        <v>6.8000000000000005E-2</v>
      </c>
      <c r="Q190" s="215">
        <v>0.16250000000000001</v>
      </c>
      <c r="R190" s="291">
        <v>0.17</v>
      </c>
      <c r="S190" s="194">
        <v>0.17</v>
      </c>
      <c r="T190" s="107">
        <v>0.75</v>
      </c>
      <c r="U190" s="308">
        <v>0.17</v>
      </c>
      <c r="V190" s="61">
        <v>3.4890000000000003</v>
      </c>
      <c r="W190" s="61">
        <v>3.580061015501077</v>
      </c>
      <c r="X190" s="197">
        <v>4.077</v>
      </c>
      <c r="Y190" s="62"/>
      <c r="Z190" s="281">
        <v>0.13</v>
      </c>
      <c r="AA190" s="296">
        <v>0.83943715737604574</v>
      </c>
      <c r="AB190" s="301">
        <v>4.9809459899405182</v>
      </c>
      <c r="AC190" s="145">
        <v>5.1109459899405181</v>
      </c>
      <c r="AD190" s="197">
        <v>5.8203831473165639</v>
      </c>
      <c r="AE190" s="238">
        <v>4.2549999999999999</v>
      </c>
      <c r="AF190" s="133">
        <v>4.0369999999999999</v>
      </c>
      <c r="AG190" s="202">
        <v>4.1870000000000003</v>
      </c>
      <c r="AH190" s="242">
        <v>-0.1</v>
      </c>
      <c r="AI190" s="283">
        <v>1.5062129413478598</v>
      </c>
      <c r="AJ190" s="88">
        <v>6.2584637965585901E-2</v>
      </c>
      <c r="AK190" s="88">
        <v>6.3165293114301899E-2</v>
      </c>
      <c r="AL190" s="90">
        <v>0.45786596872161178</v>
      </c>
      <c r="AM190" s="204">
        <v>0.45461018292106947</v>
      </c>
      <c r="AN190" s="184">
        <v>0.35</v>
      </c>
      <c r="AO190" s="205">
        <v>0.12</v>
      </c>
      <c r="AP190" s="72"/>
      <c r="AQ190" s="184">
        <v>-3.6302576399734074</v>
      </c>
      <c r="AR190" s="206">
        <v>-2.9322576399734075</v>
      </c>
      <c r="AS190" s="72"/>
      <c r="AT190" s="273">
        <v>7.4999999999999997E-3</v>
      </c>
      <c r="AU190" s="72"/>
      <c r="AV190" s="184">
        <v>8.0000000000000002E-3</v>
      </c>
      <c r="AW190" s="72"/>
      <c r="AX190" s="72">
        <v>5.0000000000000001E-3</v>
      </c>
      <c r="AY190" s="90"/>
      <c r="AZ190" s="302">
        <v>0.75</v>
      </c>
      <c r="BA190" s="302"/>
      <c r="BB190" s="252">
        <v>-0.69799999999999995</v>
      </c>
      <c r="BC190" s="151"/>
      <c r="BD190" s="90"/>
      <c r="BE190" s="72"/>
      <c r="BF190" s="151"/>
      <c r="BG190" s="72"/>
      <c r="BH190" s="125"/>
      <c r="BI190" s="125"/>
      <c r="BJ190" s="72"/>
      <c r="BK190" s="151"/>
      <c r="BL190" s="72"/>
      <c r="BM190" s="72"/>
      <c r="BN190" s="90"/>
      <c r="BO190" s="90"/>
      <c r="BP190" s="125"/>
      <c r="BQ190" s="72"/>
      <c r="BR190" s="125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</row>
    <row r="191" spans="1:85" x14ac:dyDescent="0.2">
      <c r="A191" s="354">
        <v>41730</v>
      </c>
      <c r="B191" s="277">
        <v>3.9670000000000001</v>
      </c>
      <c r="C191" s="312">
        <v>-0.79800000000000004</v>
      </c>
      <c r="D191" s="188">
        <v>-0.70694273710705025</v>
      </c>
      <c r="E191" s="188">
        <v>-0.72795595162080806</v>
      </c>
      <c r="F191" s="285">
        <v>0.125</v>
      </c>
      <c r="G191" s="286">
        <v>0.125</v>
      </c>
      <c r="H191" s="286">
        <v>0.16</v>
      </c>
      <c r="I191" s="287">
        <v>0.12</v>
      </c>
      <c r="J191" s="286">
        <v>0.04</v>
      </c>
      <c r="K191" s="286">
        <v>0.11</v>
      </c>
      <c r="L191" s="286">
        <v>0.48</v>
      </c>
      <c r="M191" s="285">
        <v>-0.22</v>
      </c>
      <c r="N191" s="286">
        <v>0.43</v>
      </c>
      <c r="O191" s="287">
        <v>0</v>
      </c>
      <c r="P191" s="239">
        <v>-0.25</v>
      </c>
      <c r="Q191" s="215">
        <v>0.16250000000000001</v>
      </c>
      <c r="R191" s="291">
        <v>0.17</v>
      </c>
      <c r="S191" s="194">
        <v>0.17</v>
      </c>
      <c r="T191" s="107">
        <v>0.4</v>
      </c>
      <c r="U191" s="308">
        <v>0.17</v>
      </c>
      <c r="V191" s="61">
        <v>3.169</v>
      </c>
      <c r="W191" s="61">
        <v>3.2600572628929498</v>
      </c>
      <c r="X191" s="197">
        <v>3.239044048379192</v>
      </c>
      <c r="Y191" s="62"/>
      <c r="Z191" s="281">
        <v>0.13</v>
      </c>
      <c r="AA191" s="296">
        <v>0.1</v>
      </c>
      <c r="AB191" s="301">
        <v>4.5242958871312311</v>
      </c>
      <c r="AC191" s="145">
        <v>4.654295887131231</v>
      </c>
      <c r="AD191" s="197">
        <v>4.6242958871312307</v>
      </c>
      <c r="AE191" s="238">
        <v>3.7170000000000001</v>
      </c>
      <c r="AF191" s="133">
        <v>3.7469999999999999</v>
      </c>
      <c r="AG191" s="202">
        <v>3.9670000000000001</v>
      </c>
      <c r="AH191" s="242">
        <v>-0.1</v>
      </c>
      <c r="AI191" s="283">
        <v>1.50627501467123</v>
      </c>
      <c r="AJ191" s="88">
        <v>6.2625331945076509E-2</v>
      </c>
      <c r="AK191" s="88">
        <v>6.3198804593318503E-2</v>
      </c>
      <c r="AL191" s="90">
        <v>0.455248126390143</v>
      </c>
      <c r="AM191" s="204">
        <v>0.45202958355792011</v>
      </c>
      <c r="AN191" s="184">
        <v>0.125</v>
      </c>
      <c r="AO191" s="205">
        <v>0.124</v>
      </c>
      <c r="AP191" s="72"/>
      <c r="AQ191" s="184">
        <v>-3.9269852291428879</v>
      </c>
      <c r="AR191" s="206">
        <v>-3.1289852291428879</v>
      </c>
      <c r="AS191" s="72"/>
      <c r="AT191" s="273">
        <v>7.4999999999999997E-3</v>
      </c>
      <c r="AU191" s="72"/>
      <c r="AV191" s="184">
        <v>2.5000000000000001E-3</v>
      </c>
      <c r="AW191" s="72"/>
      <c r="AX191" s="72">
        <v>-0.105</v>
      </c>
      <c r="AY191" s="90"/>
      <c r="AZ191" s="302">
        <v>0.4</v>
      </c>
      <c r="BA191" s="302"/>
      <c r="BB191" s="252">
        <v>-0.79800000000000004</v>
      </c>
      <c r="BC191" s="151"/>
      <c r="BD191" s="90"/>
      <c r="BE191" s="72"/>
      <c r="BF191" s="151"/>
      <c r="BG191" s="72"/>
      <c r="BH191" s="125"/>
      <c r="BI191" s="125"/>
      <c r="BJ191" s="72"/>
      <c r="BK191" s="151"/>
      <c r="BL191" s="72"/>
      <c r="BM191" s="72"/>
      <c r="BN191" s="90"/>
      <c r="BO191" s="90"/>
      <c r="BP191" s="125"/>
      <c r="BQ191" s="72"/>
      <c r="BR191" s="125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</row>
    <row r="192" spans="1:85" x14ac:dyDescent="0.2">
      <c r="A192" s="354">
        <v>41760</v>
      </c>
      <c r="B192" s="277">
        <v>3.9570000000000003</v>
      </c>
      <c r="C192" s="311">
        <v>-0.79800000000000004</v>
      </c>
      <c r="D192" s="188">
        <v>-0.70694647086171125</v>
      </c>
      <c r="E192" s="188">
        <v>-0.72795882373977783</v>
      </c>
      <c r="F192" s="285">
        <v>0.125</v>
      </c>
      <c r="G192" s="286">
        <v>0.125</v>
      </c>
      <c r="H192" s="286">
        <v>0.16</v>
      </c>
      <c r="I192" s="287">
        <v>0.12</v>
      </c>
      <c r="J192" s="286">
        <v>0.04</v>
      </c>
      <c r="K192" s="286">
        <v>0.11</v>
      </c>
      <c r="L192" s="286">
        <v>0.42</v>
      </c>
      <c r="M192" s="285">
        <v>-0.27</v>
      </c>
      <c r="N192" s="286">
        <v>0.43</v>
      </c>
      <c r="O192" s="287">
        <v>0</v>
      </c>
      <c r="P192" s="239">
        <v>-0.1</v>
      </c>
      <c r="Q192" s="215">
        <v>0.16250000000000001</v>
      </c>
      <c r="R192" s="291">
        <v>0.17</v>
      </c>
      <c r="S192" s="194">
        <v>0.17</v>
      </c>
      <c r="T192" s="107">
        <v>0.45</v>
      </c>
      <c r="U192" s="308">
        <v>0.17</v>
      </c>
      <c r="V192" s="61">
        <v>3.1590000000000003</v>
      </c>
      <c r="W192" s="61">
        <v>3.250053529138289</v>
      </c>
      <c r="X192" s="197">
        <v>3.2290411762602225</v>
      </c>
      <c r="Y192" s="62"/>
      <c r="Z192" s="281">
        <v>0.13</v>
      </c>
      <c r="AA192" s="296">
        <v>0.1</v>
      </c>
      <c r="AB192" s="301">
        <v>4.5102040951788549</v>
      </c>
      <c r="AC192" s="145">
        <v>4.6402040951788548</v>
      </c>
      <c r="AD192" s="197">
        <v>4.6102040951788545</v>
      </c>
      <c r="AE192" s="238">
        <v>3.8570000000000002</v>
      </c>
      <c r="AF192" s="133">
        <v>3.6870000000000003</v>
      </c>
      <c r="AG192" s="202">
        <v>3.9570000000000003</v>
      </c>
      <c r="AH192" s="242">
        <v>-0.1</v>
      </c>
      <c r="AI192" s="283">
        <v>1.5063367812102</v>
      </c>
      <c r="AJ192" s="88">
        <v>6.2664713216074502E-2</v>
      </c>
      <c r="AK192" s="88">
        <v>6.3231235057238197E-2</v>
      </c>
      <c r="AL192" s="90">
        <v>0.45272609957971299</v>
      </c>
      <c r="AM192" s="204">
        <v>0.44954382044215696</v>
      </c>
      <c r="AN192" s="184">
        <v>0.125</v>
      </c>
      <c r="AO192" s="205">
        <v>0.12</v>
      </c>
      <c r="AP192" s="72"/>
      <c r="AQ192" s="184">
        <v>-3.916988100061348</v>
      </c>
      <c r="AR192" s="206">
        <v>-3.118988100061348</v>
      </c>
      <c r="AS192" s="72"/>
      <c r="AT192" s="273">
        <v>7.4999999999999997E-3</v>
      </c>
      <c r="AU192" s="72"/>
      <c r="AV192" s="184">
        <v>2.5000000000000001E-3</v>
      </c>
      <c r="AW192" s="72"/>
      <c r="AX192" s="72">
        <v>-0.105</v>
      </c>
      <c r="AY192" s="90"/>
      <c r="AZ192" s="302">
        <v>0.45</v>
      </c>
      <c r="BA192" s="302"/>
      <c r="BB192" s="252">
        <v>-0.79800000000000004</v>
      </c>
      <c r="BC192" s="151"/>
      <c r="BD192" s="90"/>
      <c r="BE192" s="72"/>
      <c r="BF192" s="151"/>
      <c r="BG192" s="72"/>
      <c r="BH192" s="125"/>
      <c r="BI192" s="125"/>
      <c r="BJ192" s="72"/>
      <c r="BK192" s="151"/>
      <c r="BL192" s="72"/>
      <c r="BM192" s="72"/>
      <c r="BN192" s="90"/>
      <c r="BO192" s="90"/>
      <c r="BP192" s="125"/>
      <c r="BQ192" s="72"/>
      <c r="BR192" s="125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</row>
    <row r="193" spans="1:85" x14ac:dyDescent="0.2">
      <c r="A193" s="354">
        <v>41791</v>
      </c>
      <c r="B193" s="277">
        <v>3.9930000000000003</v>
      </c>
      <c r="C193" s="311">
        <v>-0.79800000000000004</v>
      </c>
      <c r="D193" s="188">
        <v>-0.70695043466094765</v>
      </c>
      <c r="E193" s="188">
        <v>-0.72796187281611369</v>
      </c>
      <c r="F193" s="285">
        <v>0.125</v>
      </c>
      <c r="G193" s="286">
        <v>0.125</v>
      </c>
      <c r="H193" s="286">
        <v>0.16</v>
      </c>
      <c r="I193" s="287">
        <v>0.12</v>
      </c>
      <c r="J193" s="286">
        <v>0.04</v>
      </c>
      <c r="K193" s="286">
        <v>0.11</v>
      </c>
      <c r="L193" s="286">
        <v>0.42</v>
      </c>
      <c r="M193" s="285">
        <v>-0.27</v>
      </c>
      <c r="N193" s="286">
        <v>0.43</v>
      </c>
      <c r="O193" s="287">
        <v>0</v>
      </c>
      <c r="P193" s="239">
        <v>-0.1</v>
      </c>
      <c r="Q193" s="215">
        <v>0.16250000000000001</v>
      </c>
      <c r="R193" s="291">
        <v>0.17</v>
      </c>
      <c r="S193" s="194">
        <v>0.17</v>
      </c>
      <c r="T193" s="107">
        <v>0.45</v>
      </c>
      <c r="U193" s="308">
        <v>0.17</v>
      </c>
      <c r="V193" s="61">
        <v>3.1949999999999998</v>
      </c>
      <c r="W193" s="61">
        <v>3.2860495653390527</v>
      </c>
      <c r="X193" s="197">
        <v>3.2650381271838866</v>
      </c>
      <c r="Y193" s="62"/>
      <c r="Z193" s="281">
        <v>0.13</v>
      </c>
      <c r="AA193" s="296">
        <v>0.1</v>
      </c>
      <c r="AB193" s="301">
        <v>4.5618010196239069</v>
      </c>
      <c r="AC193" s="145">
        <v>4.6918010196239068</v>
      </c>
      <c r="AD193" s="197">
        <v>4.6618010196239066</v>
      </c>
      <c r="AE193" s="238">
        <v>3.8930000000000002</v>
      </c>
      <c r="AF193" s="133">
        <v>3.7230000000000003</v>
      </c>
      <c r="AG193" s="202">
        <v>3.9930000000000003</v>
      </c>
      <c r="AH193" s="242">
        <v>-0.1</v>
      </c>
      <c r="AI193" s="283">
        <v>1.50640235886082</v>
      </c>
      <c r="AJ193" s="88">
        <v>6.2705407196646898E-2</v>
      </c>
      <c r="AK193" s="88">
        <v>6.3264746536988006E-2</v>
      </c>
      <c r="AL193" s="90">
        <v>0.45013172056358375</v>
      </c>
      <c r="AM193" s="204">
        <v>0.44698713622614489</v>
      </c>
      <c r="AN193" s="184">
        <v>0.125</v>
      </c>
      <c r="AO193" s="205">
        <v>0.124</v>
      </c>
      <c r="AP193" s="72"/>
      <c r="AQ193" s="184">
        <v>-3.9529911478632096</v>
      </c>
      <c r="AR193" s="206">
        <v>-3.1549911478632096</v>
      </c>
      <c r="AS193" s="72"/>
      <c r="AT193" s="273">
        <v>7.4999999999999997E-3</v>
      </c>
      <c r="AU193" s="72"/>
      <c r="AV193" s="184">
        <v>2.5000000000000001E-3</v>
      </c>
      <c r="AW193" s="72"/>
      <c r="AX193" s="72">
        <v>-0.105</v>
      </c>
      <c r="AY193" s="90"/>
      <c r="AZ193" s="302">
        <v>0.45</v>
      </c>
      <c r="BA193" s="302"/>
      <c r="BB193" s="252">
        <v>-0.79800000000000004</v>
      </c>
      <c r="BC193" s="151"/>
      <c r="BD193" s="90"/>
      <c r="BE193" s="72"/>
      <c r="BF193" s="72"/>
      <c r="BG193" s="72"/>
      <c r="BH193" s="72"/>
      <c r="BI193" s="72"/>
      <c r="BJ193" s="72"/>
      <c r="BK193" s="151"/>
      <c r="BL193" s="72"/>
      <c r="BM193" s="72"/>
      <c r="BN193" s="90"/>
      <c r="BO193" s="90"/>
      <c r="BP193" s="125"/>
      <c r="BQ193" s="72"/>
      <c r="BR193" s="125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</row>
    <row r="194" spans="1:85" x14ac:dyDescent="0.2">
      <c r="A194" s="354">
        <v>41821</v>
      </c>
      <c r="B194" s="277">
        <v>4.0350000000000001</v>
      </c>
      <c r="C194" s="311">
        <v>-0.79800000000000004</v>
      </c>
      <c r="D194" s="188">
        <v>-0.70695437275730955</v>
      </c>
      <c r="E194" s="188">
        <v>-0.72796490212100773</v>
      </c>
      <c r="F194" s="285">
        <v>0.125</v>
      </c>
      <c r="G194" s="286">
        <v>0.125</v>
      </c>
      <c r="H194" s="286">
        <v>0.16</v>
      </c>
      <c r="I194" s="287">
        <v>0.12</v>
      </c>
      <c r="J194" s="286">
        <v>0.04</v>
      </c>
      <c r="K194" s="286">
        <v>0.11</v>
      </c>
      <c r="L194" s="286">
        <v>0.48</v>
      </c>
      <c r="M194" s="285">
        <v>-0.27</v>
      </c>
      <c r="N194" s="286">
        <v>0.43</v>
      </c>
      <c r="O194" s="287">
        <v>0</v>
      </c>
      <c r="P194" s="239">
        <v>-0.1</v>
      </c>
      <c r="Q194" s="215">
        <v>0.16250000000000001</v>
      </c>
      <c r="R194" s="291">
        <v>0.17</v>
      </c>
      <c r="S194" s="194">
        <v>0.17</v>
      </c>
      <c r="T194" s="107">
        <v>0.5</v>
      </c>
      <c r="U194" s="308">
        <v>0.17</v>
      </c>
      <c r="V194" s="61">
        <v>3.2370000000000001</v>
      </c>
      <c r="W194" s="61">
        <v>3.3280456272426906</v>
      </c>
      <c r="X194" s="197">
        <v>3.3070350978789924</v>
      </c>
      <c r="Y194" s="62"/>
      <c r="Z194" s="281">
        <v>0.13</v>
      </c>
      <c r="AA194" s="296">
        <v>0.1</v>
      </c>
      <c r="AB194" s="301">
        <v>4.6219682673863307</v>
      </c>
      <c r="AC194" s="145">
        <v>4.7519682673863306</v>
      </c>
      <c r="AD194" s="197">
        <v>4.7219682673863304</v>
      </c>
      <c r="AE194" s="238">
        <v>3.9350000000000001</v>
      </c>
      <c r="AF194" s="133">
        <v>3.7650000000000001</v>
      </c>
      <c r="AG194" s="202">
        <v>4.0350000000000001</v>
      </c>
      <c r="AH194" s="242">
        <v>-0.1</v>
      </c>
      <c r="AI194" s="283">
        <v>1.50646751693406</v>
      </c>
      <c r="AJ194" s="88">
        <v>6.2744788468691096E-2</v>
      </c>
      <c r="AK194" s="88">
        <v>6.3297177001615995E-2</v>
      </c>
      <c r="AL194" s="90">
        <v>0.4476323373779682</v>
      </c>
      <c r="AM194" s="204">
        <v>0.44452444020381143</v>
      </c>
      <c r="AN194" s="184">
        <v>0.125</v>
      </c>
      <c r="AO194" s="205">
        <v>0.12</v>
      </c>
      <c r="AP194" s="72"/>
      <c r="AQ194" s="184">
        <v>-3.9949941759018919</v>
      </c>
      <c r="AR194" s="206">
        <v>-3.1969941759018918</v>
      </c>
      <c r="AS194" s="72"/>
      <c r="AT194" s="273">
        <v>7.4999999999999997E-3</v>
      </c>
      <c r="AU194" s="72"/>
      <c r="AV194" s="184">
        <v>2.5000000000000001E-3</v>
      </c>
      <c r="AW194" s="72"/>
      <c r="AX194" s="72">
        <v>-0.105</v>
      </c>
      <c r="AY194" s="90"/>
      <c r="AZ194" s="302">
        <v>0.5</v>
      </c>
      <c r="BA194" s="302"/>
      <c r="BB194" s="252">
        <v>-0.79800000000000004</v>
      </c>
      <c r="BC194" s="151"/>
      <c r="BD194" s="90"/>
      <c r="BE194" s="72"/>
      <c r="BF194" s="72"/>
      <c r="BG194" s="72"/>
      <c r="BH194" s="72"/>
      <c r="BI194" s="72"/>
      <c r="BJ194" s="72"/>
      <c r="BK194" s="151"/>
      <c r="BL194" s="72"/>
      <c r="BM194" s="72"/>
      <c r="BN194" s="90"/>
      <c r="BO194" s="90"/>
      <c r="BP194" s="125"/>
      <c r="BQ194" s="72"/>
      <c r="BR194" s="125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</row>
    <row r="195" spans="1:85" x14ac:dyDescent="0.2">
      <c r="A195" s="354">
        <v>41852</v>
      </c>
      <c r="B195" s="277">
        <v>4.0840000000000005</v>
      </c>
      <c r="C195" s="311">
        <v>-0.79800000000000004</v>
      </c>
      <c r="D195" s="188">
        <v>-0.7069585476708955</v>
      </c>
      <c r="E195" s="188">
        <v>-0.72796811359299696</v>
      </c>
      <c r="F195" s="285">
        <v>0.125</v>
      </c>
      <c r="G195" s="286">
        <v>0.125</v>
      </c>
      <c r="H195" s="286">
        <v>0.16</v>
      </c>
      <c r="I195" s="287">
        <v>0.12</v>
      </c>
      <c r="J195" s="286">
        <v>0.04</v>
      </c>
      <c r="K195" s="286">
        <v>0.11</v>
      </c>
      <c r="L195" s="286">
        <v>0.48</v>
      </c>
      <c r="M195" s="285">
        <v>-0.27</v>
      </c>
      <c r="N195" s="286">
        <v>0.43</v>
      </c>
      <c r="O195" s="287">
        <v>0</v>
      </c>
      <c r="P195" s="239">
        <v>-0.1</v>
      </c>
      <c r="Q195" s="215">
        <v>0.16250000000000001</v>
      </c>
      <c r="R195" s="291">
        <v>0.17</v>
      </c>
      <c r="S195" s="194">
        <v>0.17</v>
      </c>
      <c r="T195" s="107">
        <v>0.55000000000000004</v>
      </c>
      <c r="U195" s="308">
        <v>0.17</v>
      </c>
      <c r="V195" s="61">
        <v>3.2860000000000005</v>
      </c>
      <c r="W195" s="61">
        <v>3.377041452329105</v>
      </c>
      <c r="X195" s="197">
        <v>3.3560318864070036</v>
      </c>
      <c r="Y195" s="62"/>
      <c r="Z195" s="281">
        <v>0.13</v>
      </c>
      <c r="AA195" s="296">
        <v>0.1</v>
      </c>
      <c r="AB195" s="301">
        <v>4.6921483464015088</v>
      </c>
      <c r="AC195" s="145">
        <v>4.8221483464015087</v>
      </c>
      <c r="AD195" s="197">
        <v>4.7921483464015084</v>
      </c>
      <c r="AE195" s="238">
        <v>3.9840000000000004</v>
      </c>
      <c r="AF195" s="133">
        <v>3.8140000000000005</v>
      </c>
      <c r="AG195" s="202">
        <v>4.0840000000000005</v>
      </c>
      <c r="AH195" s="242">
        <v>-0.1</v>
      </c>
      <c r="AI195" s="283">
        <v>1.5065365994403499</v>
      </c>
      <c r="AJ195" s="88">
        <v>6.2785482450344404E-2</v>
      </c>
      <c r="AK195" s="88">
        <v>6.3330688482098996E-2</v>
      </c>
      <c r="AL195" s="90">
        <v>0.44506129178049925</v>
      </c>
      <c r="AM195" s="204">
        <v>0.44199151289487537</v>
      </c>
      <c r="AN195" s="184">
        <v>0.125</v>
      </c>
      <c r="AO195" s="205">
        <v>0.12</v>
      </c>
      <c r="AP195" s="72"/>
      <c r="AQ195" s="184">
        <v>-4.0439973860315259</v>
      </c>
      <c r="AR195" s="206">
        <v>-3.2459973860315259</v>
      </c>
      <c r="AS195" s="72"/>
      <c r="AT195" s="273">
        <v>7.4999999999999997E-3</v>
      </c>
      <c r="AU195" s="72"/>
      <c r="AV195" s="184">
        <v>2.5000000000000001E-3</v>
      </c>
      <c r="AW195" s="72"/>
      <c r="AX195" s="72">
        <v>-0.105</v>
      </c>
      <c r="AY195" s="90"/>
      <c r="AZ195" s="302">
        <v>0.55000000000000004</v>
      </c>
      <c r="BA195" s="302"/>
      <c r="BB195" s="252">
        <v>-0.79800000000000004</v>
      </c>
      <c r="BC195" s="151"/>
      <c r="BD195" s="90"/>
      <c r="BE195" s="72"/>
      <c r="BF195" s="72"/>
      <c r="BG195" s="72"/>
      <c r="BH195" s="72"/>
      <c r="BI195" s="72"/>
      <c r="BJ195" s="72"/>
      <c r="BK195" s="151"/>
      <c r="BL195" s="72"/>
      <c r="BM195" s="72"/>
      <c r="BN195" s="90"/>
      <c r="BO195" s="90"/>
      <c r="BP195" s="125"/>
      <c r="BQ195" s="72"/>
      <c r="BR195" s="125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</row>
    <row r="196" spans="1:85" x14ac:dyDescent="0.2">
      <c r="A196" s="354">
        <v>41883</v>
      </c>
      <c r="B196" s="277">
        <v>4.0990000000000002</v>
      </c>
      <c r="C196" s="311">
        <v>-0.79800000000000004</v>
      </c>
      <c r="D196" s="188">
        <v>-0.70696282984176184</v>
      </c>
      <c r="E196" s="188">
        <v>-0.72797140757058587</v>
      </c>
      <c r="F196" s="285">
        <v>0.125</v>
      </c>
      <c r="G196" s="286">
        <v>0.125</v>
      </c>
      <c r="H196" s="286">
        <v>0.16</v>
      </c>
      <c r="I196" s="287">
        <v>0.12</v>
      </c>
      <c r="J196" s="286">
        <v>0.04</v>
      </c>
      <c r="K196" s="286">
        <v>0.11</v>
      </c>
      <c r="L196" s="286">
        <v>0.44</v>
      </c>
      <c r="M196" s="285">
        <v>-0.27</v>
      </c>
      <c r="N196" s="286">
        <v>0.43</v>
      </c>
      <c r="O196" s="287">
        <v>0</v>
      </c>
      <c r="P196" s="239">
        <v>-0.1</v>
      </c>
      <c r="Q196" s="215">
        <v>0.16250000000000001</v>
      </c>
      <c r="R196" s="291">
        <v>0.17</v>
      </c>
      <c r="S196" s="194">
        <v>0.17</v>
      </c>
      <c r="T196" s="107">
        <v>0.55000000000000004</v>
      </c>
      <c r="U196" s="308">
        <v>0.17</v>
      </c>
      <c r="V196" s="61">
        <v>3.3010000000000002</v>
      </c>
      <c r="W196" s="61">
        <v>3.3920371701582384</v>
      </c>
      <c r="X196" s="197">
        <v>3.3710285924294143</v>
      </c>
      <c r="Y196" s="62"/>
      <c r="Z196" s="281">
        <v>0.13</v>
      </c>
      <c r="AA196" s="296">
        <v>0.1</v>
      </c>
      <c r="AB196" s="301">
        <v>4.7137888760612681</v>
      </c>
      <c r="AC196" s="145">
        <v>4.843788876061268</v>
      </c>
      <c r="AD196" s="197">
        <v>4.8137888760612677</v>
      </c>
      <c r="AE196" s="238">
        <v>3.9990000000000001</v>
      </c>
      <c r="AF196" s="133">
        <v>3.8290000000000002</v>
      </c>
      <c r="AG196" s="202">
        <v>4.0990000000000002</v>
      </c>
      <c r="AH196" s="242">
        <v>-0.1</v>
      </c>
      <c r="AI196" s="283">
        <v>1.50660746332072</v>
      </c>
      <c r="AJ196" s="88">
        <v>6.2826176432547107E-2</v>
      </c>
      <c r="AK196" s="88">
        <v>6.3364199962954601E-2</v>
      </c>
      <c r="AL196" s="90">
        <v>0.44250205425617972</v>
      </c>
      <c r="AM196" s="204">
        <v>0.43947059820508122</v>
      </c>
      <c r="AN196" s="184">
        <v>0.125</v>
      </c>
      <c r="AO196" s="205">
        <v>0.124</v>
      </c>
      <c r="AP196" s="72"/>
      <c r="AQ196" s="184">
        <v>-4.0590006786322759</v>
      </c>
      <c r="AR196" s="206">
        <v>-3.2610006786322758</v>
      </c>
      <c r="AS196" s="72"/>
      <c r="AT196" s="273">
        <v>7.4999999999999997E-3</v>
      </c>
      <c r="AU196" s="72"/>
      <c r="AV196" s="184">
        <v>2.5000000000000001E-3</v>
      </c>
      <c r="AW196" s="72"/>
      <c r="AX196" s="72">
        <v>-0.105</v>
      </c>
      <c r="AY196" s="90"/>
      <c r="AZ196" s="302">
        <v>0.55000000000000004</v>
      </c>
      <c r="BA196" s="302"/>
      <c r="BB196" s="252">
        <v>-0.79800000000000004</v>
      </c>
      <c r="BC196" s="151"/>
      <c r="BD196" s="90"/>
      <c r="BE196" s="72"/>
      <c r="BF196" s="72"/>
      <c r="BG196" s="72"/>
      <c r="BH196" s="72"/>
      <c r="BI196" s="72"/>
      <c r="BJ196" s="72"/>
      <c r="BK196" s="151"/>
      <c r="BL196" s="72"/>
      <c r="BM196" s="72"/>
      <c r="BN196" s="90"/>
      <c r="BO196" s="90"/>
      <c r="BP196" s="125"/>
      <c r="BQ196" s="72"/>
      <c r="BR196" s="125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</row>
    <row r="197" spans="1:85" x14ac:dyDescent="0.2">
      <c r="A197" s="354">
        <v>41913</v>
      </c>
      <c r="B197" s="277">
        <v>4.1280000000000001</v>
      </c>
      <c r="C197" s="311">
        <v>-0.79800000000000004</v>
      </c>
      <c r="D197" s="188">
        <v>-0.70696707598157404</v>
      </c>
      <c r="E197" s="188">
        <v>-0.72797467383198011</v>
      </c>
      <c r="F197" s="285">
        <v>0.125</v>
      </c>
      <c r="G197" s="286">
        <v>0.125</v>
      </c>
      <c r="H197" s="286">
        <v>0.16</v>
      </c>
      <c r="I197" s="287">
        <v>0.12</v>
      </c>
      <c r="J197" s="286">
        <v>0.04</v>
      </c>
      <c r="K197" s="286">
        <v>0.11</v>
      </c>
      <c r="L197" s="286">
        <v>0.45</v>
      </c>
      <c r="M197" s="285">
        <v>-0.27</v>
      </c>
      <c r="N197" s="286">
        <v>0.43</v>
      </c>
      <c r="O197" s="287">
        <v>0</v>
      </c>
      <c r="P197" s="239">
        <v>-0.1</v>
      </c>
      <c r="Q197" s="215">
        <v>0.16250000000000001</v>
      </c>
      <c r="R197" s="291">
        <v>0.17</v>
      </c>
      <c r="S197" s="194">
        <v>0.17</v>
      </c>
      <c r="T197" s="107">
        <v>0.6</v>
      </c>
      <c r="U197" s="308">
        <v>0.17</v>
      </c>
      <c r="V197" s="61">
        <v>3.33</v>
      </c>
      <c r="W197" s="61">
        <v>3.4210329240184261</v>
      </c>
      <c r="X197" s="197">
        <v>3.40002532616802</v>
      </c>
      <c r="Y197" s="62"/>
      <c r="Z197" s="281">
        <v>0.13</v>
      </c>
      <c r="AA197" s="296">
        <v>0.1</v>
      </c>
      <c r="AB197" s="301">
        <v>4.7554223339280854</v>
      </c>
      <c r="AC197" s="145">
        <v>4.8854223339280853</v>
      </c>
      <c r="AD197" s="197">
        <v>4.8554223339280851</v>
      </c>
      <c r="AE197" s="238">
        <v>4.0280000000000005</v>
      </c>
      <c r="AF197" s="133">
        <v>3.8580000000000001</v>
      </c>
      <c r="AG197" s="202">
        <v>4.1280000000000001</v>
      </c>
      <c r="AH197" s="242">
        <v>-0.1</v>
      </c>
      <c r="AI197" s="283">
        <v>1.5066777375209699</v>
      </c>
      <c r="AJ197" s="88">
        <v>6.2865557706169611E-2</v>
      </c>
      <c r="AK197" s="88">
        <v>6.3396630428653289E-2</v>
      </c>
      <c r="AL197" s="90">
        <v>0.4400365839137908</v>
      </c>
      <c r="AM197" s="204">
        <v>0.43704240255615578</v>
      </c>
      <c r="AN197" s="184">
        <v>0.125</v>
      </c>
      <c r="AO197" s="205">
        <v>0.12</v>
      </c>
      <c r="AP197" s="72"/>
      <c r="AQ197" s="184">
        <v>-4.0880039435284141</v>
      </c>
      <c r="AR197" s="206">
        <v>-3.2900039435284141</v>
      </c>
      <c r="AS197" s="72"/>
      <c r="AT197" s="273">
        <v>7.4999999999999997E-3</v>
      </c>
      <c r="AU197" s="72"/>
      <c r="AV197" s="184">
        <v>2.5000000000000001E-3</v>
      </c>
      <c r="AW197" s="72"/>
      <c r="AX197" s="72">
        <v>-0.105</v>
      </c>
      <c r="AY197" s="90"/>
      <c r="AZ197" s="302">
        <v>0.6</v>
      </c>
      <c r="BA197" s="302"/>
      <c r="BB197" s="252">
        <v>-0.79800000000000004</v>
      </c>
      <c r="BC197" s="151"/>
      <c r="BD197" s="90"/>
      <c r="BE197" s="72"/>
      <c r="BF197" s="72"/>
      <c r="BG197" s="72"/>
      <c r="BH197" s="72"/>
      <c r="BI197" s="72"/>
      <c r="BJ197" s="72"/>
      <c r="BK197" s="151"/>
      <c r="BL197" s="72"/>
      <c r="BM197" s="72"/>
      <c r="BN197" s="90"/>
      <c r="BO197" s="90"/>
      <c r="BP197" s="125"/>
      <c r="BQ197" s="72"/>
      <c r="BR197" s="125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</row>
    <row r="198" spans="1:85" x14ac:dyDescent="0.2">
      <c r="A198" s="353">
        <v>41944</v>
      </c>
      <c r="B198" s="277">
        <v>4.2679999999999998</v>
      </c>
      <c r="C198" s="312">
        <v>-0.73799999999999999</v>
      </c>
      <c r="D198" s="188">
        <v>-0.64697156914557485</v>
      </c>
      <c r="E198" s="188">
        <v>-0.24999999999999911</v>
      </c>
      <c r="F198" s="285">
        <v>0</v>
      </c>
      <c r="G198" s="286">
        <v>0</v>
      </c>
      <c r="H198" s="286">
        <v>0</v>
      </c>
      <c r="I198" s="287">
        <v>0</v>
      </c>
      <c r="J198" s="286">
        <v>0</v>
      </c>
      <c r="K198" s="286">
        <v>0</v>
      </c>
      <c r="L198" s="286">
        <v>0.73</v>
      </c>
      <c r="M198" s="285">
        <v>-0.15</v>
      </c>
      <c r="N198" s="286">
        <v>0.35</v>
      </c>
      <c r="O198" s="287">
        <v>0</v>
      </c>
      <c r="P198" s="239">
        <v>0.248</v>
      </c>
      <c r="Q198" s="215">
        <v>0.16250000000000001</v>
      </c>
      <c r="R198" s="291">
        <v>0.17</v>
      </c>
      <c r="S198" s="194">
        <v>0.17</v>
      </c>
      <c r="T198" s="107">
        <v>0.8</v>
      </c>
      <c r="U198" s="308">
        <v>0.17</v>
      </c>
      <c r="V198" s="61">
        <v>3.53</v>
      </c>
      <c r="W198" s="61">
        <v>3.6210284308544249</v>
      </c>
      <c r="X198" s="197">
        <v>4.0180000000000007</v>
      </c>
      <c r="Y198" s="62"/>
      <c r="Z198" s="281">
        <v>0.13</v>
      </c>
      <c r="AA198" s="296">
        <v>0.69692511893844244</v>
      </c>
      <c r="AB198" s="301">
        <v>5.0412821103538876</v>
      </c>
      <c r="AC198" s="145">
        <v>5.1712821103538875</v>
      </c>
      <c r="AD198" s="197">
        <v>5.7382072292923301</v>
      </c>
      <c r="AE198" s="238">
        <v>4.516</v>
      </c>
      <c r="AF198" s="133">
        <v>4.1179999999999994</v>
      </c>
      <c r="AG198" s="202">
        <v>4.2679999999999998</v>
      </c>
      <c r="AH198" s="242">
        <v>-0.1</v>
      </c>
      <c r="AI198" s="283">
        <v>1.5067521071449099</v>
      </c>
      <c r="AJ198" s="88">
        <v>6.2906251689453602E-2</v>
      </c>
      <c r="AK198" s="88">
        <v>6.3430141910241697E-2</v>
      </c>
      <c r="AL198" s="90">
        <v>0.437500483238908</v>
      </c>
      <c r="AM198" s="204">
        <v>0.43454500659007295</v>
      </c>
      <c r="AN198" s="184">
        <v>0</v>
      </c>
      <c r="AO198" s="205">
        <v>0.124</v>
      </c>
      <c r="AP198" s="72"/>
      <c r="AQ198" s="184">
        <v>-3.8111946554230527</v>
      </c>
      <c r="AR198" s="206">
        <v>-3.0731946554230527</v>
      </c>
      <c r="AS198" s="72"/>
      <c r="AT198" s="273">
        <v>7.4999999999999997E-3</v>
      </c>
      <c r="AU198" s="72"/>
      <c r="AV198" s="184">
        <v>8.0000000000000002E-3</v>
      </c>
      <c r="AW198" s="72"/>
      <c r="AX198" s="72">
        <v>5.0000000000000001E-3</v>
      </c>
      <c r="AY198" s="90"/>
      <c r="AZ198" s="302">
        <v>0.8</v>
      </c>
      <c r="BA198" s="302"/>
      <c r="BB198" s="252">
        <v>-0.73799999999999999</v>
      </c>
      <c r="BC198" s="151"/>
      <c r="BD198" s="90"/>
      <c r="BE198" s="72"/>
      <c r="BF198" s="72"/>
      <c r="BG198" s="72"/>
      <c r="BH198" s="72"/>
      <c r="BI198" s="72"/>
      <c r="BJ198" s="72"/>
      <c r="BK198" s="151"/>
      <c r="BL198" s="72"/>
      <c r="BM198" s="72"/>
      <c r="BN198" s="90"/>
      <c r="BO198" s="90"/>
      <c r="BP198" s="125"/>
      <c r="BQ198" s="72"/>
      <c r="BR198" s="125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</row>
    <row r="199" spans="1:85" x14ac:dyDescent="0.2">
      <c r="A199" s="354">
        <v>41974</v>
      </c>
      <c r="B199" s="277">
        <v>4.4080000000000004</v>
      </c>
      <c r="C199" s="313">
        <v>-0.73799999999999999</v>
      </c>
      <c r="D199" s="188">
        <v>-0.64697601943200755</v>
      </c>
      <c r="E199" s="188">
        <v>-0.25</v>
      </c>
      <c r="F199" s="314">
        <v>0</v>
      </c>
      <c r="G199" s="315">
        <v>0</v>
      </c>
      <c r="H199" s="315">
        <v>0</v>
      </c>
      <c r="I199" s="316">
        <v>0</v>
      </c>
      <c r="J199" s="315">
        <v>0</v>
      </c>
      <c r="K199" s="315">
        <v>0</v>
      </c>
      <c r="L199" s="286">
        <v>1.1399999999999999</v>
      </c>
      <c r="M199" s="314">
        <v>-0.15</v>
      </c>
      <c r="N199" s="315">
        <v>0.35</v>
      </c>
      <c r="O199" s="316">
        <v>0</v>
      </c>
      <c r="P199" s="317">
        <v>0.308</v>
      </c>
      <c r="Q199" s="215">
        <v>0.16250000000000001</v>
      </c>
      <c r="R199" s="291">
        <v>0.17</v>
      </c>
      <c r="S199" s="194">
        <v>0.17</v>
      </c>
      <c r="T199" s="107">
        <v>1</v>
      </c>
      <c r="U199" s="318">
        <v>0.17</v>
      </c>
      <c r="V199" s="61">
        <v>3.67</v>
      </c>
      <c r="W199" s="319">
        <v>3.7610239805679928</v>
      </c>
      <c r="X199" s="320">
        <v>4.1580000000000004</v>
      </c>
      <c r="Y199" s="321"/>
      <c r="Z199" s="322">
        <v>0.13</v>
      </c>
      <c r="AA199" s="323">
        <v>0.69695919255708638</v>
      </c>
      <c r="AB199" s="301">
        <v>5.2414758948452986</v>
      </c>
      <c r="AC199" s="324">
        <v>5.3714758948452985</v>
      </c>
      <c r="AD199" s="320">
        <v>5.938435087402385</v>
      </c>
      <c r="AE199" s="325">
        <v>4.7160000000000002</v>
      </c>
      <c r="AF199" s="326">
        <v>4.258</v>
      </c>
      <c r="AG199" s="327">
        <v>4.4080000000000004</v>
      </c>
      <c r="AH199" s="328">
        <v>-0.1</v>
      </c>
      <c r="AI199" s="283">
        <v>1.5068257743084199</v>
      </c>
      <c r="AJ199" s="88">
        <v>6.2945632964122006E-2</v>
      </c>
      <c r="AK199" s="88">
        <v>6.3462572376649498E-2</v>
      </c>
      <c r="AL199" s="90">
        <v>0.43505734017053715</v>
      </c>
      <c r="AM199" s="204">
        <v>0.4321394947073352</v>
      </c>
      <c r="AN199" s="329">
        <v>0</v>
      </c>
      <c r="AO199" s="330">
        <v>0.12</v>
      </c>
      <c r="AP199" s="331"/>
      <c r="AQ199" s="329">
        <v>-3.9512138878018503</v>
      </c>
      <c r="AR199" s="332">
        <v>-3.2132138878018504</v>
      </c>
      <c r="AS199" s="72"/>
      <c r="AT199" s="273">
        <v>7.4999999999999997E-3</v>
      </c>
      <c r="AU199" s="72"/>
      <c r="AV199" s="184">
        <v>8.0000000000000002E-3</v>
      </c>
      <c r="AW199" s="72"/>
      <c r="AX199" s="72">
        <v>0.01</v>
      </c>
      <c r="AY199" s="90"/>
      <c r="AZ199" s="302">
        <v>1</v>
      </c>
      <c r="BA199" s="302"/>
      <c r="BB199" s="252">
        <v>-0.73799999999999999</v>
      </c>
      <c r="BC199" s="151"/>
      <c r="BD199" s="90"/>
      <c r="BE199" s="72"/>
      <c r="BF199" s="72"/>
      <c r="BG199" s="72"/>
      <c r="BH199" s="72"/>
      <c r="BI199" s="72"/>
      <c r="BJ199" s="72"/>
      <c r="BK199" s="151"/>
      <c r="BL199" s="72"/>
      <c r="BM199" s="72"/>
      <c r="BN199" s="90"/>
      <c r="BO199" s="90"/>
      <c r="BP199" s="125"/>
      <c r="BQ199" s="72"/>
      <c r="BR199" s="125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</row>
    <row r="200" spans="1:85" x14ac:dyDescent="0.2">
      <c r="A200" s="354">
        <v>42005</v>
      </c>
      <c r="B200" s="277">
        <v>4.5179999999999998</v>
      </c>
      <c r="C200" s="90">
        <v>-0.73799999999999999</v>
      </c>
      <c r="D200" s="91">
        <v>-0.64698072350516433</v>
      </c>
      <c r="E200" s="76">
        <v>-0.25</v>
      </c>
      <c r="F200" s="76">
        <v>0</v>
      </c>
      <c r="G200" s="333">
        <v>0</v>
      </c>
      <c r="H200" s="333">
        <v>0</v>
      </c>
      <c r="I200" s="333">
        <v>0</v>
      </c>
      <c r="J200" s="334">
        <v>0</v>
      </c>
      <c r="K200" s="333">
        <v>0</v>
      </c>
      <c r="L200" s="335">
        <v>1.63</v>
      </c>
      <c r="M200" s="335">
        <v>-0.15</v>
      </c>
      <c r="N200" s="334">
        <v>0.35</v>
      </c>
      <c r="O200" s="236">
        <v>0</v>
      </c>
      <c r="P200" s="236">
        <v>0.37800000000000006</v>
      </c>
      <c r="Q200" s="334">
        <v>0.16250000000000001</v>
      </c>
      <c r="R200" s="64">
        <v>0.17</v>
      </c>
      <c r="S200" s="334">
        <v>0.17</v>
      </c>
      <c r="T200" s="334">
        <v>1</v>
      </c>
      <c r="U200" s="334">
        <v>0.17</v>
      </c>
      <c r="V200" s="334">
        <v>3.78</v>
      </c>
      <c r="W200" s="334">
        <v>3.8710192764948355</v>
      </c>
      <c r="X200" s="334">
        <v>4.2679999999999998</v>
      </c>
      <c r="Y200" s="335"/>
      <c r="Z200" s="72">
        <v>0.13</v>
      </c>
      <c r="AA200" s="336">
        <v>0.69699521291623956</v>
      </c>
      <c r="AB200" s="91">
        <v>5.3988563623430021</v>
      </c>
      <c r="AC200" s="72">
        <v>5.528856362343002</v>
      </c>
      <c r="AD200" s="72">
        <v>6.0958515752592417</v>
      </c>
      <c r="AE200" s="72">
        <v>4.8959999999999999</v>
      </c>
      <c r="AF200" s="72">
        <v>4.3679999999999994</v>
      </c>
      <c r="AG200" s="337">
        <v>4.5179999999999998</v>
      </c>
      <c r="AH200" s="72">
        <v>-0.1</v>
      </c>
      <c r="AI200" s="283">
        <v>1.5069036503249098</v>
      </c>
      <c r="AJ200" s="88">
        <v>6.2986326948487395E-2</v>
      </c>
      <c r="AK200" s="88">
        <v>6.3496083858971097E-2</v>
      </c>
      <c r="AL200" s="90">
        <v>0.43254424559963006</v>
      </c>
      <c r="AM200" s="204">
        <v>0.42966545986889687</v>
      </c>
      <c r="AN200" s="72">
        <v>0</v>
      </c>
      <c r="AO200" s="72">
        <v>0.12</v>
      </c>
      <c r="AP200" s="72"/>
      <c r="AQ200" s="72">
        <v>-4.0612339341892092</v>
      </c>
      <c r="AR200" s="72">
        <v>-3.3232339341892092</v>
      </c>
      <c r="AS200" s="72"/>
      <c r="AT200" s="273">
        <v>7.4999999999999997E-3</v>
      </c>
      <c r="AU200" s="72"/>
      <c r="AV200" s="72">
        <v>8.0000000000000002E-3</v>
      </c>
      <c r="AW200" s="72"/>
      <c r="AX200" s="90">
        <v>0.03</v>
      </c>
      <c r="AY200" s="72"/>
      <c r="AZ200" s="75">
        <v>1</v>
      </c>
      <c r="BA200" s="135"/>
      <c r="BB200" s="135">
        <v>-0.73799999999999999</v>
      </c>
      <c r="BC200" s="90"/>
      <c r="BD200" s="72"/>
      <c r="BE200" s="72"/>
      <c r="BF200" s="72"/>
      <c r="BG200" s="72"/>
      <c r="BH200" s="72"/>
      <c r="BI200" s="72"/>
      <c r="BJ200" s="151"/>
      <c r="BK200" s="72"/>
      <c r="BL200" s="72"/>
      <c r="BM200" s="90"/>
      <c r="BN200" s="90"/>
      <c r="BO200" s="125"/>
      <c r="BP200" s="72"/>
      <c r="BQ200" s="125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</row>
    <row r="201" spans="1:85" x14ac:dyDescent="0.2">
      <c r="A201" s="354">
        <v>42036</v>
      </c>
      <c r="B201" s="277">
        <v>4.4000000000000004</v>
      </c>
      <c r="C201" s="90">
        <v>-0.73799999999999999</v>
      </c>
      <c r="D201" s="91">
        <v>-0.64698553472856135</v>
      </c>
      <c r="E201" s="76">
        <v>-0.25</v>
      </c>
      <c r="F201" s="76">
        <v>0</v>
      </c>
      <c r="G201" s="333">
        <v>0</v>
      </c>
      <c r="H201" s="333">
        <v>0</v>
      </c>
      <c r="I201" s="333">
        <v>0</v>
      </c>
      <c r="J201" s="334">
        <v>0</v>
      </c>
      <c r="K201" s="333">
        <v>0</v>
      </c>
      <c r="L201" s="335">
        <v>1.63</v>
      </c>
      <c r="M201" s="335">
        <v>-0.15</v>
      </c>
      <c r="N201" s="334">
        <v>0.35</v>
      </c>
      <c r="O201" s="236">
        <v>0</v>
      </c>
      <c r="P201" s="236">
        <v>0.248</v>
      </c>
      <c r="Q201" s="334">
        <v>0.16250000000000001</v>
      </c>
      <c r="R201" s="64">
        <v>0.17</v>
      </c>
      <c r="S201" s="334">
        <v>0.17</v>
      </c>
      <c r="T201" s="334">
        <v>1</v>
      </c>
      <c r="U201" s="334">
        <v>0.17</v>
      </c>
      <c r="V201" s="334">
        <v>3.6620000000000004</v>
      </c>
      <c r="W201" s="334">
        <v>3.753014465271439</v>
      </c>
      <c r="X201" s="334">
        <v>4.1500000000000004</v>
      </c>
      <c r="Y201" s="335"/>
      <c r="Z201" s="72">
        <v>0.13</v>
      </c>
      <c r="AA201" s="336">
        <v>0.69703205760533304</v>
      </c>
      <c r="AB201" s="91">
        <v>5.2305971208006756</v>
      </c>
      <c r="AC201" s="72">
        <v>5.3605971208006755</v>
      </c>
      <c r="AD201" s="72">
        <v>5.9276291784060087</v>
      </c>
      <c r="AE201" s="72">
        <v>4.6480000000000006</v>
      </c>
      <c r="AF201" s="72">
        <v>4.25</v>
      </c>
      <c r="AG201" s="337">
        <v>4.4000000000000004</v>
      </c>
      <c r="AH201" s="72">
        <v>-0.1</v>
      </c>
      <c r="AI201" s="283">
        <v>1.50698330854273</v>
      </c>
      <c r="AJ201" s="88">
        <v>6.3027020933402109E-2</v>
      </c>
      <c r="AK201" s="88">
        <v>6.3529595341664802E-2</v>
      </c>
      <c r="AL201" s="90">
        <v>0.4300427924504015</v>
      </c>
      <c r="AM201" s="204">
        <v>0.42720323677116784</v>
      </c>
      <c r="AN201" s="72">
        <v>0</v>
      </c>
      <c r="AO201" s="72">
        <v>0.12</v>
      </c>
      <c r="AP201" s="72"/>
      <c r="AQ201" s="72">
        <v>-3.9432541563121024</v>
      </c>
      <c r="AR201" s="72">
        <v>-3.2052541563121024</v>
      </c>
      <c r="AS201" s="72"/>
      <c r="AT201" s="273">
        <v>7.4999999999999997E-3</v>
      </c>
      <c r="AU201" s="72"/>
      <c r="AV201" s="72">
        <v>8.0000000000000002E-3</v>
      </c>
      <c r="AW201" s="72"/>
      <c r="AX201" s="90">
        <v>2.5000000000000001E-2</v>
      </c>
      <c r="AY201" s="72"/>
      <c r="AZ201" s="75">
        <v>1</v>
      </c>
      <c r="BA201" s="135"/>
      <c r="BB201" s="135">
        <v>-0.73799999999999999</v>
      </c>
      <c r="BC201" s="90"/>
      <c r="BD201" s="72"/>
      <c r="BE201" s="72"/>
      <c r="BF201" s="72"/>
      <c r="BG201" s="72"/>
      <c r="BH201" s="72"/>
      <c r="BI201" s="72"/>
      <c r="BJ201" s="151"/>
      <c r="BK201" s="72"/>
      <c r="BL201" s="72"/>
      <c r="BM201" s="90"/>
      <c r="BN201" s="90"/>
      <c r="BO201" s="125"/>
      <c r="BP201" s="72"/>
      <c r="BQ201" s="125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</row>
    <row r="202" spans="1:85" x14ac:dyDescent="0.2">
      <c r="A202" s="354">
        <v>42064</v>
      </c>
      <c r="B202" s="277">
        <v>4.2670000000000003</v>
      </c>
      <c r="C202" s="90">
        <v>-0.73799999999999999</v>
      </c>
      <c r="D202" s="91">
        <v>-0.64698997242864698</v>
      </c>
      <c r="E202" s="76">
        <v>-0.25</v>
      </c>
      <c r="F202" s="76">
        <v>0</v>
      </c>
      <c r="G202" s="333">
        <v>0</v>
      </c>
      <c r="H202" s="333">
        <v>0</v>
      </c>
      <c r="I202" s="333">
        <v>0</v>
      </c>
      <c r="J202" s="334">
        <v>0</v>
      </c>
      <c r="K202" s="333">
        <v>0</v>
      </c>
      <c r="L202" s="335">
        <v>0.72</v>
      </c>
      <c r="M202" s="335">
        <v>-0.15</v>
      </c>
      <c r="N202" s="334">
        <v>0.35</v>
      </c>
      <c r="O202" s="236">
        <v>0</v>
      </c>
      <c r="P202" s="236">
        <v>6.8000000000000005E-2</v>
      </c>
      <c r="Q202" s="334">
        <v>0.16250000000000001</v>
      </c>
      <c r="R202" s="64">
        <v>0.17</v>
      </c>
      <c r="S202" s="334">
        <v>0.17</v>
      </c>
      <c r="T202" s="334">
        <v>0.75</v>
      </c>
      <c r="U202" s="334">
        <v>0.17</v>
      </c>
      <c r="V202" s="334">
        <v>3.5290000000000004</v>
      </c>
      <c r="W202" s="334">
        <v>3.6200100275713534</v>
      </c>
      <c r="X202" s="334">
        <v>4.0170000000000003</v>
      </c>
      <c r="Y202" s="335"/>
      <c r="Z202" s="72">
        <v>0.13</v>
      </c>
      <c r="AA202" s="336">
        <v>0.69706604528014271</v>
      </c>
      <c r="AB202" s="91">
        <v>5.0408731020361195</v>
      </c>
      <c r="AC202" s="72">
        <v>5.1708731020361194</v>
      </c>
      <c r="AD202" s="72">
        <v>5.7379391473162622</v>
      </c>
      <c r="AE202" s="72">
        <v>4.335</v>
      </c>
      <c r="AF202" s="72">
        <v>4.117</v>
      </c>
      <c r="AG202" s="337">
        <v>4.2670000000000003</v>
      </c>
      <c r="AH202" s="72">
        <v>-0.1</v>
      </c>
      <c r="AI202" s="283">
        <v>1.5070567898956699</v>
      </c>
      <c r="AJ202" s="88">
        <v>6.3063776791216303E-2</v>
      </c>
      <c r="AK202" s="88">
        <v>6.3559863777967102E-2</v>
      </c>
      <c r="AL202" s="90">
        <v>0.42779339327779481</v>
      </c>
      <c r="AM202" s="204">
        <v>0.42498941200514706</v>
      </c>
      <c r="AN202" s="72">
        <v>0</v>
      </c>
      <c r="AO202" s="72">
        <v>0.12</v>
      </c>
      <c r="AP202" s="72"/>
      <c r="AQ202" s="72">
        <v>-3.8102725724795725</v>
      </c>
      <c r="AR202" s="72">
        <v>-3.0722725724795725</v>
      </c>
      <c r="AS202" s="72"/>
      <c r="AT202" s="273">
        <v>7.4999999999999997E-3</v>
      </c>
      <c r="AU202" s="72"/>
      <c r="AV202" s="72">
        <v>8.0000000000000002E-3</v>
      </c>
      <c r="AW202" s="72"/>
      <c r="AX202" s="90">
        <v>5.0000000000000001E-3</v>
      </c>
      <c r="AY202" s="72"/>
      <c r="AZ202" s="75">
        <v>1</v>
      </c>
      <c r="BA202" s="135"/>
      <c r="BB202" s="135">
        <v>-0.73799999999999999</v>
      </c>
      <c r="BC202" s="90"/>
      <c r="BD202" s="72"/>
      <c r="BE202" s="72"/>
      <c r="BF202" s="72"/>
      <c r="BG202" s="72"/>
      <c r="BH202" s="72"/>
      <c r="BI202" s="72"/>
      <c r="BJ202" s="151"/>
      <c r="BK202" s="72"/>
      <c r="BL202" s="72"/>
      <c r="BM202" s="90"/>
      <c r="BN202" s="90"/>
      <c r="BO202" s="125"/>
      <c r="BP202" s="72"/>
      <c r="BQ202" s="125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</row>
    <row r="203" spans="1:85" x14ac:dyDescent="0.2">
      <c r="A203" s="354">
        <v>42095</v>
      </c>
      <c r="B203" s="277">
        <v>4.0470000000000006</v>
      </c>
      <c r="C203" s="90">
        <v>-0.83799999999999997</v>
      </c>
      <c r="D203" s="91">
        <v>-0.74699498751982141</v>
      </c>
      <c r="E203" s="76">
        <v>-0.25</v>
      </c>
      <c r="F203" s="76">
        <v>0</v>
      </c>
      <c r="G203" s="333">
        <v>0</v>
      </c>
      <c r="H203" s="333">
        <v>0</v>
      </c>
      <c r="I203" s="333">
        <v>0</v>
      </c>
      <c r="J203" s="334">
        <v>0</v>
      </c>
      <c r="K203" s="333">
        <v>0</v>
      </c>
      <c r="L203" s="335">
        <v>0.48</v>
      </c>
      <c r="M203" s="335">
        <v>-0.22</v>
      </c>
      <c r="N203" s="334">
        <v>0.43</v>
      </c>
      <c r="O203" s="236">
        <v>0</v>
      </c>
      <c r="P203" s="236">
        <v>-0.25</v>
      </c>
      <c r="Q203" s="334">
        <v>0.16250000000000001</v>
      </c>
      <c r="R203" s="64">
        <v>0.17</v>
      </c>
      <c r="S203" s="334">
        <v>0.17</v>
      </c>
      <c r="T203" s="334">
        <v>0.4</v>
      </c>
      <c r="U203" s="334">
        <v>0.17</v>
      </c>
      <c r="V203" s="334">
        <v>3.2090000000000005</v>
      </c>
      <c r="W203" s="334">
        <v>3.3000050124801792</v>
      </c>
      <c r="X203" s="334">
        <v>3.7970000000000002</v>
      </c>
      <c r="Y203" s="335"/>
      <c r="Z203" s="72">
        <v>0.13</v>
      </c>
      <c r="AA203" s="336">
        <v>0.83995373350065972</v>
      </c>
      <c r="AB203" s="91">
        <v>4.5840332156524157</v>
      </c>
      <c r="AC203" s="72">
        <v>4.7140332156524156</v>
      </c>
      <c r="AD203" s="72">
        <v>5.4239869491530754</v>
      </c>
      <c r="AE203" s="72">
        <v>3.7970000000000006</v>
      </c>
      <c r="AF203" s="72">
        <v>3.8270000000000004</v>
      </c>
      <c r="AG203" s="337">
        <v>4.0470000000000006</v>
      </c>
      <c r="AH203" s="72">
        <v>-0.1</v>
      </c>
      <c r="AI203" s="283">
        <v>1.50713984056509</v>
      </c>
      <c r="AJ203" s="88">
        <v>6.3104470777176791E-2</v>
      </c>
      <c r="AK203" s="88">
        <v>6.3593375261369503E-2</v>
      </c>
      <c r="AL203" s="90">
        <v>0.42531400273493342</v>
      </c>
      <c r="AM203" s="204">
        <v>0.42254955719975573</v>
      </c>
      <c r="AN203" s="72">
        <v>0</v>
      </c>
      <c r="AO203" s="72">
        <v>0.12</v>
      </c>
      <c r="AP203" s="72"/>
      <c r="AQ203" s="72">
        <v>-3.4905581144342195</v>
      </c>
      <c r="AR203" s="72">
        <v>-2.6525581144342194</v>
      </c>
      <c r="AS203" s="72"/>
      <c r="AT203" s="273">
        <v>7.4999999999999997E-3</v>
      </c>
      <c r="AU203" s="72"/>
      <c r="AV203" s="72">
        <v>8.0000000000000002E-3</v>
      </c>
      <c r="AW203" s="72"/>
      <c r="AX203" s="90">
        <v>-0.105</v>
      </c>
      <c r="AY203" s="72"/>
      <c r="AZ203" s="75">
        <v>1</v>
      </c>
      <c r="BA203" s="135"/>
      <c r="BB203" s="135">
        <v>-0.83799999999999997</v>
      </c>
      <c r="BC203" s="90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</row>
    <row r="204" spans="1:85" x14ac:dyDescent="0.2">
      <c r="A204" s="354">
        <v>42125</v>
      </c>
      <c r="B204" s="277">
        <v>4.0369999999999999</v>
      </c>
      <c r="C204" s="90">
        <v>-0.83799999999999997</v>
      </c>
      <c r="D204" s="91"/>
      <c r="E204" s="76"/>
      <c r="F204" s="76"/>
      <c r="G204" s="333"/>
      <c r="H204" s="333"/>
      <c r="I204" s="333"/>
      <c r="J204" s="334"/>
      <c r="K204" s="333"/>
      <c r="L204" s="335"/>
      <c r="M204" s="335"/>
      <c r="N204" s="334"/>
      <c r="O204" s="236"/>
      <c r="P204" s="236">
        <v>-0.1</v>
      </c>
      <c r="Q204" s="334"/>
      <c r="S204" s="334"/>
      <c r="T204" s="334"/>
      <c r="U204" s="334"/>
      <c r="V204" s="334">
        <v>3.1989999999999998</v>
      </c>
      <c r="W204" s="334"/>
      <c r="X204" s="334"/>
      <c r="Y204" s="335"/>
      <c r="Z204" s="72"/>
      <c r="AA204" s="336"/>
      <c r="AB204" s="91">
        <v>4.5699971269969781</v>
      </c>
      <c r="AC204" s="72"/>
      <c r="AD204" s="72"/>
      <c r="AE204" s="72"/>
      <c r="AF204" s="72"/>
      <c r="AG204" s="337"/>
      <c r="AH204" s="72"/>
      <c r="AI204" s="283">
        <v>1.5072219096032899</v>
      </c>
      <c r="AJ204" s="88">
        <v>6.3143852054435207E-2</v>
      </c>
      <c r="AK204" s="88">
        <v>6.36258057295334E-2</v>
      </c>
      <c r="AL204" s="90">
        <v>0.4229255832984839</v>
      </c>
      <c r="AM204" s="204">
        <v>0.42019954204299625</v>
      </c>
      <c r="AN204" s="72"/>
      <c r="AO204" s="72"/>
      <c r="AP204" s="72"/>
      <c r="AQ204" s="72"/>
      <c r="AR204" s="72"/>
      <c r="AS204" s="72"/>
      <c r="AT204" s="273"/>
      <c r="AU204" s="72"/>
      <c r="AV204" s="72"/>
      <c r="AW204" s="72"/>
      <c r="AX204" s="90"/>
      <c r="AY204" s="72"/>
      <c r="AZ204" s="75"/>
      <c r="BA204" s="135"/>
      <c r="BB204" s="135"/>
      <c r="BC204" s="90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</row>
    <row r="205" spans="1:85" x14ac:dyDescent="0.2">
      <c r="A205" s="354">
        <v>42156</v>
      </c>
      <c r="B205" s="277">
        <v>4.0730000000000004</v>
      </c>
      <c r="C205" s="72">
        <v>-0.83799999999999997</v>
      </c>
      <c r="D205" s="72"/>
      <c r="E205" s="72"/>
      <c r="F205" s="72"/>
      <c r="G205" s="333"/>
      <c r="H205" s="333"/>
      <c r="I205" s="333"/>
      <c r="J205" s="334"/>
      <c r="K205" s="333"/>
      <c r="L205" s="335"/>
      <c r="M205" s="335"/>
      <c r="N205" s="334"/>
      <c r="O205" s="236"/>
      <c r="P205" s="236">
        <v>-0.1</v>
      </c>
      <c r="Q205" s="334"/>
      <c r="S205" s="334"/>
      <c r="T205" s="334"/>
      <c r="U205" s="334"/>
      <c r="V205" s="334">
        <v>3.2349999999999999</v>
      </c>
      <c r="W205" s="334"/>
      <c r="X205" s="334"/>
      <c r="Y205" s="90"/>
      <c r="Z205" s="72"/>
      <c r="AA205" s="74"/>
      <c r="AB205" s="72">
        <v>4.6216910718750839</v>
      </c>
      <c r="AC205" s="72"/>
      <c r="AD205" s="72"/>
      <c r="AE205" s="72"/>
      <c r="AF205" s="72"/>
      <c r="AG205" s="337"/>
      <c r="AH205" s="72"/>
      <c r="AI205" s="283">
        <v>1.5073084684785898</v>
      </c>
      <c r="AJ205" s="88">
        <v>6.3184546041476594E-2</v>
      </c>
      <c r="AK205" s="88">
        <v>6.3659317213669492E-2</v>
      </c>
      <c r="AL205" s="90">
        <v>0.42046887392319404</v>
      </c>
      <c r="AM205" s="204">
        <v>0.41778265945687904</v>
      </c>
      <c r="AN205" s="72"/>
      <c r="AO205" s="72"/>
      <c r="AP205" s="72"/>
      <c r="AQ205" s="72"/>
      <c r="AR205" s="72"/>
      <c r="AS205" s="72"/>
      <c r="AT205" s="273"/>
      <c r="AU205" s="72"/>
      <c r="AV205" s="72"/>
      <c r="AW205" s="72"/>
      <c r="AX205" s="72"/>
      <c r="AY205" s="72"/>
      <c r="AZ205" s="75"/>
      <c r="BA205" s="75"/>
      <c r="BB205" s="75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</row>
    <row r="206" spans="1:85" x14ac:dyDescent="0.2">
      <c r="A206" s="354">
        <v>42186</v>
      </c>
      <c r="B206" s="277">
        <v>4.1150000000000002</v>
      </c>
      <c r="C206" s="72">
        <v>-0.83799999999999997</v>
      </c>
      <c r="D206" s="72"/>
      <c r="E206" s="72"/>
      <c r="F206" s="72"/>
      <c r="G206" s="333"/>
      <c r="H206" s="333"/>
      <c r="I206" s="333"/>
      <c r="J206" s="334"/>
      <c r="K206" s="333"/>
      <c r="L206" s="335"/>
      <c r="M206" s="335"/>
      <c r="N206" s="334"/>
      <c r="O206" s="236"/>
      <c r="P206" s="236">
        <v>-0.1</v>
      </c>
      <c r="Q206" s="334"/>
      <c r="S206" s="334"/>
      <c r="T206" s="334"/>
      <c r="U206" s="334"/>
      <c r="V206" s="334">
        <v>3.2770000000000001</v>
      </c>
      <c r="W206" s="334"/>
      <c r="X206" s="334"/>
      <c r="Y206" s="72"/>
      <c r="Z206" s="72"/>
      <c r="AA206" s="74"/>
      <c r="AB206" s="72">
        <v>4.681959932228021</v>
      </c>
      <c r="AC206" s="72"/>
      <c r="AD206" s="72"/>
      <c r="AE206" s="72"/>
      <c r="AF206" s="72"/>
      <c r="AG206" s="337"/>
      <c r="AH206" s="72"/>
      <c r="AI206" s="283">
        <v>1.50739393294378</v>
      </c>
      <c r="AJ206" s="88">
        <v>6.32239273197817E-2</v>
      </c>
      <c r="AK206" s="88">
        <v>6.369174768254289E-2</v>
      </c>
      <c r="AL206" s="90">
        <v>0.41810234028904597</v>
      </c>
      <c r="AM206" s="204">
        <v>0.41545479967126114</v>
      </c>
      <c r="AN206" s="72"/>
      <c r="AO206" s="72"/>
      <c r="AP206" s="72"/>
      <c r="AQ206" s="72"/>
      <c r="AR206" s="72"/>
      <c r="AS206" s="72"/>
      <c r="AT206" s="273"/>
      <c r="AU206" s="72"/>
      <c r="AV206" s="72"/>
      <c r="AW206" s="72"/>
      <c r="AX206" s="72"/>
      <c r="AY206" s="72"/>
      <c r="AZ206" s="75"/>
      <c r="BA206" s="75"/>
      <c r="BB206" s="75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</row>
    <row r="207" spans="1:85" x14ac:dyDescent="0.2">
      <c r="A207" s="354">
        <v>42217</v>
      </c>
      <c r="B207" s="277">
        <v>4.1640000000000006</v>
      </c>
      <c r="C207" s="72">
        <v>-0.83799999999999997</v>
      </c>
      <c r="D207" s="72"/>
      <c r="E207" s="72"/>
      <c r="F207" s="72"/>
      <c r="G207" s="333"/>
      <c r="H207" s="333"/>
      <c r="I207" s="333"/>
      <c r="J207" s="334"/>
      <c r="K207" s="333"/>
      <c r="L207" s="335"/>
      <c r="M207" s="335"/>
      <c r="N207" s="334"/>
      <c r="O207" s="236"/>
      <c r="P207" s="236">
        <v>-0.1</v>
      </c>
      <c r="Q207" s="334"/>
      <c r="S207" s="334"/>
      <c r="T207" s="334"/>
      <c r="U207" s="334"/>
      <c r="V207" s="334">
        <v>3.3260000000000005</v>
      </c>
      <c r="W207" s="334"/>
      <c r="X207" s="334"/>
      <c r="Y207" s="72"/>
      <c r="Z207" s="72"/>
      <c r="AA207" s="74"/>
      <c r="AB207" s="72">
        <v>4.7522518110862668</v>
      </c>
      <c r="AC207" s="72"/>
      <c r="AD207" s="72"/>
      <c r="AE207" s="72"/>
      <c r="AF207" s="72"/>
      <c r="AG207" s="337"/>
      <c r="AH207" s="72"/>
      <c r="AI207" s="283">
        <v>1.5074840008410799</v>
      </c>
      <c r="AJ207" s="88">
        <v>6.3264621307904001E-2</v>
      </c>
      <c r="AK207" s="88">
        <v>6.3725259167411299E-2</v>
      </c>
      <c r="AL207" s="90">
        <v>0.4156681803396467</v>
      </c>
      <c r="AM207" s="204">
        <v>0.41306073270978294</v>
      </c>
      <c r="AN207" s="72"/>
      <c r="AO207" s="72"/>
      <c r="AP207" s="72"/>
      <c r="AQ207" s="72"/>
      <c r="AR207" s="72"/>
      <c r="AS207" s="72"/>
      <c r="AT207" s="273"/>
      <c r="AU207" s="72"/>
      <c r="AV207" s="72"/>
      <c r="AW207" s="72"/>
      <c r="AX207" s="72"/>
      <c r="AY207" s="72"/>
      <c r="AZ207" s="75"/>
      <c r="BA207" s="75"/>
      <c r="BB207" s="75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</row>
    <row r="208" spans="1:85" x14ac:dyDescent="0.2">
      <c r="A208" s="354">
        <v>42248</v>
      </c>
      <c r="B208" s="277">
        <v>4.1790000000000003</v>
      </c>
      <c r="C208" s="72">
        <v>-0.83799999999999997</v>
      </c>
      <c r="D208" s="72"/>
      <c r="E208" s="72"/>
      <c r="F208" s="72"/>
      <c r="G208" s="333"/>
      <c r="H208" s="333"/>
      <c r="I208" s="333"/>
      <c r="J208" s="334"/>
      <c r="K208" s="333"/>
      <c r="L208" s="335"/>
      <c r="M208" s="335"/>
      <c r="N208" s="334"/>
      <c r="O208" s="236"/>
      <c r="P208" s="236">
        <v>-0.1</v>
      </c>
      <c r="Q208" s="334"/>
      <c r="S208" s="334"/>
      <c r="T208" s="334"/>
      <c r="U208" s="334"/>
      <c r="V208" s="334">
        <v>3.3410000000000002</v>
      </c>
      <c r="W208" s="334"/>
      <c r="X208" s="334"/>
      <c r="Y208" s="72"/>
      <c r="Z208" s="72"/>
      <c r="AA208" s="74"/>
      <c r="AB208" s="72">
        <v>4.773974957412662</v>
      </c>
      <c r="AC208" s="72"/>
      <c r="AD208" s="72"/>
      <c r="AE208" s="72"/>
      <c r="AF208" s="72"/>
      <c r="AG208" s="337"/>
      <c r="AH208" s="72"/>
      <c r="AI208" s="283">
        <v>1.5075758523400098</v>
      </c>
      <c r="AJ208" s="88">
        <v>6.3305315296575709E-2</v>
      </c>
      <c r="AK208" s="88">
        <v>6.37587706526523E-2</v>
      </c>
      <c r="AL208" s="90">
        <v>0.41324542936678182</v>
      </c>
      <c r="AM208" s="204">
        <v>0.41067820066133054</v>
      </c>
      <c r="AN208" s="72"/>
      <c r="AO208" s="72"/>
      <c r="AP208" s="72"/>
      <c r="AQ208" s="72"/>
      <c r="AR208" s="72"/>
      <c r="AS208" s="72"/>
      <c r="AT208" s="273"/>
      <c r="AU208" s="72"/>
      <c r="AV208" s="72"/>
      <c r="AW208" s="72"/>
      <c r="AX208" s="72"/>
      <c r="AY208" s="72"/>
      <c r="AZ208" s="75"/>
      <c r="BA208" s="75"/>
      <c r="BB208" s="75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</row>
    <row r="209" spans="1:84" x14ac:dyDescent="0.2">
      <c r="A209" s="354">
        <v>42278</v>
      </c>
      <c r="B209" s="277">
        <v>4.2080000000000002</v>
      </c>
      <c r="C209" s="72">
        <v>-0.83799999999999997</v>
      </c>
      <c r="D209" s="72"/>
      <c r="E209" s="72"/>
      <c r="F209" s="72"/>
      <c r="G209" s="333"/>
      <c r="H209" s="333"/>
      <c r="I209" s="333"/>
      <c r="J209" s="334"/>
      <c r="K209" s="333"/>
      <c r="L209" s="335"/>
      <c r="M209" s="335"/>
      <c r="N209" s="334"/>
      <c r="O209" s="236"/>
      <c r="P209" s="236">
        <v>-0.1</v>
      </c>
      <c r="Q209" s="334"/>
      <c r="S209" s="334"/>
      <c r="T209" s="334"/>
      <c r="U209" s="334"/>
      <c r="V209" s="334">
        <v>3.37</v>
      </c>
      <c r="W209" s="334"/>
      <c r="X209" s="334"/>
      <c r="Y209" s="72"/>
      <c r="Z209" s="72"/>
      <c r="AA209" s="74"/>
      <c r="AB209" s="72">
        <v>4.8157025793336024</v>
      </c>
      <c r="AC209" s="72"/>
      <c r="AD209" s="72"/>
      <c r="AE209" s="72"/>
      <c r="AF209" s="72"/>
      <c r="AG209" s="337"/>
      <c r="AH209" s="72"/>
      <c r="AI209" s="283">
        <v>1.5076664393297901</v>
      </c>
      <c r="AJ209" s="88">
        <v>6.3344696576458095E-2</v>
      </c>
      <c r="AK209" s="88">
        <v>6.3791201122595606E-2</v>
      </c>
      <c r="AL209" s="90">
        <v>0.41091166237948945</v>
      </c>
      <c r="AM209" s="204">
        <v>0.4083834692806656</v>
      </c>
      <c r="AN209" s="72"/>
      <c r="AO209" s="72"/>
      <c r="AP209" s="72"/>
      <c r="AQ209" s="72"/>
      <c r="AR209" s="72"/>
      <c r="AS209" s="72"/>
      <c r="AT209" s="273"/>
      <c r="AU209" s="72"/>
      <c r="AV209" s="72"/>
      <c r="AW209" s="72"/>
      <c r="AX209" s="72"/>
      <c r="AY209" s="72"/>
      <c r="AZ209" s="75"/>
      <c r="BA209" s="75"/>
      <c r="BB209" s="75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</row>
    <row r="210" spans="1:84" x14ac:dyDescent="0.2">
      <c r="A210" s="354">
        <v>42309</v>
      </c>
      <c r="B210" s="277">
        <v>4.3479999999999999</v>
      </c>
      <c r="C210" s="72">
        <v>-0.73799999999999999</v>
      </c>
      <c r="D210" s="72"/>
      <c r="E210" s="72"/>
      <c r="F210" s="72"/>
      <c r="G210" s="333"/>
      <c r="H210" s="333"/>
      <c r="I210" s="333"/>
      <c r="J210" s="334"/>
      <c r="K210" s="333"/>
      <c r="L210" s="335"/>
      <c r="M210" s="335"/>
      <c r="N210" s="334"/>
      <c r="O210" s="338"/>
      <c r="P210" s="334"/>
      <c r="Q210" s="334"/>
      <c r="S210" s="334"/>
      <c r="T210" s="334"/>
      <c r="U210" s="334"/>
      <c r="V210" s="334">
        <v>3.61</v>
      </c>
      <c r="W210" s="334"/>
      <c r="X210" s="334"/>
      <c r="Y210" s="72"/>
      <c r="Z210" s="72"/>
      <c r="AA210" s="74"/>
      <c r="AB210" s="72">
        <v>5.1589869184506503</v>
      </c>
      <c r="AC210" s="72"/>
      <c r="AD210" s="72"/>
      <c r="AE210" s="72"/>
      <c r="AF210" s="72"/>
      <c r="AG210" s="337"/>
      <c r="AH210" s="72"/>
      <c r="AI210" s="283">
        <v>1.50776180117254</v>
      </c>
      <c r="AJ210" s="88">
        <v>6.3385390566210703E-2</v>
      </c>
      <c r="AK210" s="88">
        <v>6.3824712608569811E-2</v>
      </c>
      <c r="AL210" s="90">
        <v>0.4085112616749475</v>
      </c>
      <c r="AM210" s="204">
        <v>0.40602351727243369</v>
      </c>
      <c r="AN210" s="72"/>
      <c r="AO210" s="72"/>
      <c r="AP210" s="72"/>
      <c r="AQ210" s="72"/>
      <c r="AR210" s="72"/>
      <c r="AS210" s="72"/>
      <c r="AT210" s="273"/>
      <c r="AU210" s="72"/>
      <c r="AV210" s="72"/>
      <c r="AW210" s="72"/>
      <c r="AX210" s="72"/>
      <c r="AY210" s="72"/>
      <c r="AZ210" s="75"/>
      <c r="BA210" s="75"/>
      <c r="BB210" s="75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</row>
    <row r="211" spans="1:84" x14ac:dyDescent="0.2">
      <c r="A211" s="354">
        <v>42339</v>
      </c>
      <c r="B211" s="277">
        <v>4.4880000000000004</v>
      </c>
      <c r="C211" s="72">
        <v>-0.73799999999999999</v>
      </c>
      <c r="D211" s="72"/>
      <c r="E211" s="72"/>
      <c r="F211" s="72"/>
      <c r="G211" s="333"/>
      <c r="H211" s="333"/>
      <c r="I211" s="333"/>
      <c r="J211" s="334"/>
      <c r="K211" s="333"/>
      <c r="L211" s="335"/>
      <c r="M211" s="335"/>
      <c r="N211" s="334"/>
      <c r="O211" s="338"/>
      <c r="P211" s="334"/>
      <c r="Q211" s="334"/>
      <c r="S211" s="334"/>
      <c r="T211" s="334"/>
      <c r="U211" s="334"/>
      <c r="V211" s="334">
        <v>3.75</v>
      </c>
      <c r="W211" s="334"/>
      <c r="X211" s="334"/>
      <c r="Y211" s="72"/>
      <c r="Z211" s="72"/>
      <c r="AA211" s="74"/>
      <c r="AB211" s="72">
        <v>5.3593924838468761</v>
      </c>
      <c r="AC211" s="72"/>
      <c r="AD211" s="72"/>
      <c r="AE211" s="72"/>
      <c r="AF211" s="72"/>
      <c r="AG211" s="337"/>
      <c r="AH211" s="72"/>
      <c r="AI211" s="283">
        <v>1.5078557857166799</v>
      </c>
      <c r="AJ211" s="88">
        <v>6.3424771847139502E-2</v>
      </c>
      <c r="AK211" s="88">
        <v>6.3857143079221412E-2</v>
      </c>
      <c r="AL211" s="90">
        <v>0.40619905997309669</v>
      </c>
      <c r="AM211" s="204">
        <v>0.40375056211806909</v>
      </c>
      <c r="AN211" s="72"/>
      <c r="AO211" s="72"/>
      <c r="AP211" s="72"/>
      <c r="AQ211" s="72"/>
      <c r="AR211" s="72"/>
      <c r="AS211" s="72"/>
      <c r="AT211" s="273"/>
      <c r="AU211" s="72"/>
      <c r="AV211" s="72"/>
      <c r="AW211" s="72"/>
      <c r="AX211" s="72"/>
      <c r="AY211" s="72"/>
      <c r="AZ211" s="75"/>
      <c r="BA211" s="75"/>
      <c r="BB211" s="75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</row>
    <row r="212" spans="1:84" x14ac:dyDescent="0.2">
      <c r="A212" s="354">
        <v>42370</v>
      </c>
      <c r="B212" s="277">
        <v>4.5979999999999999</v>
      </c>
      <c r="C212" s="72">
        <v>-0.73799999999999999</v>
      </c>
      <c r="D212" s="72"/>
      <c r="E212" s="72"/>
      <c r="F212" s="72"/>
      <c r="G212" s="333"/>
      <c r="H212" s="333"/>
      <c r="I212" s="333"/>
      <c r="J212" s="334"/>
      <c r="K212" s="333"/>
      <c r="L212" s="335"/>
      <c r="M212" s="335"/>
      <c r="N212" s="334"/>
      <c r="O212" s="338"/>
      <c r="P212" s="334"/>
      <c r="Q212" s="334"/>
      <c r="S212" s="334"/>
      <c r="T212" s="334"/>
      <c r="U212" s="334"/>
      <c r="V212" s="334">
        <v>3.86</v>
      </c>
      <c r="W212" s="334"/>
      <c r="X212" s="334"/>
      <c r="Y212" s="72"/>
      <c r="Z212" s="72"/>
      <c r="AA212" s="74"/>
      <c r="AB212" s="72">
        <v>5.5169630646358474</v>
      </c>
      <c r="AC212" s="72"/>
      <c r="AD212" s="72"/>
      <c r="AE212" s="72"/>
      <c r="AF212" s="72"/>
      <c r="AG212" s="337"/>
      <c r="AH212" s="72"/>
      <c r="AI212" s="283">
        <v>1.5079546588400101</v>
      </c>
      <c r="AJ212" s="88">
        <v>6.3465465837972995E-2</v>
      </c>
      <c r="AK212" s="88">
        <v>6.3890654565928809E-2</v>
      </c>
      <c r="AL212" s="90">
        <v>0.40382087720263843</v>
      </c>
      <c r="AM212" s="204">
        <v>0.4014130343537089</v>
      </c>
      <c r="AN212" s="72"/>
      <c r="AO212" s="72"/>
      <c r="AP212" s="72"/>
      <c r="AQ212" s="72"/>
      <c r="AR212" s="72"/>
      <c r="AS212" s="72"/>
      <c r="AT212" s="273"/>
      <c r="AU212" s="72"/>
      <c r="AV212" s="72"/>
      <c r="AW212" s="72"/>
      <c r="AX212" s="72"/>
      <c r="AY212" s="72"/>
      <c r="AZ212" s="75"/>
      <c r="BA212" s="75"/>
      <c r="BB212" s="75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</row>
    <row r="213" spans="1:84" x14ac:dyDescent="0.2">
      <c r="A213" s="354">
        <v>42401</v>
      </c>
      <c r="B213" s="277">
        <v>4.4800000000000004</v>
      </c>
      <c r="C213" s="72">
        <v>-0.73799999999999999</v>
      </c>
      <c r="D213" s="72"/>
      <c r="E213" s="72"/>
      <c r="F213" s="72"/>
      <c r="G213" s="333"/>
      <c r="H213" s="333"/>
      <c r="I213" s="333"/>
      <c r="J213" s="334"/>
      <c r="K213" s="333"/>
      <c r="L213" s="335"/>
      <c r="M213" s="335"/>
      <c r="N213" s="334"/>
      <c r="O213" s="338"/>
      <c r="P213" s="334"/>
      <c r="Q213" s="334"/>
      <c r="S213" s="334"/>
      <c r="T213" s="334"/>
      <c r="U213" s="334"/>
      <c r="V213" s="334">
        <v>3.7420000000000004</v>
      </c>
      <c r="W213" s="334"/>
      <c r="X213" s="334"/>
      <c r="Y213" s="72"/>
      <c r="Z213" s="72"/>
      <c r="AA213" s="74"/>
      <c r="AB213" s="72">
        <v>5.3486667961818171</v>
      </c>
      <c r="AC213" s="72"/>
      <c r="AD213" s="72"/>
      <c r="AE213" s="72"/>
      <c r="AF213" s="72"/>
      <c r="AG213" s="337"/>
      <c r="AH213" s="72"/>
      <c r="AI213" s="283">
        <v>1.50805531675906</v>
      </c>
      <c r="AJ213" s="88">
        <v>6.3506159829356298E-2</v>
      </c>
      <c r="AK213" s="88">
        <v>6.3924166053008311E-2</v>
      </c>
      <c r="AL213" s="90">
        <v>0.40145393473186053</v>
      </c>
      <c r="AM213" s="204">
        <v>0.39908684291774871</v>
      </c>
      <c r="AN213" s="72"/>
      <c r="AO213" s="72"/>
      <c r="AP213" s="72"/>
      <c r="AQ213" s="72"/>
      <c r="AR213" s="72"/>
      <c r="AS213" s="72"/>
      <c r="AT213" s="273"/>
      <c r="AU213" s="72"/>
      <c r="AV213" s="72"/>
      <c r="AW213" s="72"/>
      <c r="AX213" s="72"/>
      <c r="AY213" s="72"/>
      <c r="AZ213" s="75"/>
      <c r="BA213" s="75"/>
      <c r="BB213" s="75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</row>
    <row r="214" spans="1:84" x14ac:dyDescent="0.2">
      <c r="A214" s="354">
        <v>42430</v>
      </c>
      <c r="B214" s="277">
        <v>4.3470000000000004</v>
      </c>
      <c r="C214" s="72">
        <v>-0.73799999999999999</v>
      </c>
      <c r="D214" s="72"/>
      <c r="E214" s="72"/>
      <c r="F214" s="72"/>
      <c r="G214" s="333"/>
      <c r="H214" s="333"/>
      <c r="I214" s="333"/>
      <c r="J214" s="334"/>
      <c r="K214" s="333"/>
      <c r="L214" s="335"/>
      <c r="M214" s="335"/>
      <c r="N214" s="334"/>
      <c r="O214" s="338"/>
      <c r="P214" s="334"/>
      <c r="Q214" s="334"/>
      <c r="S214" s="334"/>
      <c r="T214" s="334"/>
      <c r="U214" s="334"/>
      <c r="V214" s="334">
        <v>3.6090000000000004</v>
      </c>
      <c r="W214" s="334"/>
      <c r="X214" s="334"/>
      <c r="Y214" s="72"/>
      <c r="Z214" s="72"/>
      <c r="AA214" s="74"/>
      <c r="AB214" s="72">
        <v>5.1588894881079366</v>
      </c>
      <c r="AC214" s="72"/>
      <c r="AD214" s="72"/>
      <c r="AE214" s="72"/>
      <c r="AF214" s="72"/>
      <c r="AG214" s="337"/>
      <c r="AH214" s="72"/>
      <c r="AI214" s="283">
        <v>1.5081510966376299</v>
      </c>
      <c r="AJ214" s="88">
        <v>6.3544228402437203E-2</v>
      </c>
      <c r="AK214" s="88">
        <v>6.3955515509000402E-2</v>
      </c>
      <c r="AL214" s="90">
        <v>0.39924984380318934</v>
      </c>
      <c r="AM214" s="204">
        <v>0.39692095567843266</v>
      </c>
      <c r="AN214" s="72"/>
      <c r="AO214" s="72"/>
      <c r="AP214" s="72"/>
      <c r="AQ214" s="72"/>
      <c r="AR214" s="72"/>
      <c r="AS214" s="72"/>
      <c r="AT214" s="273"/>
      <c r="AU214" s="72"/>
      <c r="AV214" s="72"/>
      <c r="AW214" s="72"/>
      <c r="AX214" s="72"/>
      <c r="AY214" s="72"/>
      <c r="AZ214" s="75"/>
      <c r="BA214" s="75"/>
      <c r="BB214" s="75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</row>
    <row r="215" spans="1:84" x14ac:dyDescent="0.2">
      <c r="A215" s="354">
        <v>42461</v>
      </c>
      <c r="B215" s="277">
        <v>4.1269999999999998</v>
      </c>
      <c r="C215" s="72">
        <v>-0.83799999999999997</v>
      </c>
      <c r="D215" s="72"/>
      <c r="E215" s="72"/>
      <c r="F215" s="72"/>
      <c r="G215" s="333"/>
      <c r="H215" s="333"/>
      <c r="I215" s="333"/>
      <c r="J215" s="334"/>
      <c r="K215" s="333"/>
      <c r="L215" s="335"/>
      <c r="M215" s="335"/>
      <c r="N215" s="334"/>
      <c r="O215" s="338"/>
      <c r="P215" s="334"/>
      <c r="Q215" s="334"/>
      <c r="S215" s="334"/>
      <c r="T215" s="334"/>
      <c r="U215" s="334"/>
      <c r="V215" s="334">
        <v>3.2889999999999997</v>
      </c>
      <c r="W215" s="334"/>
      <c r="X215" s="334"/>
      <c r="Y215" s="72"/>
      <c r="Z215" s="72"/>
      <c r="AA215" s="74"/>
      <c r="AB215" s="72">
        <v>4.7017896536819102</v>
      </c>
      <c r="AC215" s="72"/>
      <c r="AD215" s="72"/>
      <c r="AE215" s="72"/>
      <c r="AF215" s="72"/>
      <c r="AG215" s="337"/>
      <c r="AH215" s="72"/>
      <c r="AI215" s="283">
        <v>1.5082552097461299</v>
      </c>
      <c r="AJ215" s="88">
        <v>6.3584922394883198E-2</v>
      </c>
      <c r="AK215" s="88">
        <v>6.3989026996800202E-2</v>
      </c>
      <c r="AL215" s="90">
        <v>0.39690455941364328</v>
      </c>
      <c r="AM215" s="204">
        <v>0.39461659163323742</v>
      </c>
      <c r="AN215" s="72"/>
      <c r="AO215" s="72"/>
      <c r="AP215" s="72"/>
      <c r="AQ215" s="72"/>
      <c r="AR215" s="72"/>
      <c r="AS215" s="72"/>
      <c r="AT215" s="273"/>
      <c r="AU215" s="72"/>
      <c r="AV215" s="72"/>
      <c r="AW215" s="72"/>
      <c r="AX215" s="72"/>
      <c r="AY215" s="72"/>
      <c r="AZ215" s="75"/>
      <c r="BA215" s="75"/>
      <c r="BB215" s="75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</row>
    <row r="216" spans="1:84" x14ac:dyDescent="0.2">
      <c r="A216" s="354">
        <v>42491</v>
      </c>
      <c r="B216" s="277">
        <v>4.117</v>
      </c>
      <c r="C216" s="72">
        <v>-0.83799999999999997</v>
      </c>
      <c r="D216" s="72"/>
      <c r="E216" s="72"/>
      <c r="F216" s="72"/>
      <c r="G216" s="333"/>
      <c r="H216" s="333"/>
      <c r="I216" s="333"/>
      <c r="J216" s="334"/>
      <c r="K216" s="333"/>
      <c r="L216" s="335"/>
      <c r="M216" s="335"/>
      <c r="N216" s="334"/>
      <c r="O216" s="338"/>
      <c r="P216" s="334"/>
      <c r="Q216" s="334"/>
      <c r="S216" s="334"/>
      <c r="T216" s="334"/>
      <c r="U216" s="334"/>
      <c r="V216" s="334">
        <v>3.2789999999999999</v>
      </c>
      <c r="W216" s="334"/>
      <c r="X216" s="334"/>
      <c r="Y216" s="72"/>
      <c r="Z216" s="72"/>
      <c r="AA216" s="74"/>
      <c r="AB216" s="72">
        <v>4.687812572800035</v>
      </c>
      <c r="AC216" s="72"/>
      <c r="AD216" s="72"/>
      <c r="AE216" s="72"/>
      <c r="AF216" s="72"/>
      <c r="AG216" s="337"/>
      <c r="AH216" s="72"/>
      <c r="AI216" s="283">
        <v>1.5083576644733498</v>
      </c>
      <c r="AJ216" s="88">
        <v>6.3624303678418301E-2</v>
      </c>
      <c r="AK216" s="88">
        <v>6.4021457469219709E-2</v>
      </c>
      <c r="AL216" s="90">
        <v>0.39464553616145442</v>
      </c>
      <c r="AM216" s="204">
        <v>0.39239724404701626</v>
      </c>
      <c r="AN216" s="72"/>
      <c r="AO216" s="72"/>
      <c r="AP216" s="72"/>
      <c r="AQ216" s="72"/>
      <c r="AR216" s="72"/>
      <c r="AS216" s="72"/>
      <c r="AT216" s="273"/>
      <c r="AU216" s="72"/>
      <c r="AV216" s="72"/>
      <c r="AW216" s="72"/>
      <c r="AX216" s="72"/>
      <c r="AY216" s="72"/>
      <c r="AZ216" s="75"/>
      <c r="BA216" s="75"/>
      <c r="BB216" s="75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</row>
    <row r="217" spans="1:84" x14ac:dyDescent="0.2">
      <c r="A217" s="354">
        <v>42522</v>
      </c>
      <c r="B217" s="277">
        <v>4.1530000000000005</v>
      </c>
      <c r="C217" s="72">
        <v>-0.83799999999999997</v>
      </c>
      <c r="D217" s="72"/>
      <c r="E217" s="72"/>
      <c r="F217" s="72"/>
      <c r="G217" s="333"/>
      <c r="H217" s="333"/>
      <c r="I217" s="333"/>
      <c r="J217" s="334"/>
      <c r="K217" s="333"/>
      <c r="L217" s="335"/>
      <c r="M217" s="335"/>
      <c r="N217" s="334"/>
      <c r="O217" s="338"/>
      <c r="P217" s="334"/>
      <c r="Q217" s="334"/>
      <c r="S217" s="334"/>
      <c r="T217" s="334"/>
      <c r="U217" s="334"/>
      <c r="V217" s="334">
        <v>3.3149999999999999</v>
      </c>
      <c r="W217" s="334"/>
      <c r="X217" s="334"/>
      <c r="Y217" s="72"/>
      <c r="Z217" s="72"/>
      <c r="AA217" s="74"/>
      <c r="AB217" s="72">
        <v>4.7396180307124185</v>
      </c>
      <c r="AC217" s="72"/>
      <c r="AD217" s="72"/>
      <c r="AE217" s="72"/>
      <c r="AF217" s="72"/>
      <c r="AG217" s="337"/>
      <c r="AH217" s="72"/>
      <c r="AI217" s="283">
        <v>1.5084652914061298</v>
      </c>
      <c r="AJ217" s="88">
        <v>6.3664997671945209E-2</v>
      </c>
      <c r="AK217" s="88">
        <v>6.4054968957752811E-2</v>
      </c>
      <c r="AL217" s="90">
        <v>0.39232213908804825</v>
      </c>
      <c r="AM217" s="204">
        <v>0.39011491751122573</v>
      </c>
      <c r="AN217" s="72"/>
      <c r="AO217" s="72"/>
      <c r="AP217" s="72"/>
      <c r="AQ217" s="72"/>
      <c r="AR217" s="72"/>
      <c r="AS217" s="72"/>
      <c r="AT217" s="273"/>
      <c r="AU217" s="72"/>
      <c r="AV217" s="72"/>
      <c r="AW217" s="72"/>
      <c r="AX217" s="72"/>
      <c r="AY217" s="72"/>
      <c r="AZ217" s="75"/>
      <c r="BA217" s="75"/>
      <c r="BB217" s="75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</row>
    <row r="218" spans="1:84" x14ac:dyDescent="0.2">
      <c r="A218" s="354">
        <v>42552</v>
      </c>
      <c r="B218" s="277">
        <v>4.1950000000000003</v>
      </c>
      <c r="C218" s="72">
        <v>-0.83799999999999997</v>
      </c>
      <c r="D218" s="72"/>
      <c r="E218" s="72"/>
      <c r="F218" s="72"/>
      <c r="G218" s="333"/>
      <c r="H218" s="333"/>
      <c r="I218" s="333"/>
      <c r="J218" s="334"/>
      <c r="K218" s="333"/>
      <c r="L218" s="335"/>
      <c r="M218" s="335"/>
      <c r="N218" s="334"/>
      <c r="O218" s="338"/>
      <c r="P218" s="339"/>
      <c r="Q218" s="188"/>
      <c r="S218" s="188"/>
      <c r="T218" s="90"/>
      <c r="U218" s="90"/>
      <c r="V218" s="90">
        <v>3.3570000000000002</v>
      </c>
      <c r="W218" s="72"/>
      <c r="X218" s="72"/>
      <c r="Y218" s="72"/>
      <c r="Z218" s="72"/>
      <c r="AA218" s="74"/>
      <c r="AB218" s="72">
        <v>4.7997522802012194</v>
      </c>
      <c r="AC218" s="72"/>
      <c r="AD218" s="72"/>
      <c r="AE218" s="72"/>
      <c r="AF218" s="72"/>
      <c r="AG218" s="337"/>
      <c r="AH218" s="72"/>
      <c r="AI218" s="283">
        <v>1.50849193974977</v>
      </c>
      <c r="AJ218" s="88">
        <v>6.3700769844336591E-2</v>
      </c>
      <c r="AK218" s="88">
        <v>6.4087399430881514E-2</v>
      </c>
      <c r="AL218" s="90">
        <v>0.39010471519156142</v>
      </c>
      <c r="AM218" s="204">
        <v>0.38791682170392222</v>
      </c>
      <c r="AN218" s="72"/>
      <c r="AO218" s="72"/>
      <c r="AP218" s="72"/>
      <c r="AQ218" s="72"/>
      <c r="AR218" s="72"/>
      <c r="AS218" s="72"/>
      <c r="AT218" s="273"/>
      <c r="AU218" s="72"/>
      <c r="AV218" s="72"/>
      <c r="AW218" s="72"/>
      <c r="AX218" s="72"/>
      <c r="AY218" s="72"/>
      <c r="AZ218" s="75"/>
      <c r="BA218" s="75"/>
      <c r="BB218" s="75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</row>
    <row r="219" spans="1:84" x14ac:dyDescent="0.2">
      <c r="A219" s="354">
        <v>42583</v>
      </c>
      <c r="B219" s="277">
        <v>4.2439999999999998</v>
      </c>
      <c r="C219" s="72">
        <v>-0.83799999999999997</v>
      </c>
      <c r="D219" s="72"/>
      <c r="E219" s="72"/>
      <c r="F219" s="72"/>
      <c r="G219" s="333"/>
      <c r="H219" s="333"/>
      <c r="I219" s="333"/>
      <c r="J219" s="334"/>
      <c r="K219" s="333"/>
      <c r="L219" s="335"/>
      <c r="M219" s="335"/>
      <c r="N219" s="334"/>
      <c r="O219" s="338"/>
      <c r="P219" s="339"/>
      <c r="Q219" s="188"/>
      <c r="S219" s="188"/>
      <c r="T219" s="90"/>
      <c r="U219" s="90"/>
      <c r="V219" s="90">
        <v>3.4059999999999997</v>
      </c>
      <c r="W219" s="72"/>
      <c r="X219" s="72"/>
      <c r="Y219" s="72"/>
      <c r="Z219" s="72"/>
      <c r="AA219" s="74"/>
      <c r="AB219" s="72">
        <v>4.868175996045828</v>
      </c>
      <c r="AC219" s="72"/>
      <c r="AD219" s="72"/>
      <c r="AE219" s="72"/>
      <c r="AF219" s="72"/>
      <c r="AG219" s="337"/>
      <c r="AH219" s="72"/>
      <c r="AI219" s="283">
        <v>1.5079854062490099</v>
      </c>
      <c r="AJ219" s="88">
        <v>6.37134932191947E-2</v>
      </c>
      <c r="AK219" s="88">
        <v>6.4120910920147697E-2</v>
      </c>
      <c r="AL219" s="90">
        <v>0.38796179534824388</v>
      </c>
      <c r="AM219" s="204">
        <v>0.3856563780931534</v>
      </c>
      <c r="AN219" s="72"/>
      <c r="AO219" s="72"/>
      <c r="AP219" s="72"/>
      <c r="AQ219" s="72"/>
      <c r="AR219" s="72"/>
      <c r="AS219" s="72"/>
      <c r="AT219" s="273"/>
      <c r="AU219" s="72"/>
      <c r="AV219" s="72"/>
      <c r="AW219" s="72"/>
      <c r="AX219" s="72"/>
      <c r="AY219" s="72"/>
      <c r="AZ219" s="75"/>
      <c r="BA219" s="75"/>
      <c r="BB219" s="75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</row>
    <row r="220" spans="1:84" x14ac:dyDescent="0.2">
      <c r="A220" s="354">
        <v>42614</v>
      </c>
      <c r="B220" s="277">
        <v>4.2590000000000003</v>
      </c>
      <c r="C220" s="72">
        <v>-0.83799999999999997</v>
      </c>
      <c r="D220" s="72"/>
      <c r="E220" s="72"/>
      <c r="F220" s="72"/>
      <c r="G220" s="333"/>
      <c r="H220" s="333"/>
      <c r="I220" s="333"/>
      <c r="J220" s="334"/>
      <c r="K220" s="333"/>
      <c r="L220" s="335"/>
      <c r="M220" s="335"/>
      <c r="N220" s="334"/>
      <c r="O220" s="338"/>
      <c r="P220" s="339"/>
      <c r="Q220" s="188"/>
      <c r="S220" s="188"/>
      <c r="T220" s="90"/>
      <c r="U220" s="90"/>
      <c r="V220" s="90">
        <v>3.4210000000000003</v>
      </c>
      <c r="W220" s="72"/>
      <c r="X220" s="72"/>
      <c r="Y220" s="72"/>
      <c r="Z220" s="72"/>
      <c r="AA220" s="74"/>
      <c r="AB220" s="72">
        <v>4.8879568574800016</v>
      </c>
      <c r="AC220" s="72"/>
      <c r="AD220" s="72"/>
      <c r="AE220" s="72"/>
      <c r="AF220" s="72"/>
      <c r="AG220" s="337"/>
      <c r="AH220" s="72"/>
      <c r="AI220" s="283">
        <v>1.5074738995104999</v>
      </c>
      <c r="AJ220" s="88">
        <v>6.3726216594106211E-2</v>
      </c>
      <c r="AK220" s="88">
        <v>6.4154422409785597E-2</v>
      </c>
      <c r="AL220" s="90">
        <v>0.38582983984527869</v>
      </c>
      <c r="AM220" s="204">
        <v>0.38340699618923602</v>
      </c>
      <c r="AN220" s="72"/>
      <c r="AO220" s="72"/>
      <c r="AP220" s="72"/>
      <c r="AQ220" s="72"/>
      <c r="AR220" s="72"/>
      <c r="AS220" s="72"/>
      <c r="AT220" s="273"/>
      <c r="AU220" s="72"/>
      <c r="AV220" s="72"/>
      <c r="AW220" s="72"/>
      <c r="AX220" s="72"/>
      <c r="AY220" s="72"/>
      <c r="AZ220" s="75"/>
      <c r="BA220" s="75"/>
      <c r="BB220" s="75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</row>
    <row r="221" spans="1:84" x14ac:dyDescent="0.2">
      <c r="A221" s="354">
        <v>42644</v>
      </c>
      <c r="B221" s="277">
        <v>4.2880000000000003</v>
      </c>
      <c r="C221" s="72">
        <v>-0.83799999999999997</v>
      </c>
      <c r="D221" s="72"/>
      <c r="E221" s="72"/>
      <c r="F221" s="72"/>
      <c r="G221" s="333"/>
      <c r="H221" s="333"/>
      <c r="I221" s="333"/>
      <c r="J221" s="334"/>
      <c r="K221" s="333"/>
      <c r="L221" s="335"/>
      <c r="M221" s="335"/>
      <c r="N221" s="334"/>
      <c r="O221" s="338"/>
      <c r="P221" s="339"/>
      <c r="Q221" s="188"/>
      <c r="S221" s="188"/>
      <c r="T221" s="72"/>
      <c r="U221" s="72"/>
      <c r="V221" s="72">
        <v>3.45</v>
      </c>
      <c r="W221" s="72"/>
      <c r="X221" s="72"/>
      <c r="Y221" s="72"/>
      <c r="Z221" s="72"/>
      <c r="AA221" s="74"/>
      <c r="AB221" s="72">
        <v>4.9277582060170477</v>
      </c>
      <c r="AC221" s="72"/>
      <c r="AD221" s="72"/>
      <c r="AE221" s="72"/>
      <c r="AF221" s="72"/>
      <c r="AG221" s="337"/>
      <c r="AH221" s="72"/>
      <c r="AI221" s="283">
        <v>1.50697416284276</v>
      </c>
      <c r="AJ221" s="88">
        <v>6.37385295376207E-2</v>
      </c>
      <c r="AK221" s="88">
        <v>6.4186852883983708E-2</v>
      </c>
      <c r="AL221" s="90">
        <v>0.38377704824554754</v>
      </c>
      <c r="AM221" s="204">
        <v>0.38124066974165927</v>
      </c>
      <c r="AN221" s="72"/>
      <c r="AO221" s="72"/>
      <c r="AP221" s="72"/>
      <c r="AQ221" s="72"/>
      <c r="AR221" s="72"/>
      <c r="AS221" s="72"/>
      <c r="AT221" s="273"/>
      <c r="AU221" s="72"/>
      <c r="AV221" s="72"/>
      <c r="AW221" s="72"/>
      <c r="AX221" s="72"/>
      <c r="AY221" s="72"/>
      <c r="AZ221" s="75"/>
      <c r="BA221" s="75"/>
      <c r="BB221" s="75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</row>
    <row r="222" spans="1:84" x14ac:dyDescent="0.2">
      <c r="A222" s="354">
        <v>42675</v>
      </c>
      <c r="B222" s="277">
        <v>4.4279999999999999</v>
      </c>
      <c r="C222" s="72">
        <v>-0.73799999999999999</v>
      </c>
      <c r="D222" s="72"/>
      <c r="E222" s="72"/>
      <c r="F222" s="72"/>
      <c r="G222" s="333"/>
      <c r="H222" s="333"/>
      <c r="I222" s="333"/>
      <c r="J222" s="334"/>
      <c r="K222" s="333"/>
      <c r="L222" s="335"/>
      <c r="M222" s="335"/>
      <c r="N222" s="334"/>
      <c r="O222" s="338"/>
      <c r="P222" s="339"/>
      <c r="Q222" s="188"/>
      <c r="S222" s="188"/>
      <c r="T222" s="72"/>
      <c r="U222" s="72"/>
      <c r="V222" s="72">
        <v>3.69</v>
      </c>
      <c r="W222" s="72"/>
      <c r="X222" s="72"/>
      <c r="Y222" s="72"/>
      <c r="Z222" s="72"/>
      <c r="AA222" s="74"/>
      <c r="AB222" s="72">
        <v>5.2687356389717763</v>
      </c>
      <c r="AC222" s="72"/>
      <c r="AD222" s="72"/>
      <c r="AE222" s="72"/>
      <c r="AF222" s="72"/>
      <c r="AG222" s="337"/>
      <c r="AH222" s="72"/>
      <c r="AI222" s="283">
        <v>1.5064528857211399</v>
      </c>
      <c r="AJ222" s="88">
        <v>6.3751252912637793E-2</v>
      </c>
      <c r="AK222" s="88">
        <v>6.4220364374354799E-2</v>
      </c>
      <c r="AL222" s="90">
        <v>0.3816665180026042</v>
      </c>
      <c r="AM222" s="204">
        <v>0.379012938317837</v>
      </c>
      <c r="AN222" s="72"/>
      <c r="AO222" s="72"/>
      <c r="AP222" s="72"/>
      <c r="AQ222" s="72"/>
      <c r="AR222" s="72"/>
      <c r="AS222" s="72"/>
      <c r="AT222" s="273"/>
      <c r="AU222" s="72"/>
      <c r="AV222" s="72"/>
      <c r="AW222" s="72"/>
      <c r="AX222" s="72"/>
      <c r="AY222" s="72"/>
      <c r="AZ222" s="75"/>
      <c r="BA222" s="75"/>
      <c r="BB222" s="75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</row>
    <row r="223" spans="1:84" x14ac:dyDescent="0.2">
      <c r="A223" s="354">
        <v>42705</v>
      </c>
      <c r="B223" s="277">
        <v>4.5680000000000005</v>
      </c>
      <c r="C223" s="72">
        <v>-0.73799999999999999</v>
      </c>
      <c r="D223" s="72"/>
      <c r="E223" s="72"/>
      <c r="F223" s="72"/>
      <c r="G223" s="333"/>
      <c r="H223" s="333"/>
      <c r="I223" s="333"/>
      <c r="J223" s="334"/>
      <c r="K223" s="333"/>
      <c r="L223" s="335"/>
      <c r="M223" s="335"/>
      <c r="N223" s="334"/>
      <c r="O223" s="338"/>
      <c r="P223" s="339"/>
      <c r="Q223" s="188"/>
      <c r="S223" s="188"/>
      <c r="T223" s="72"/>
      <c r="U223" s="72"/>
      <c r="V223" s="72">
        <v>3.83</v>
      </c>
      <c r="W223" s="72"/>
      <c r="X223" s="72"/>
      <c r="Y223" s="72"/>
      <c r="Z223" s="72"/>
      <c r="AA223" s="74"/>
      <c r="AB223" s="72">
        <v>5.4667850676393792</v>
      </c>
      <c r="AC223" s="72"/>
      <c r="AD223" s="72"/>
      <c r="AE223" s="72"/>
      <c r="AF223" s="72"/>
      <c r="AG223" s="337"/>
      <c r="AH223" s="72"/>
      <c r="AI223" s="283">
        <v>1.5059437040008701</v>
      </c>
      <c r="AJ223" s="88">
        <v>6.3763565856254104E-2</v>
      </c>
      <c r="AK223" s="88">
        <v>6.4252794849262204E-2</v>
      </c>
      <c r="AL223" s="90">
        <v>0.37963436490924762</v>
      </c>
      <c r="AM223" s="204">
        <v>0.37686748955665572</v>
      </c>
      <c r="AN223" s="72"/>
      <c r="AO223" s="72"/>
      <c r="AP223" s="72"/>
      <c r="AQ223" s="72"/>
      <c r="AR223" s="72"/>
      <c r="AS223" s="72"/>
      <c r="AT223" s="273"/>
      <c r="AU223" s="72"/>
      <c r="AV223" s="72"/>
      <c r="AW223" s="72"/>
      <c r="AX223" s="72"/>
      <c r="AY223" s="72"/>
      <c r="AZ223" s="75"/>
      <c r="BA223" s="75"/>
      <c r="BB223" s="75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</row>
    <row r="224" spans="1:84" x14ac:dyDescent="0.2">
      <c r="A224" s="354">
        <v>42736</v>
      </c>
      <c r="B224" s="277">
        <v>4.6779999999999999</v>
      </c>
      <c r="C224" s="72">
        <v>-0.73799999999999999</v>
      </c>
      <c r="D224" s="72"/>
      <c r="E224" s="72"/>
      <c r="F224" s="72"/>
      <c r="G224" s="333"/>
      <c r="H224" s="333"/>
      <c r="I224" s="333"/>
      <c r="J224" s="334"/>
      <c r="K224" s="333"/>
      <c r="L224" s="335"/>
      <c r="M224" s="335"/>
      <c r="N224" s="334"/>
      <c r="O224" s="338"/>
      <c r="P224" s="339"/>
      <c r="Q224" s="188"/>
      <c r="S224" s="188"/>
      <c r="T224" s="72"/>
      <c r="U224" s="72"/>
      <c r="V224" s="72">
        <v>3.94</v>
      </c>
      <c r="W224" s="72"/>
      <c r="X224" s="72"/>
      <c r="Y224" s="72"/>
      <c r="Z224" s="72"/>
      <c r="AA224" s="74"/>
      <c r="AB224" s="72">
        <v>5.6218114959460488</v>
      </c>
      <c r="AC224" s="72"/>
      <c r="AD224" s="72"/>
      <c r="AE224" s="72"/>
      <c r="AF224" s="72"/>
      <c r="AG224" s="337"/>
      <c r="AH224" s="72"/>
      <c r="AI224" s="283">
        <v>1.50541267758042</v>
      </c>
      <c r="AJ224" s="88">
        <v>6.3776289231377403E-2</v>
      </c>
      <c r="AK224" s="88">
        <v>6.4286306340365099E-2</v>
      </c>
      <c r="AL224" s="90">
        <v>0.37754506272683502</v>
      </c>
      <c r="AM224" s="204">
        <v>0.37466125496827568</v>
      </c>
      <c r="AN224" s="72"/>
      <c r="AO224" s="72"/>
      <c r="AP224" s="72"/>
      <c r="AQ224" s="72"/>
      <c r="AR224" s="72"/>
      <c r="AS224" s="72"/>
      <c r="AT224" s="273"/>
      <c r="AU224" s="72"/>
      <c r="AV224" s="72"/>
      <c r="AW224" s="72"/>
      <c r="AX224" s="72"/>
      <c r="AY224" s="72"/>
      <c r="AZ224" s="75"/>
      <c r="BA224" s="75"/>
      <c r="BB224" s="75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</row>
    <row r="225" spans="1:84" x14ac:dyDescent="0.2">
      <c r="A225" s="354">
        <v>42767</v>
      </c>
      <c r="B225" s="277">
        <v>4.5599999999999996</v>
      </c>
      <c r="C225" s="72">
        <v>-0.73799999999999999</v>
      </c>
      <c r="D225" s="72"/>
      <c r="E225" s="72"/>
      <c r="F225" s="72"/>
      <c r="G225" s="333"/>
      <c r="H225" s="333"/>
      <c r="I225" s="333"/>
      <c r="J225" s="334"/>
      <c r="K225" s="333"/>
      <c r="L225" s="335"/>
      <c r="M225" s="335"/>
      <c r="N225" s="334"/>
      <c r="O225" s="338"/>
      <c r="P225" s="339"/>
      <c r="Q225" s="188"/>
      <c r="S225" s="188"/>
      <c r="T225" s="72"/>
      <c r="U225" s="72"/>
      <c r="V225" s="72">
        <v>3.8219999999999996</v>
      </c>
      <c r="W225" s="72"/>
      <c r="X225" s="72"/>
      <c r="Y225" s="72"/>
      <c r="Z225" s="72"/>
      <c r="AA225" s="74"/>
      <c r="AB225" s="72">
        <v>5.4515009305045794</v>
      </c>
      <c r="AC225" s="72"/>
      <c r="AD225" s="72"/>
      <c r="AE225" s="72"/>
      <c r="AF225" s="72"/>
      <c r="AG225" s="337"/>
      <c r="AH225" s="72"/>
      <c r="AI225" s="283">
        <v>1.5048767047970799</v>
      </c>
      <c r="AJ225" s="88">
        <v>6.3789012606554313E-2</v>
      </c>
      <c r="AK225" s="88">
        <v>6.4319817831841611E-2</v>
      </c>
      <c r="AL225" s="90">
        <v>0.37546647352029378</v>
      </c>
      <c r="AM225" s="204">
        <v>0.37246588624456217</v>
      </c>
      <c r="AN225" s="72"/>
      <c r="AO225" s="72"/>
      <c r="AP225" s="72"/>
      <c r="AQ225" s="72"/>
      <c r="AR225" s="72"/>
      <c r="AS225" s="72"/>
      <c r="AT225" s="273"/>
      <c r="AU225" s="72"/>
      <c r="AV225" s="72"/>
      <c r="AW225" s="72"/>
      <c r="AX225" s="72"/>
      <c r="AY225" s="72"/>
      <c r="AZ225" s="75"/>
      <c r="BA225" s="75"/>
      <c r="BB225" s="75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</row>
    <row r="226" spans="1:84" x14ac:dyDescent="0.2">
      <c r="A226" s="354">
        <v>42795</v>
      </c>
      <c r="B226" s="277">
        <v>4.4270000000000005</v>
      </c>
      <c r="C226" s="72">
        <v>-0.73799999999999999</v>
      </c>
      <c r="D226" s="72"/>
      <c r="E226" s="72"/>
      <c r="F226" s="72"/>
      <c r="G226" s="333"/>
      <c r="H226" s="333"/>
      <c r="I226" s="333"/>
      <c r="J226" s="334"/>
      <c r="K226" s="333"/>
      <c r="L226" s="335"/>
      <c r="M226" s="335"/>
      <c r="N226" s="334"/>
      <c r="O226" s="338"/>
      <c r="P226" s="339"/>
      <c r="Q226" s="188"/>
      <c r="S226" s="188"/>
      <c r="T226" s="72"/>
      <c r="U226" s="72"/>
      <c r="V226" s="72">
        <v>3.6890000000000005</v>
      </c>
      <c r="W226" s="72"/>
      <c r="X226" s="72"/>
      <c r="Y226" s="72"/>
      <c r="Z226" s="72"/>
      <c r="AA226" s="74"/>
      <c r="AB226" s="72">
        <v>5.2600891668593857</v>
      </c>
      <c r="AC226" s="72"/>
      <c r="AD226" s="72"/>
      <c r="AE226" s="72"/>
      <c r="AF226" s="72"/>
      <c r="AG226" s="337"/>
      <c r="AH226" s="72"/>
      <c r="AI226" s="283">
        <v>1.5043883534914599</v>
      </c>
      <c r="AJ226" s="88">
        <v>6.3800504687404794E-2</v>
      </c>
      <c r="AK226" s="88">
        <v>6.4350086276075802E-2</v>
      </c>
      <c r="AL226" s="90">
        <v>0.37359820429461138</v>
      </c>
      <c r="AM226" s="204">
        <v>0.37049227912072258</v>
      </c>
      <c r="AN226" s="72"/>
      <c r="AO226" s="72"/>
      <c r="AP226" s="72"/>
      <c r="AQ226" s="72"/>
      <c r="AR226" s="72"/>
      <c r="AS226" s="72"/>
      <c r="AT226" s="273"/>
      <c r="AU226" s="72"/>
      <c r="AV226" s="72"/>
      <c r="AW226" s="72"/>
      <c r="AX226" s="72"/>
      <c r="AY226" s="72"/>
      <c r="AZ226" s="75"/>
      <c r="BA226" s="75"/>
      <c r="BB226" s="75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</row>
    <row r="227" spans="1:84" x14ac:dyDescent="0.2">
      <c r="A227" s="354">
        <v>42826</v>
      </c>
      <c r="B227" s="277">
        <v>4.2069999999999999</v>
      </c>
      <c r="C227" s="72">
        <v>-0.83799999999999997</v>
      </c>
      <c r="D227" s="72"/>
      <c r="E227" s="72"/>
      <c r="F227" s="72"/>
      <c r="G227" s="333"/>
      <c r="H227" s="333"/>
      <c r="I227" s="333"/>
      <c r="J227" s="334"/>
      <c r="K227" s="333"/>
      <c r="L227" s="335"/>
      <c r="M227" s="335"/>
      <c r="N227" s="334"/>
      <c r="O227" s="338"/>
      <c r="P227" s="339"/>
      <c r="Q227" s="188"/>
      <c r="S227" s="188"/>
      <c r="T227" s="72"/>
      <c r="U227" s="72"/>
      <c r="V227" s="72">
        <v>3.3689999999999998</v>
      </c>
      <c r="W227" s="72"/>
      <c r="X227" s="72"/>
      <c r="Y227" s="72"/>
      <c r="Z227" s="72"/>
      <c r="AA227" s="74"/>
      <c r="AB227" s="72">
        <v>4.8020645414523058</v>
      </c>
      <c r="AC227" s="72"/>
      <c r="AD227" s="72"/>
      <c r="AE227" s="72"/>
      <c r="AF227" s="72"/>
      <c r="AG227" s="337"/>
      <c r="AH227" s="72"/>
      <c r="AI227" s="283">
        <v>1.5038429821449999</v>
      </c>
      <c r="AJ227" s="88">
        <v>6.3813228062683497E-2</v>
      </c>
      <c r="AK227" s="88">
        <v>6.4383597768260498E-2</v>
      </c>
      <c r="AL227" s="90">
        <v>0.3715398655051752</v>
      </c>
      <c r="AM227" s="204">
        <v>0.36831748142851184</v>
      </c>
      <c r="AN227" s="72"/>
      <c r="AO227" s="72"/>
      <c r="AP227" s="72"/>
      <c r="AQ227" s="72"/>
      <c r="AR227" s="72"/>
      <c r="AS227" s="72"/>
      <c r="AT227" s="273"/>
      <c r="AU227" s="72"/>
      <c r="AV227" s="72"/>
      <c r="AW227" s="72"/>
      <c r="AX227" s="72"/>
      <c r="AY227" s="72"/>
      <c r="AZ227" s="75"/>
      <c r="BA227" s="75"/>
      <c r="BB227" s="75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</row>
    <row r="228" spans="1:84" x14ac:dyDescent="0.2">
      <c r="A228" s="354">
        <v>42856</v>
      </c>
      <c r="B228" s="277">
        <v>4.1970000000000001</v>
      </c>
      <c r="C228" s="72">
        <v>-0.83799999999999997</v>
      </c>
      <c r="D228" s="72"/>
      <c r="E228" s="72"/>
      <c r="F228" s="72"/>
      <c r="G228" s="333"/>
      <c r="H228" s="333"/>
      <c r="I228" s="333"/>
      <c r="J228" s="334"/>
      <c r="K228" s="333"/>
      <c r="L228" s="335"/>
      <c r="M228" s="335"/>
      <c r="N228" s="334"/>
      <c r="O228" s="338"/>
      <c r="P228" s="339"/>
      <c r="Q228" s="188"/>
      <c r="S228" s="188"/>
      <c r="T228" s="72"/>
      <c r="U228" s="72"/>
      <c r="V228" s="72">
        <v>3.359</v>
      </c>
      <c r="W228" s="72"/>
      <c r="X228" s="72"/>
      <c r="Y228" s="72"/>
      <c r="Z228" s="72"/>
      <c r="AA228" s="74"/>
      <c r="AB228" s="72">
        <v>4.7861156193525289</v>
      </c>
      <c r="AC228" s="72"/>
      <c r="AD228" s="72"/>
      <c r="AE228" s="72"/>
      <c r="AF228" s="72"/>
      <c r="AG228" s="337"/>
      <c r="AH228" s="72"/>
      <c r="AI228" s="283">
        <v>1.5033105093455199</v>
      </c>
      <c r="AJ228" s="88">
        <v>6.3825541006553396E-2</v>
      </c>
      <c r="AK228" s="88">
        <v>6.4416028244922902E-2</v>
      </c>
      <c r="AL228" s="90">
        <v>0.36955798693681008</v>
      </c>
      <c r="AM228" s="204">
        <v>0.36622307552714406</v>
      </c>
      <c r="AN228" s="72"/>
      <c r="AO228" s="72"/>
      <c r="AP228" s="72"/>
      <c r="AQ228" s="72"/>
      <c r="AR228" s="72"/>
      <c r="AS228" s="72"/>
      <c r="AT228" s="273"/>
      <c r="AU228" s="72"/>
      <c r="AV228" s="72"/>
      <c r="AW228" s="72"/>
      <c r="AX228" s="72"/>
      <c r="AY228" s="72"/>
      <c r="AZ228" s="75"/>
      <c r="BA228" s="75"/>
      <c r="BB228" s="75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</row>
    <row r="229" spans="1:84" x14ac:dyDescent="0.2">
      <c r="A229" s="354">
        <v>42887</v>
      </c>
      <c r="B229" s="277">
        <v>4.2330000000000005</v>
      </c>
      <c r="C229" s="72">
        <v>-0.83799999999999997</v>
      </c>
      <c r="D229" s="72"/>
      <c r="E229" s="72"/>
      <c r="F229" s="72"/>
      <c r="G229" s="333"/>
      <c r="H229" s="333"/>
      <c r="I229" s="333"/>
      <c r="J229" s="334"/>
      <c r="K229" s="333"/>
      <c r="L229" s="335"/>
      <c r="M229" s="335"/>
      <c r="N229" s="334"/>
      <c r="O229" s="338"/>
      <c r="P229" s="339"/>
      <c r="Q229" s="188"/>
      <c r="S229" s="188"/>
      <c r="T229" s="72"/>
      <c r="U229" s="72"/>
      <c r="V229" s="72">
        <v>3.395</v>
      </c>
      <c r="W229" s="72"/>
      <c r="X229" s="72"/>
      <c r="Y229" s="72"/>
      <c r="Z229" s="72"/>
      <c r="AA229" s="74"/>
      <c r="AB229" s="72">
        <v>4.8356245803320368</v>
      </c>
      <c r="AC229" s="72"/>
      <c r="AD229" s="72"/>
      <c r="AE229" s="72"/>
      <c r="AF229" s="72"/>
      <c r="AG229" s="337"/>
      <c r="AH229" s="72"/>
      <c r="AI229" s="283">
        <v>1.5027554424821199</v>
      </c>
      <c r="AJ229" s="88">
        <v>6.3838264381937709E-2</v>
      </c>
      <c r="AK229" s="88">
        <v>6.44495397378404E-2</v>
      </c>
      <c r="AL229" s="90">
        <v>0.36752039498230327</v>
      </c>
      <c r="AM229" s="204">
        <v>0.36406939603350785</v>
      </c>
      <c r="AN229" s="72"/>
      <c r="AO229" s="72"/>
      <c r="AP229" s="72"/>
      <c r="AQ229" s="72"/>
      <c r="AR229" s="72"/>
      <c r="AS229" s="72"/>
      <c r="AT229" s="273"/>
      <c r="AU229" s="72"/>
      <c r="AV229" s="72"/>
      <c r="AW229" s="72"/>
      <c r="AX229" s="72"/>
      <c r="AY229" s="72"/>
      <c r="AZ229" s="75"/>
      <c r="BA229" s="75"/>
      <c r="BB229" s="75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</row>
    <row r="230" spans="1:84" x14ac:dyDescent="0.2">
      <c r="A230" s="354">
        <v>42917</v>
      </c>
      <c r="B230" s="277">
        <v>4.2750000000000004</v>
      </c>
      <c r="C230" s="72">
        <v>-0.83799999999999997</v>
      </c>
      <c r="D230" s="72"/>
      <c r="E230" s="72"/>
      <c r="F230" s="72"/>
      <c r="G230" s="333"/>
      <c r="H230" s="333"/>
      <c r="I230" s="333"/>
      <c r="J230" s="334"/>
      <c r="K230" s="333"/>
      <c r="L230" s="335"/>
      <c r="M230" s="335"/>
      <c r="N230" s="334"/>
      <c r="O230" s="338"/>
      <c r="P230" s="339"/>
      <c r="Q230" s="188"/>
      <c r="S230" s="188"/>
      <c r="T230" s="72"/>
      <c r="U230" s="72"/>
      <c r="V230" s="72">
        <v>3.4370000000000003</v>
      </c>
      <c r="W230" s="72"/>
      <c r="X230" s="72"/>
      <c r="Y230" s="72"/>
      <c r="Z230" s="72"/>
      <c r="AA230" s="74"/>
      <c r="AB230" s="72">
        <v>4.8936816010714983</v>
      </c>
      <c r="AC230" s="72"/>
      <c r="AD230" s="72"/>
      <c r="AE230" s="72"/>
      <c r="AF230" s="72"/>
      <c r="AG230" s="337"/>
      <c r="AH230" s="72"/>
      <c r="AI230" s="283">
        <v>1.5022135977015101</v>
      </c>
      <c r="AJ230" s="88">
        <v>6.3850577325909291E-2</v>
      </c>
      <c r="AK230" s="88">
        <v>6.4481970215212001E-2</v>
      </c>
      <c r="AL230" s="90">
        <v>0.36555850107754795</v>
      </c>
      <c r="AM230" s="204">
        <v>0.36199535337776706</v>
      </c>
      <c r="AN230" s="72"/>
      <c r="AO230" s="72"/>
      <c r="AP230" s="72"/>
      <c r="AQ230" s="72"/>
      <c r="AR230" s="72"/>
      <c r="AS230" s="72"/>
      <c r="AT230" s="273"/>
      <c r="AU230" s="72"/>
      <c r="AV230" s="72"/>
      <c r="AW230" s="72"/>
      <c r="AX230" s="72"/>
      <c r="AY230" s="72"/>
      <c r="AZ230" s="75"/>
      <c r="BA230" s="75"/>
      <c r="BB230" s="75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</row>
    <row r="231" spans="1:84" x14ac:dyDescent="0.2">
      <c r="A231" s="354">
        <v>42948</v>
      </c>
      <c r="B231" s="277">
        <v>4.3239999999999998</v>
      </c>
      <c r="C231" s="72">
        <v>-0.83799999999999997</v>
      </c>
      <c r="D231" s="72"/>
      <c r="E231" s="72"/>
      <c r="F231" s="72"/>
      <c r="G231" s="333"/>
      <c r="H231" s="333"/>
      <c r="I231" s="333"/>
      <c r="J231" s="334"/>
      <c r="K231" s="333"/>
      <c r="L231" s="335"/>
      <c r="M231" s="335"/>
      <c r="N231" s="334"/>
      <c r="O231" s="338"/>
      <c r="P231" s="339"/>
      <c r="Q231" s="188"/>
      <c r="S231" s="188"/>
      <c r="T231" s="72"/>
      <c r="U231" s="72"/>
      <c r="V231" s="72">
        <v>3.4859999999999998</v>
      </c>
      <c r="W231" s="72"/>
      <c r="X231" s="72"/>
      <c r="Y231" s="72"/>
      <c r="Z231" s="72"/>
      <c r="AA231" s="74"/>
      <c r="AB231" s="72">
        <v>4.9615830040241216</v>
      </c>
      <c r="AC231" s="72"/>
      <c r="AD231" s="72"/>
      <c r="AE231" s="72"/>
      <c r="AF231" s="72"/>
      <c r="AG231" s="337"/>
      <c r="AH231" s="72"/>
      <c r="AI231" s="283">
        <v>1.5016488576860798</v>
      </c>
      <c r="AJ231" s="88">
        <v>6.3863300701399797E-2</v>
      </c>
      <c r="AK231" s="88">
        <v>6.4515481708861802E-2</v>
      </c>
      <c r="AL231" s="90">
        <v>0.3635414643239353</v>
      </c>
      <c r="AM231" s="204">
        <v>0.35986263983095801</v>
      </c>
      <c r="AN231" s="72"/>
      <c r="AO231" s="72"/>
      <c r="AP231" s="72"/>
      <c r="AQ231" s="72"/>
      <c r="AR231" s="72"/>
      <c r="AS231" s="72"/>
      <c r="AT231" s="273"/>
      <c r="AU231" s="72"/>
      <c r="AV231" s="72"/>
      <c r="AW231" s="72"/>
      <c r="AX231" s="72"/>
      <c r="AY231" s="72"/>
      <c r="AZ231" s="75"/>
      <c r="BA231" s="75"/>
      <c r="BB231" s="75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</row>
    <row r="232" spans="1:84" x14ac:dyDescent="0.2">
      <c r="A232" s="354">
        <v>42979</v>
      </c>
      <c r="B232" s="277">
        <v>4.3390000000000004</v>
      </c>
      <c r="C232" s="72">
        <v>-0.83799999999999997</v>
      </c>
      <c r="D232" s="72"/>
      <c r="E232" s="72"/>
      <c r="F232" s="72"/>
      <c r="G232" s="333"/>
      <c r="H232" s="333"/>
      <c r="I232" s="333"/>
      <c r="J232" s="334"/>
      <c r="K232" s="333"/>
      <c r="L232" s="335"/>
      <c r="M232" s="335"/>
      <c r="N232" s="334"/>
      <c r="O232" s="338"/>
      <c r="P232" s="339"/>
      <c r="Q232" s="188"/>
      <c r="S232" s="188"/>
      <c r="T232" s="72"/>
      <c r="U232" s="72"/>
      <c r="V232" s="72">
        <v>3.5010000000000003</v>
      </c>
      <c r="W232" s="72"/>
      <c r="X232" s="72"/>
      <c r="Y232" s="72"/>
      <c r="Z232" s="72"/>
      <c r="AA232" s="74"/>
      <c r="AB232" s="72">
        <v>4.9810420640621347</v>
      </c>
      <c r="AC232" s="72"/>
      <c r="AD232" s="72"/>
      <c r="AE232" s="72"/>
      <c r="AF232" s="72"/>
      <c r="AG232" s="337"/>
      <c r="AH232" s="72"/>
      <c r="AI232" s="283">
        <v>1.5010792104944699</v>
      </c>
      <c r="AJ232" s="88">
        <v>6.3876024076943608E-2</v>
      </c>
      <c r="AK232" s="88">
        <v>6.4548993202884195E-2</v>
      </c>
      <c r="AL232" s="90">
        <v>0.36153480072166927</v>
      </c>
      <c r="AM232" s="204">
        <v>0.35774052289621372</v>
      </c>
      <c r="AN232" s="72"/>
      <c r="AO232" s="72"/>
      <c r="AP232" s="72"/>
      <c r="AQ232" s="72"/>
      <c r="AR232" s="72"/>
      <c r="AS232" s="72"/>
      <c r="AT232" s="273"/>
      <c r="AU232" s="72"/>
      <c r="AV232" s="72"/>
      <c r="AW232" s="72"/>
      <c r="AX232" s="72"/>
      <c r="AY232" s="72"/>
      <c r="AZ232" s="75"/>
      <c r="BA232" s="75"/>
      <c r="BB232" s="75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</row>
    <row r="233" spans="1:84" x14ac:dyDescent="0.2">
      <c r="A233" s="354">
        <v>43009</v>
      </c>
      <c r="B233" s="277">
        <v>4.3680000000000003</v>
      </c>
      <c r="C233" s="72">
        <v>-0.83799999999999997</v>
      </c>
      <c r="D233" s="72"/>
      <c r="E233" s="72"/>
      <c r="F233" s="72"/>
      <c r="G233" s="333"/>
      <c r="H233" s="333"/>
      <c r="I233" s="333"/>
      <c r="J233" s="334"/>
      <c r="K233" s="333"/>
      <c r="L233" s="335"/>
      <c r="M233" s="335"/>
      <c r="N233" s="334"/>
      <c r="O233" s="338"/>
      <c r="P233" s="339"/>
      <c r="Q233" s="188"/>
      <c r="S233" s="188"/>
      <c r="T233" s="72"/>
      <c r="U233" s="72"/>
      <c r="V233" s="72">
        <v>3.53</v>
      </c>
      <c r="W233" s="72"/>
      <c r="X233" s="72"/>
      <c r="Y233" s="72"/>
      <c r="Z233" s="72"/>
      <c r="AA233" s="74"/>
      <c r="AB233" s="72">
        <v>5.0204417123306575</v>
      </c>
      <c r="AC233" s="72"/>
      <c r="AD233" s="72"/>
      <c r="AE233" s="72"/>
      <c r="AF233" s="72"/>
      <c r="AG233" s="337"/>
      <c r="AH233" s="72"/>
      <c r="AI233" s="283">
        <v>1.5005232723072899</v>
      </c>
      <c r="AJ233" s="88">
        <v>6.3888337021069205E-2</v>
      </c>
      <c r="AK233" s="88">
        <v>6.4581423681324704E-2</v>
      </c>
      <c r="AL233" s="90">
        <v>0.35960269878469586</v>
      </c>
      <c r="AM233" s="204">
        <v>0.35569691385032604</v>
      </c>
      <c r="AN233" s="72"/>
      <c r="AO233" s="72"/>
      <c r="AP233" s="72"/>
      <c r="AQ233" s="72"/>
      <c r="AR233" s="72"/>
      <c r="AS233" s="72"/>
      <c r="AT233" s="273"/>
      <c r="AU233" s="72"/>
      <c r="AV233" s="72"/>
      <c r="AW233" s="72"/>
      <c r="AX233" s="72"/>
      <c r="AY233" s="72"/>
      <c r="AZ233" s="75"/>
      <c r="BA233" s="75"/>
      <c r="BB233" s="75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</row>
    <row r="234" spans="1:84" x14ac:dyDescent="0.2">
      <c r="A234" s="354">
        <v>43040</v>
      </c>
      <c r="B234" s="277">
        <v>4.508</v>
      </c>
      <c r="C234" s="72">
        <v>-0.73799999999999999</v>
      </c>
      <c r="D234" s="72"/>
      <c r="E234" s="72"/>
      <c r="F234" s="72"/>
      <c r="G234" s="333"/>
      <c r="H234" s="333"/>
      <c r="I234" s="333"/>
      <c r="J234" s="334"/>
      <c r="K234" s="333"/>
      <c r="L234" s="335"/>
      <c r="M234" s="335"/>
      <c r="N234" s="334"/>
      <c r="O234" s="338"/>
      <c r="P234" s="339"/>
      <c r="Q234" s="188"/>
      <c r="S234" s="188"/>
      <c r="T234" s="72"/>
      <c r="U234" s="72"/>
      <c r="V234" s="72">
        <v>3.77</v>
      </c>
      <c r="W234" s="72"/>
      <c r="X234" s="72"/>
      <c r="Y234" s="72"/>
      <c r="Z234" s="72"/>
      <c r="AA234" s="74"/>
      <c r="AB234" s="72">
        <v>5.3597049148761444</v>
      </c>
      <c r="AC234" s="72"/>
      <c r="AD234" s="72"/>
      <c r="AE234" s="72"/>
      <c r="AF234" s="72"/>
      <c r="AG234" s="337"/>
      <c r="AH234" s="72"/>
      <c r="AI234" s="283">
        <v>1.4999439863845001</v>
      </c>
      <c r="AJ234" s="88">
        <v>6.3901060396718695E-2</v>
      </c>
      <c r="AK234" s="88">
        <v>6.4614935176079899E-2</v>
      </c>
      <c r="AL234" s="90">
        <v>0.35761630434020514</v>
      </c>
      <c r="AM234" s="204">
        <v>0.35359553403305172</v>
      </c>
      <c r="AN234" s="72"/>
      <c r="AO234" s="72"/>
      <c r="AP234" s="72"/>
      <c r="AQ234" s="72"/>
      <c r="AR234" s="72"/>
      <c r="AS234" s="72"/>
      <c r="AT234" s="273"/>
      <c r="AU234" s="72"/>
      <c r="AV234" s="72"/>
      <c r="AW234" s="72"/>
      <c r="AX234" s="72"/>
      <c r="AY234" s="72"/>
      <c r="AZ234" s="75"/>
      <c r="BA234" s="75"/>
      <c r="BB234" s="75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</row>
    <row r="235" spans="1:84" x14ac:dyDescent="0.2">
      <c r="A235" s="354">
        <v>43070</v>
      </c>
      <c r="B235" s="277">
        <v>4.6480000000000006</v>
      </c>
      <c r="C235" s="72">
        <v>-0.73799999999999999</v>
      </c>
      <c r="D235" s="72"/>
      <c r="E235" s="72"/>
      <c r="F235" s="72"/>
      <c r="G235" s="333"/>
      <c r="H235" s="333"/>
      <c r="I235" s="333"/>
      <c r="J235" s="334"/>
      <c r="K235" s="333"/>
      <c r="L235" s="335"/>
      <c r="M235" s="335"/>
      <c r="N235" s="334"/>
      <c r="O235" s="338"/>
      <c r="P235" s="339"/>
      <c r="Q235" s="188"/>
      <c r="S235" s="188"/>
      <c r="T235" s="72"/>
      <c r="U235" s="72"/>
      <c r="V235" s="72">
        <v>3.91</v>
      </c>
      <c r="W235" s="72"/>
      <c r="X235" s="72"/>
      <c r="Y235" s="72"/>
      <c r="Z235" s="72"/>
      <c r="AA235" s="74"/>
      <c r="AB235" s="72">
        <v>5.5566442355710786</v>
      </c>
      <c r="AC235" s="72"/>
      <c r="AD235" s="72"/>
      <c r="AE235" s="72"/>
      <c r="AF235" s="72"/>
      <c r="AG235" s="337"/>
      <c r="AH235" s="72"/>
      <c r="AI235" s="283">
        <v>1.4993787316124498</v>
      </c>
      <c r="AJ235" s="88">
        <v>6.3913373340947391E-2</v>
      </c>
      <c r="AK235" s="88">
        <v>6.4647365655229994E-2</v>
      </c>
      <c r="AL235" s="90">
        <v>0.35570372670550077</v>
      </c>
      <c r="AM235" s="204">
        <v>0.35157191995880993</v>
      </c>
      <c r="AN235" s="72"/>
      <c r="AO235" s="72"/>
      <c r="AP235" s="72"/>
      <c r="AQ235" s="72"/>
      <c r="AR235" s="72"/>
      <c r="AS235" s="72"/>
      <c r="AT235" s="273"/>
      <c r="AU235" s="72"/>
      <c r="AV235" s="72"/>
      <c r="AW235" s="72"/>
      <c r="AX235" s="72"/>
      <c r="AY235" s="72"/>
      <c r="AZ235" s="75"/>
      <c r="BA235" s="75"/>
      <c r="BB235" s="75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</row>
    <row r="236" spans="1:84" x14ac:dyDescent="0.2">
      <c r="A236" s="354">
        <v>43101</v>
      </c>
      <c r="B236" s="277">
        <v>4.758</v>
      </c>
      <c r="C236" s="72">
        <v>-0.73799999999999999</v>
      </c>
      <c r="D236" s="72"/>
      <c r="E236" s="72"/>
      <c r="F236" s="72"/>
      <c r="G236" s="333"/>
      <c r="H236" s="333"/>
      <c r="I236" s="333"/>
      <c r="J236" s="334"/>
      <c r="K236" s="333"/>
      <c r="L236" s="335"/>
      <c r="M236" s="335"/>
      <c r="N236" s="334"/>
      <c r="O236" s="338"/>
      <c r="P236" s="339"/>
      <c r="Q236" s="188"/>
      <c r="S236" s="188"/>
      <c r="T236" s="72"/>
      <c r="U236" s="72"/>
      <c r="V236" s="72">
        <v>4.0199999999999996</v>
      </c>
      <c r="W236" s="72"/>
      <c r="X236" s="72"/>
      <c r="Y236" s="72"/>
      <c r="Z236" s="72"/>
      <c r="AA236" s="74"/>
      <c r="AB236" s="72">
        <v>5.7107254188881429</v>
      </c>
      <c r="AC236" s="72"/>
      <c r="AD236" s="72"/>
      <c r="AE236" s="72"/>
      <c r="AF236" s="72"/>
      <c r="AG236" s="337"/>
      <c r="AH236" s="72"/>
      <c r="AI236" s="283">
        <v>1.49878983023643</v>
      </c>
      <c r="AJ236" s="88">
        <v>6.3926096716702102E-2</v>
      </c>
      <c r="AK236" s="88">
        <v>6.4680877150717006E-2</v>
      </c>
      <c r="AL236" s="90">
        <v>0.35373741371875811</v>
      </c>
      <c r="AM236" s="204">
        <v>0.34949112607502469</v>
      </c>
      <c r="AN236" s="72"/>
      <c r="AO236" s="72"/>
      <c r="AP236" s="72"/>
      <c r="AQ236" s="72"/>
      <c r="AR236" s="72"/>
      <c r="AS236" s="72"/>
      <c r="AT236" s="273"/>
      <c r="AU236" s="72"/>
      <c r="AV236" s="72"/>
      <c r="AW236" s="72"/>
      <c r="AX236" s="72"/>
      <c r="AY236" s="72"/>
      <c r="AZ236" s="75"/>
      <c r="BA236" s="75"/>
      <c r="BB236" s="75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</row>
    <row r="237" spans="1:84" x14ac:dyDescent="0.2">
      <c r="A237" s="354">
        <v>43132</v>
      </c>
      <c r="B237" s="277">
        <v>4.6399999999999997</v>
      </c>
      <c r="C237" s="72">
        <v>-0.73799999999999999</v>
      </c>
      <c r="D237" s="72"/>
      <c r="E237" s="72"/>
      <c r="F237" s="72"/>
      <c r="G237" s="333"/>
      <c r="H237" s="333"/>
      <c r="I237" s="333"/>
      <c r="J237" s="334"/>
      <c r="K237" s="333"/>
      <c r="L237" s="335"/>
      <c r="M237" s="335"/>
      <c r="N237" s="334"/>
      <c r="O237" s="338"/>
      <c r="P237" s="339"/>
      <c r="Q237" s="188"/>
      <c r="S237" s="188"/>
      <c r="T237" s="72"/>
      <c r="U237" s="72"/>
      <c r="V237" s="72">
        <v>3.9019999999999997</v>
      </c>
      <c r="W237" s="72"/>
      <c r="X237" s="72"/>
      <c r="Y237" s="72"/>
      <c r="Z237" s="72"/>
      <c r="AA237" s="74"/>
      <c r="AB237" s="72">
        <v>5.5409011392647836</v>
      </c>
      <c r="AC237" s="72"/>
      <c r="AD237" s="72"/>
      <c r="AE237" s="72"/>
      <c r="AF237" s="72"/>
      <c r="AG237" s="337"/>
      <c r="AH237" s="72"/>
      <c r="AI237" s="283">
        <v>1.4981960513552399</v>
      </c>
      <c r="AJ237" s="88">
        <v>6.3938820092511103E-2</v>
      </c>
      <c r="AK237" s="88">
        <v>6.4714388646577095E-2</v>
      </c>
      <c r="AL237" s="90">
        <v>0.35178123462751315</v>
      </c>
      <c r="AM237" s="204">
        <v>0.34742073609743856</v>
      </c>
      <c r="AN237" s="72"/>
      <c r="AO237" s="72"/>
      <c r="AP237" s="72"/>
      <c r="AQ237" s="72"/>
      <c r="AR237" s="72"/>
      <c r="AS237" s="72"/>
      <c r="AT237" s="273"/>
      <c r="AU237" s="72"/>
      <c r="AV237" s="72"/>
      <c r="AW237" s="72"/>
      <c r="AX237" s="72"/>
      <c r="AY237" s="72"/>
      <c r="AZ237" s="75"/>
      <c r="BA237" s="75"/>
      <c r="BB237" s="75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</row>
    <row r="238" spans="1:84" x14ac:dyDescent="0.2">
      <c r="A238" s="354">
        <v>43160</v>
      </c>
      <c r="B238" s="277">
        <v>4.5070000000000006</v>
      </c>
      <c r="C238" s="72">
        <v>-0.73799999999999999</v>
      </c>
      <c r="D238" s="72"/>
      <c r="E238" s="72"/>
      <c r="F238" s="72"/>
      <c r="G238" s="333"/>
      <c r="H238" s="333"/>
      <c r="I238" s="333"/>
      <c r="J238" s="334"/>
      <c r="K238" s="333"/>
      <c r="L238" s="335"/>
      <c r="M238" s="335"/>
      <c r="N238" s="334"/>
      <c r="O238" s="338"/>
      <c r="P238" s="339"/>
      <c r="Q238" s="188"/>
      <c r="S238" s="188"/>
      <c r="T238" s="72"/>
      <c r="U238" s="72"/>
      <c r="V238" s="72">
        <v>3.7690000000000006</v>
      </c>
      <c r="W238" s="72"/>
      <c r="X238" s="72"/>
      <c r="Y238" s="72"/>
      <c r="Z238" s="72"/>
      <c r="AA238" s="74"/>
      <c r="AB238" s="72">
        <v>5.3501082022609339</v>
      </c>
      <c r="AC238" s="72"/>
      <c r="AD238" s="72"/>
      <c r="AE238" s="72"/>
      <c r="AF238" s="72"/>
      <c r="AG238" s="337"/>
      <c r="AH238" s="72"/>
      <c r="AI238" s="283">
        <v>1.49765554774333</v>
      </c>
      <c r="AJ238" s="88">
        <v>6.3950312173933099E-2</v>
      </c>
      <c r="AK238" s="88">
        <v>6.4744657094770702E-2</v>
      </c>
      <c r="AL238" s="90">
        <v>0.35002303366459725</v>
      </c>
      <c r="AM238" s="204">
        <v>0.34555961648367567</v>
      </c>
      <c r="AN238" s="72"/>
      <c r="AO238" s="72"/>
      <c r="AP238" s="72"/>
      <c r="AQ238" s="72"/>
      <c r="AR238" s="72"/>
      <c r="AS238" s="72"/>
      <c r="AT238" s="273"/>
      <c r="AU238" s="72"/>
      <c r="AV238" s="72"/>
      <c r="AW238" s="72"/>
      <c r="AX238" s="72"/>
      <c r="AY238" s="72"/>
      <c r="AZ238" s="75"/>
      <c r="BA238" s="75"/>
      <c r="BB238" s="75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</row>
    <row r="239" spans="1:84" x14ac:dyDescent="0.2">
      <c r="A239" s="354">
        <v>43191</v>
      </c>
      <c r="B239" s="277">
        <v>4.2869999999999999</v>
      </c>
      <c r="C239" s="72">
        <v>-0.83799999999999997</v>
      </c>
      <c r="D239" s="72"/>
      <c r="E239" s="72"/>
      <c r="F239" s="72"/>
      <c r="G239" s="333"/>
      <c r="H239" s="333"/>
      <c r="I239" s="333"/>
      <c r="J239" s="334"/>
      <c r="K239" s="333"/>
      <c r="L239" s="335"/>
      <c r="M239" s="335"/>
      <c r="N239" s="334"/>
      <c r="O239" s="338"/>
      <c r="P239" s="339"/>
      <c r="Q239" s="188"/>
      <c r="S239" s="188"/>
      <c r="T239" s="72"/>
      <c r="U239" s="72"/>
      <c r="V239" s="72">
        <v>3.4489999999999998</v>
      </c>
      <c r="W239" s="72"/>
      <c r="X239" s="72"/>
      <c r="Y239" s="72"/>
      <c r="Z239" s="72"/>
      <c r="AA239" s="74"/>
      <c r="AB239" s="72">
        <v>4.8938957576854554</v>
      </c>
      <c r="AC239" s="72"/>
      <c r="AD239" s="72"/>
      <c r="AE239" s="72"/>
      <c r="AF239" s="72"/>
      <c r="AG239" s="337"/>
      <c r="AH239" s="72"/>
      <c r="AI239" s="283">
        <v>1.4970525029053598</v>
      </c>
      <c r="AJ239" s="88">
        <v>6.3963035549844199E-2</v>
      </c>
      <c r="AK239" s="88">
        <v>6.4778168591339599E-2</v>
      </c>
      <c r="AL239" s="90">
        <v>0.34808600956998903</v>
      </c>
      <c r="AM239" s="204">
        <v>0.34350892014046885</v>
      </c>
      <c r="AN239" s="72"/>
      <c r="AO239" s="72"/>
      <c r="AP239" s="72"/>
      <c r="AQ239" s="72"/>
      <c r="AR239" s="72"/>
      <c r="AS239" s="72"/>
      <c r="AT239" s="273"/>
      <c r="AU239" s="72"/>
      <c r="AV239" s="72"/>
      <c r="AW239" s="72"/>
      <c r="AX239" s="72"/>
      <c r="AY239" s="72"/>
      <c r="AZ239" s="75"/>
      <c r="BA239" s="75"/>
      <c r="BB239" s="75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</row>
    <row r="240" spans="1:84" x14ac:dyDescent="0.2">
      <c r="A240" s="354">
        <v>43221</v>
      </c>
      <c r="B240" s="277">
        <v>4.2770000000000001</v>
      </c>
      <c r="C240" s="72">
        <v>-0.83799999999999997</v>
      </c>
      <c r="D240" s="72"/>
      <c r="E240" s="72"/>
      <c r="F240" s="72"/>
      <c r="G240" s="333"/>
      <c r="H240" s="333"/>
      <c r="I240" s="333"/>
      <c r="J240" s="334"/>
      <c r="K240" s="333"/>
      <c r="L240" s="335"/>
      <c r="M240" s="335"/>
      <c r="N240" s="334"/>
      <c r="O240" s="338"/>
      <c r="P240" s="339"/>
      <c r="Q240" s="188"/>
      <c r="S240" s="188"/>
      <c r="T240" s="72"/>
      <c r="U240" s="72"/>
      <c r="V240" s="72">
        <v>3.4390000000000001</v>
      </c>
      <c r="W240" s="72"/>
      <c r="X240" s="72"/>
      <c r="Y240" s="72"/>
      <c r="Z240" s="72"/>
      <c r="AA240" s="74"/>
      <c r="AB240" s="72">
        <v>4.8777891156697963</v>
      </c>
      <c r="AC240" s="72"/>
      <c r="AD240" s="72"/>
      <c r="AE240" s="72"/>
      <c r="AF240" s="72"/>
      <c r="AG240" s="337"/>
      <c r="AH240" s="72"/>
      <c r="AI240" s="283">
        <v>1.4964642841588001</v>
      </c>
      <c r="AJ240" s="88">
        <v>6.397534849432511E-2</v>
      </c>
      <c r="AK240" s="88">
        <v>6.4810599072243805E-2</v>
      </c>
      <c r="AL240" s="90">
        <v>0.34622098762144249</v>
      </c>
      <c r="AM240" s="204">
        <v>0.3415341742924683</v>
      </c>
      <c r="AN240" s="72"/>
      <c r="AO240" s="72"/>
      <c r="AP240" s="72"/>
      <c r="AQ240" s="72"/>
      <c r="AR240" s="72"/>
      <c r="AS240" s="72"/>
      <c r="AT240" s="273"/>
      <c r="AU240" s="72"/>
      <c r="AV240" s="72"/>
      <c r="AW240" s="72"/>
      <c r="AX240" s="72"/>
      <c r="AY240" s="72"/>
      <c r="AZ240" s="75"/>
      <c r="BA240" s="75"/>
      <c r="BB240" s="75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</row>
    <row r="241" spans="1:84" x14ac:dyDescent="0.2">
      <c r="A241" s="354">
        <v>43252</v>
      </c>
      <c r="B241" s="277">
        <v>4.3130000000000006</v>
      </c>
      <c r="C241" s="72">
        <v>-0.83799999999999997</v>
      </c>
      <c r="D241" s="72"/>
      <c r="E241" s="72"/>
      <c r="F241" s="72"/>
      <c r="G241" s="333"/>
      <c r="H241" s="333"/>
      <c r="I241" s="333"/>
      <c r="J241" s="335"/>
      <c r="K241" s="333"/>
      <c r="L241" s="335"/>
      <c r="M241" s="335"/>
      <c r="N241" s="335"/>
      <c r="O241" s="338"/>
      <c r="P241" s="72"/>
      <c r="Q241" s="76"/>
      <c r="S241" s="76"/>
      <c r="T241" s="72"/>
      <c r="U241" s="72"/>
      <c r="V241" s="72">
        <v>3.4750000000000001</v>
      </c>
      <c r="W241" s="72"/>
      <c r="X241" s="72"/>
      <c r="Y241" s="72"/>
      <c r="Z241" s="72"/>
      <c r="AA241" s="74"/>
      <c r="AB241" s="72">
        <v>4.9268328871331599</v>
      </c>
      <c r="AC241" s="72"/>
      <c r="AD241" s="72"/>
      <c r="AE241" s="72"/>
      <c r="AF241" s="72"/>
      <c r="AG241" s="337"/>
      <c r="AH241" s="72"/>
      <c r="AI241" s="283">
        <v>1.4958516830409101</v>
      </c>
      <c r="AJ241" s="88">
        <v>6.3988071870341806E-2</v>
      </c>
      <c r="AK241" s="88">
        <v>6.4844110569544991E-2</v>
      </c>
      <c r="AL241" s="90">
        <v>0.34430358699197283</v>
      </c>
      <c r="AM241" s="204">
        <v>0.33950369154842824</v>
      </c>
      <c r="AN241" s="72"/>
      <c r="AO241" s="72"/>
      <c r="AP241" s="72"/>
      <c r="AQ241" s="72"/>
      <c r="AR241" s="72"/>
      <c r="AS241" s="72"/>
      <c r="AT241" s="273"/>
      <c r="AU241" s="72"/>
      <c r="AV241" s="72"/>
      <c r="AW241" s="72"/>
      <c r="AX241" s="72"/>
      <c r="AY241" s="72"/>
      <c r="AZ241" s="75"/>
      <c r="BA241" s="75"/>
      <c r="BB241" s="75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</row>
    <row r="242" spans="1:84" x14ac:dyDescent="0.2">
      <c r="A242" s="354">
        <v>43282</v>
      </c>
      <c r="B242" s="277">
        <v>4.3550000000000004</v>
      </c>
      <c r="C242" s="72">
        <v>-0.83799999999999997</v>
      </c>
      <c r="D242" s="72"/>
      <c r="E242" s="72"/>
      <c r="F242" s="72"/>
      <c r="G242" s="333"/>
      <c r="H242" s="333"/>
      <c r="I242" s="333"/>
      <c r="J242" s="335"/>
      <c r="K242" s="333"/>
      <c r="L242" s="335"/>
      <c r="M242" s="335"/>
      <c r="N242" s="335"/>
      <c r="O242" s="338"/>
      <c r="P242" s="72"/>
      <c r="Q242" s="76"/>
      <c r="S242" s="76"/>
      <c r="T242" s="72"/>
      <c r="U242" s="72"/>
      <c r="V242" s="72">
        <v>3.5170000000000003</v>
      </c>
      <c r="W242" s="72"/>
      <c r="X242" s="72"/>
      <c r="Y242" s="72"/>
      <c r="Z242" s="72"/>
      <c r="AA242" s="74"/>
      <c r="AB242" s="72">
        <v>4.9843886203658689</v>
      </c>
      <c r="AC242" s="72"/>
      <c r="AD242" s="72"/>
      <c r="AE242" s="72"/>
      <c r="AF242" s="72"/>
      <c r="AG242" s="337"/>
      <c r="AH242" s="72"/>
      <c r="AI242" s="283">
        <v>1.49525422810598</v>
      </c>
      <c r="AJ242" s="88">
        <v>6.4000384814925301E-2</v>
      </c>
      <c r="AK242" s="88">
        <v>6.487654105115849E-2</v>
      </c>
      <c r="AL242" s="90">
        <v>0.34245746706950919</v>
      </c>
      <c r="AM242" s="204">
        <v>0.33754843479376934</v>
      </c>
      <c r="AN242" s="72"/>
      <c r="AO242" s="72"/>
      <c r="AP242" s="72"/>
      <c r="AQ242" s="72"/>
      <c r="AR242" s="72"/>
      <c r="AS242" s="72"/>
      <c r="AT242" s="273"/>
      <c r="AU242" s="72"/>
      <c r="AV242" s="72"/>
      <c r="AW242" s="72"/>
      <c r="AX242" s="72"/>
      <c r="AY242" s="72"/>
      <c r="AZ242" s="75"/>
      <c r="BA242" s="75"/>
      <c r="BB242" s="75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</row>
    <row r="243" spans="1:84" x14ac:dyDescent="0.2">
      <c r="A243" s="354">
        <v>43313</v>
      </c>
      <c r="B243" s="277">
        <v>4.4039999999999999</v>
      </c>
      <c r="C243" s="72">
        <v>-0.83799999999999997</v>
      </c>
      <c r="D243" s="72"/>
      <c r="E243" s="72"/>
      <c r="F243" s="72"/>
      <c r="G243" s="333"/>
      <c r="H243" s="333"/>
      <c r="I243" s="333"/>
      <c r="J243" s="335"/>
      <c r="K243" s="333"/>
      <c r="L243" s="335"/>
      <c r="M243" s="335"/>
      <c r="N243" s="335"/>
      <c r="O243" s="338"/>
      <c r="P243" s="72"/>
      <c r="Q243" s="76"/>
      <c r="S243" s="76"/>
      <c r="T243" s="72"/>
      <c r="U243" s="72"/>
      <c r="V243" s="72">
        <v>3.5659999999999998</v>
      </c>
      <c r="W243" s="72"/>
      <c r="X243" s="72"/>
      <c r="Y243" s="72"/>
      <c r="Z243" s="72"/>
      <c r="AA243" s="74"/>
      <c r="AB243" s="72">
        <v>5.0517300044812883</v>
      </c>
      <c r="AC243" s="72"/>
      <c r="AD243" s="72"/>
      <c r="AE243" s="72"/>
      <c r="AF243" s="72"/>
      <c r="AG243" s="337"/>
      <c r="AH243" s="72"/>
      <c r="AI243" s="283">
        <v>1.4946320952350001</v>
      </c>
      <c r="AJ243" s="88">
        <v>6.4013108191047302E-2</v>
      </c>
      <c r="AK243" s="88">
        <v>6.4910052549191896E-2</v>
      </c>
      <c r="AL243" s="90">
        <v>0.34055950754357434</v>
      </c>
      <c r="AM243" s="204">
        <v>0.33553801602640232</v>
      </c>
      <c r="AN243" s="72"/>
      <c r="AO243" s="72"/>
      <c r="AP243" s="72"/>
      <c r="AQ243" s="72"/>
      <c r="AR243" s="72"/>
      <c r="AS243" s="72"/>
      <c r="AT243" s="273"/>
      <c r="AU243" s="72"/>
      <c r="AV243" s="72"/>
      <c r="AW243" s="72"/>
      <c r="AX243" s="72"/>
      <c r="AY243" s="72"/>
      <c r="AZ243" s="75"/>
      <c r="BA243" s="75"/>
      <c r="BB243" s="75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</row>
    <row r="244" spans="1:84" x14ac:dyDescent="0.2">
      <c r="A244" s="354">
        <v>43344</v>
      </c>
      <c r="B244" s="277">
        <v>4.4190000000000005</v>
      </c>
      <c r="C244" s="72">
        <v>-0.83799999999999997</v>
      </c>
      <c r="D244" s="72"/>
      <c r="E244" s="72"/>
      <c r="F244" s="72"/>
      <c r="G244" s="333"/>
      <c r="H244" s="333"/>
      <c r="I244" s="333"/>
      <c r="J244" s="335"/>
      <c r="K244" s="333"/>
      <c r="L244" s="335"/>
      <c r="M244" s="335"/>
      <c r="N244" s="335"/>
      <c r="O244" s="338"/>
      <c r="P244" s="72"/>
      <c r="Q244" s="76"/>
      <c r="S244" s="76"/>
      <c r="T244" s="72"/>
      <c r="U244" s="72"/>
      <c r="V244" s="72">
        <v>3.5810000000000004</v>
      </c>
      <c r="W244" s="72"/>
      <c r="X244" s="72"/>
      <c r="Y244" s="72"/>
      <c r="Z244" s="72"/>
      <c r="AA244" s="74"/>
      <c r="AB244" s="72">
        <v>5.0708515594518433</v>
      </c>
      <c r="AC244" s="72"/>
      <c r="AD244" s="72"/>
      <c r="AE244" s="72"/>
      <c r="AF244" s="72"/>
      <c r="AG244" s="337"/>
      <c r="AH244" s="72"/>
      <c r="AI244" s="283">
        <v>1.49400512787183</v>
      </c>
      <c r="AJ244" s="88">
        <v>6.402583156722351E-2</v>
      </c>
      <c r="AK244" s="88">
        <v>6.4943564047597893E-2</v>
      </c>
      <c r="AL244" s="90">
        <v>0.33867135852112035</v>
      </c>
      <c r="AM244" s="204">
        <v>0.33353773651540702</v>
      </c>
      <c r="AN244" s="72"/>
      <c r="AO244" s="72"/>
      <c r="AP244" s="72"/>
      <c r="AQ244" s="72"/>
      <c r="AR244" s="72"/>
      <c r="AS244" s="72"/>
      <c r="AT244" s="273"/>
      <c r="AU244" s="72"/>
      <c r="AV244" s="72"/>
      <c r="AW244" s="72"/>
      <c r="AX244" s="72"/>
      <c r="AY244" s="72"/>
      <c r="AZ244" s="75"/>
      <c r="BA244" s="75"/>
      <c r="BB244" s="75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</row>
    <row r="245" spans="1:84" x14ac:dyDescent="0.2">
      <c r="A245" s="354">
        <v>43374</v>
      </c>
      <c r="B245" s="277">
        <v>4.4480000000000004</v>
      </c>
      <c r="C245" s="72">
        <v>-0.83799999999999997</v>
      </c>
      <c r="D245" s="72"/>
      <c r="E245" s="72"/>
      <c r="F245" s="72"/>
      <c r="G245" s="333"/>
      <c r="H245" s="333"/>
      <c r="I245" s="333"/>
      <c r="J245" s="335"/>
      <c r="K245" s="333"/>
      <c r="L245" s="335"/>
      <c r="M245" s="335"/>
      <c r="N245" s="335"/>
      <c r="O245" s="338"/>
      <c r="P245" s="72"/>
      <c r="Q245" s="76"/>
      <c r="S245" s="76"/>
      <c r="T245" s="72"/>
      <c r="U245" s="72"/>
      <c r="V245" s="72">
        <v>3.61</v>
      </c>
      <c r="W245" s="72"/>
      <c r="X245" s="72"/>
      <c r="Y245" s="72"/>
      <c r="Z245" s="72"/>
      <c r="AA245" s="74"/>
      <c r="AB245" s="72">
        <v>5.1098250478498448</v>
      </c>
      <c r="AC245" s="72"/>
      <c r="AD245" s="72"/>
      <c r="AE245" s="72"/>
      <c r="AF245" s="72"/>
      <c r="AG245" s="337"/>
      <c r="AH245" s="72"/>
      <c r="AI245" s="283">
        <v>1.49339378827819</v>
      </c>
      <c r="AJ245" s="88">
        <v>6.4038144511961104E-2</v>
      </c>
      <c r="AK245" s="88">
        <v>6.4975994530280398E-2</v>
      </c>
      <c r="AL245" s="90">
        <v>0.33685341462927371</v>
      </c>
      <c r="AM245" s="204">
        <v>0.33161159984683775</v>
      </c>
      <c r="AN245" s="72"/>
      <c r="AO245" s="72"/>
      <c r="AP245" s="72"/>
      <c r="AQ245" s="72"/>
      <c r="AR245" s="72"/>
      <c r="AS245" s="72"/>
      <c r="AT245" s="273"/>
      <c r="AU245" s="72"/>
      <c r="AV245" s="72"/>
      <c r="AW245" s="72"/>
      <c r="AX245" s="72"/>
      <c r="AY245" s="72"/>
      <c r="AZ245" s="75"/>
      <c r="BA245" s="75"/>
      <c r="BB245" s="75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</row>
    <row r="246" spans="1:84" x14ac:dyDescent="0.2">
      <c r="A246" s="354">
        <v>43405</v>
      </c>
      <c r="B246" s="277">
        <v>4.5880000000000001</v>
      </c>
      <c r="C246" s="72">
        <v>-0.73799999999999999</v>
      </c>
      <c r="D246" s="72"/>
      <c r="E246" s="72"/>
      <c r="F246" s="72"/>
      <c r="G246" s="333"/>
      <c r="H246" s="333"/>
      <c r="I246" s="333"/>
      <c r="J246" s="335"/>
      <c r="K246" s="333"/>
      <c r="L246" s="335"/>
      <c r="M246" s="335"/>
      <c r="N246" s="335"/>
      <c r="O246" s="338"/>
      <c r="P246" s="72"/>
      <c r="Q246" s="76"/>
      <c r="S246" s="76"/>
      <c r="T246" s="72"/>
      <c r="U246" s="72"/>
      <c r="V246" s="72">
        <v>3.85</v>
      </c>
      <c r="W246" s="72"/>
      <c r="X246" s="72"/>
      <c r="Y246" s="72"/>
      <c r="Z246" s="72"/>
      <c r="AA246" s="74"/>
      <c r="AB246" s="72">
        <v>5.447213899810369</v>
      </c>
      <c r="AC246" s="72"/>
      <c r="AD246" s="72"/>
      <c r="AE246" s="72"/>
      <c r="AF246" s="72"/>
      <c r="AG246" s="337"/>
      <c r="AH246" s="72"/>
      <c r="AI246" s="283">
        <v>1.4927573268255399</v>
      </c>
      <c r="AJ246" s="88">
        <v>6.4050867888242602E-2</v>
      </c>
      <c r="AK246" s="88">
        <v>6.5009506029418698E-2</v>
      </c>
      <c r="AL246" s="90">
        <v>0.33498443452981674</v>
      </c>
      <c r="AM246" s="204">
        <v>0.32963115953651428</v>
      </c>
      <c r="AN246" s="72"/>
      <c r="AO246" s="72"/>
      <c r="AP246" s="72"/>
      <c r="AQ246" s="72"/>
      <c r="AR246" s="72"/>
      <c r="AS246" s="72"/>
      <c r="AT246" s="273"/>
      <c r="AU246" s="72"/>
      <c r="AV246" s="72"/>
      <c r="AW246" s="72"/>
      <c r="AX246" s="72"/>
      <c r="AY246" s="72"/>
      <c r="AZ246" s="75"/>
      <c r="BA246" s="75"/>
      <c r="BB246" s="75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</row>
    <row r="247" spans="1:84" x14ac:dyDescent="0.2">
      <c r="A247" s="354">
        <v>43435</v>
      </c>
      <c r="B247" s="277">
        <v>4.7280000000000006</v>
      </c>
      <c r="C247" s="72">
        <v>-0.73799999999999999</v>
      </c>
      <c r="D247" s="72"/>
      <c r="E247" s="72"/>
      <c r="F247" s="72"/>
      <c r="G247" s="333"/>
      <c r="H247" s="333"/>
      <c r="I247" s="333"/>
      <c r="J247" s="335"/>
      <c r="K247" s="333"/>
      <c r="L247" s="335"/>
      <c r="M247" s="335"/>
      <c r="N247" s="335"/>
      <c r="O247" s="338"/>
      <c r="P247" s="72"/>
      <c r="Q247" s="76"/>
      <c r="S247" s="76"/>
      <c r="T247" s="72"/>
      <c r="U247" s="72"/>
      <c r="V247" s="72">
        <v>3.99</v>
      </c>
      <c r="W247" s="72"/>
      <c r="X247" s="72"/>
      <c r="Y247" s="72"/>
      <c r="Z247" s="72"/>
      <c r="AA247" s="74"/>
      <c r="AB247" s="72">
        <v>5.6429477473400604</v>
      </c>
      <c r="AC247" s="72"/>
      <c r="AD247" s="72"/>
      <c r="AE247" s="72"/>
      <c r="AF247" s="72"/>
      <c r="AG247" s="337"/>
      <c r="AH247" s="72"/>
      <c r="AI247" s="283">
        <v>1.4921368116585498</v>
      </c>
      <c r="AJ247" s="88">
        <v>6.4063180833082295E-2</v>
      </c>
      <c r="AK247" s="88">
        <v>6.50419365128099E-2</v>
      </c>
      <c r="AL247" s="90">
        <v>0.33318495461325431</v>
      </c>
      <c r="AM247" s="204">
        <v>0.32772415021042856</v>
      </c>
      <c r="AN247" s="72"/>
      <c r="AO247" s="72"/>
      <c r="AP247" s="72"/>
      <c r="AQ247" s="72"/>
      <c r="AR247" s="72"/>
      <c r="AS247" s="72"/>
      <c r="AT247" s="273"/>
      <c r="AU247" s="72"/>
      <c r="AV247" s="72"/>
      <c r="AW247" s="72"/>
      <c r="AX247" s="72"/>
      <c r="AY247" s="72"/>
      <c r="AZ247" s="75"/>
      <c r="BA247" s="75"/>
      <c r="BB247" s="75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</row>
    <row r="248" spans="1:84" x14ac:dyDescent="0.2">
      <c r="A248" s="354">
        <v>43466</v>
      </c>
      <c r="B248" s="277">
        <v>4.8380000000000001</v>
      </c>
      <c r="C248" s="72">
        <v>-0.73799999999999999</v>
      </c>
      <c r="D248" s="90"/>
      <c r="E248" s="90"/>
      <c r="F248" s="90"/>
      <c r="G248" s="333"/>
      <c r="H248" s="333"/>
      <c r="I248" s="333"/>
      <c r="J248" s="335"/>
      <c r="K248" s="333"/>
      <c r="L248" s="335"/>
      <c r="M248" s="335"/>
      <c r="N248" s="335"/>
      <c r="O248" s="338"/>
      <c r="P248" s="72"/>
      <c r="Q248" s="76"/>
      <c r="S248" s="76"/>
      <c r="T248" s="72"/>
      <c r="U248" s="72"/>
      <c r="V248" s="72">
        <v>4.0999999999999996</v>
      </c>
      <c r="W248" s="72"/>
      <c r="X248" s="72"/>
      <c r="Y248" s="72"/>
      <c r="Z248" s="72"/>
      <c r="AA248" s="74"/>
      <c r="AB248" s="72">
        <v>5.7960076188209904</v>
      </c>
      <c r="AC248" s="72"/>
      <c r="AD248" s="72"/>
      <c r="AE248" s="72"/>
      <c r="AF248" s="72"/>
      <c r="AG248" s="337"/>
      <c r="AH248" s="72"/>
      <c r="AI248" s="283">
        <v>1.49149088153239</v>
      </c>
      <c r="AJ248" s="88">
        <v>6.4075904209469403E-2</v>
      </c>
      <c r="AK248" s="88">
        <v>6.5075448012681003E-2</v>
      </c>
      <c r="AL248" s="90">
        <v>0.33133496484780839</v>
      </c>
      <c r="AM248" s="204">
        <v>0.32576340066140991</v>
      </c>
      <c r="AN248" s="72"/>
      <c r="AO248" s="72"/>
      <c r="AP248" s="72"/>
      <c r="AQ248" s="72"/>
      <c r="AR248" s="72"/>
      <c r="AS248" s="72"/>
      <c r="AT248" s="273"/>
      <c r="AU248" s="72"/>
      <c r="AV248" s="72"/>
      <c r="AW248" s="72"/>
      <c r="AX248" s="72"/>
      <c r="AY248" s="72"/>
      <c r="AZ248" s="75"/>
      <c r="BA248" s="75"/>
      <c r="BB248" s="75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</row>
    <row r="249" spans="1:84" x14ac:dyDescent="0.2">
      <c r="A249" s="354">
        <v>43497</v>
      </c>
      <c r="B249" s="277">
        <v>4.72</v>
      </c>
      <c r="C249" s="72">
        <v>-0.73799999999999999</v>
      </c>
      <c r="D249" s="90"/>
      <c r="E249" s="90"/>
      <c r="F249" s="90"/>
      <c r="G249" s="333"/>
      <c r="H249" s="333"/>
      <c r="I249" s="333"/>
      <c r="J249" s="335"/>
      <c r="K249" s="333"/>
      <c r="L249" s="335"/>
      <c r="M249" s="335"/>
      <c r="N249" s="335"/>
      <c r="O249" s="338"/>
      <c r="P249" s="72"/>
      <c r="Q249" s="72"/>
      <c r="S249" s="72"/>
      <c r="T249" s="72"/>
      <c r="U249" s="72"/>
      <c r="V249" s="72">
        <v>3.9819999999999998</v>
      </c>
      <c r="W249" s="72"/>
      <c r="X249" s="72"/>
      <c r="Y249" s="72"/>
      <c r="Z249" s="72"/>
      <c r="AA249" s="74"/>
      <c r="AB249" s="72">
        <v>5.6267396939627599</v>
      </c>
      <c r="AC249" s="72"/>
      <c r="AD249" s="72"/>
      <c r="AE249" s="72"/>
      <c r="AF249" s="72"/>
      <c r="AG249" s="337"/>
      <c r="AH249" s="72"/>
      <c r="AI249" s="283">
        <v>1.4908401493102899</v>
      </c>
      <c r="AJ249" s="88">
        <v>6.4088627585910704E-2</v>
      </c>
      <c r="AK249" s="88">
        <v>6.5108959512923295E-2</v>
      </c>
      <c r="AL249" s="90">
        <v>0.32949455794354093</v>
      </c>
      <c r="AM249" s="204">
        <v>0.32381260116115851</v>
      </c>
      <c r="AN249" s="72"/>
      <c r="AO249" s="72"/>
      <c r="AP249" s="72"/>
      <c r="AQ249" s="72"/>
      <c r="AR249" s="72"/>
      <c r="AS249" s="72"/>
      <c r="AT249" s="273"/>
      <c r="AU249" s="72"/>
      <c r="AV249" s="72"/>
      <c r="AW249" s="72"/>
      <c r="AX249" s="72"/>
      <c r="AY249" s="72"/>
      <c r="AZ249" s="75"/>
      <c r="BA249" s="75"/>
      <c r="BB249" s="75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</row>
    <row r="250" spans="1:84" x14ac:dyDescent="0.2">
      <c r="A250" s="354">
        <v>43525</v>
      </c>
      <c r="B250" s="277">
        <v>4.5870000000000006</v>
      </c>
      <c r="C250" s="72">
        <v>-0.73799999999999999</v>
      </c>
      <c r="D250" s="90"/>
      <c r="E250" s="90"/>
      <c r="F250" s="90"/>
      <c r="G250" s="333"/>
      <c r="H250" s="333"/>
      <c r="I250" s="333"/>
      <c r="J250" s="335"/>
      <c r="K250" s="333"/>
      <c r="L250" s="335"/>
      <c r="M250" s="335"/>
      <c r="N250" s="335"/>
      <c r="O250" s="338"/>
      <c r="P250" s="72"/>
      <c r="Q250" s="72"/>
      <c r="S250" s="72"/>
      <c r="T250" s="72"/>
      <c r="U250" s="72"/>
      <c r="V250" s="72">
        <v>3.8490000000000006</v>
      </c>
      <c r="W250" s="72"/>
      <c r="X250" s="72"/>
      <c r="Y250" s="72"/>
      <c r="Z250" s="72"/>
      <c r="AA250" s="74"/>
      <c r="AB250" s="72">
        <v>5.436645626693239</v>
      </c>
      <c r="AC250" s="72"/>
      <c r="AD250" s="72"/>
      <c r="AE250" s="72"/>
      <c r="AF250" s="72"/>
      <c r="AG250" s="337"/>
      <c r="AH250" s="72"/>
      <c r="AI250" s="283">
        <v>1.4902482692430401</v>
      </c>
      <c r="AJ250" s="88">
        <v>6.4100119667903396E-2</v>
      </c>
      <c r="AK250" s="88">
        <v>6.5139227965075999E-2</v>
      </c>
      <c r="AL250" s="90">
        <v>0.32784045371861265</v>
      </c>
      <c r="AM250" s="204">
        <v>0.32205910925643755</v>
      </c>
      <c r="AN250" s="72"/>
      <c r="AO250" s="72"/>
      <c r="AP250" s="72"/>
      <c r="AQ250" s="72"/>
      <c r="AR250" s="72"/>
      <c r="AS250" s="72"/>
      <c r="AT250" s="273"/>
      <c r="AU250" s="72"/>
      <c r="AV250" s="72"/>
      <c r="AW250" s="72"/>
      <c r="AX250" s="72"/>
      <c r="AY250" s="72"/>
      <c r="AZ250" s="75"/>
      <c r="BA250" s="75"/>
      <c r="BB250" s="75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</row>
    <row r="251" spans="1:84" x14ac:dyDescent="0.2">
      <c r="A251" s="354">
        <v>43556</v>
      </c>
      <c r="B251" s="277">
        <v>4.367</v>
      </c>
      <c r="C251" s="72">
        <v>-0.83799999999999997</v>
      </c>
      <c r="D251" s="90"/>
      <c r="E251" s="90"/>
      <c r="F251" s="90"/>
      <c r="G251" s="333"/>
      <c r="H251" s="333"/>
      <c r="I251" s="333"/>
      <c r="J251" s="335"/>
      <c r="K251" s="333"/>
      <c r="L251" s="335"/>
      <c r="M251" s="335"/>
      <c r="N251" s="335"/>
      <c r="O251" s="338"/>
      <c r="P251" s="72"/>
      <c r="Q251" s="72"/>
      <c r="S251" s="72"/>
      <c r="T251" s="72"/>
      <c r="U251" s="72"/>
      <c r="V251" s="72">
        <v>3.5289999999999999</v>
      </c>
      <c r="W251" s="72"/>
      <c r="X251" s="72"/>
      <c r="Y251" s="72"/>
      <c r="Z251" s="72"/>
      <c r="AA251" s="74"/>
      <c r="AB251" s="72">
        <v>4.9824440791887774</v>
      </c>
      <c r="AC251" s="72"/>
      <c r="AD251" s="72"/>
      <c r="AE251" s="72"/>
      <c r="AF251" s="72"/>
      <c r="AG251" s="337"/>
      <c r="AH251" s="72"/>
      <c r="AI251" s="283">
        <v>1.48958841609878</v>
      </c>
      <c r="AJ251" s="88">
        <v>6.4112843044446408E-2</v>
      </c>
      <c r="AK251" s="88">
        <v>6.5172739466027502E-2</v>
      </c>
      <c r="AL251" s="90">
        <v>0.32601815949368151</v>
      </c>
      <c r="AM251" s="204">
        <v>0.32012714160819383</v>
      </c>
      <c r="AN251" s="72"/>
      <c r="AO251" s="72"/>
      <c r="AP251" s="72"/>
      <c r="AQ251" s="72"/>
      <c r="AR251" s="72"/>
      <c r="AS251" s="72"/>
      <c r="AT251" s="273"/>
      <c r="AU251" s="72"/>
      <c r="AV251" s="72"/>
      <c r="AW251" s="72"/>
      <c r="AX251" s="72"/>
      <c r="AY251" s="72"/>
      <c r="AZ251" s="75"/>
      <c r="BA251" s="75"/>
      <c r="BB251" s="75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</row>
    <row r="252" spans="1:84" x14ac:dyDescent="0.2">
      <c r="A252" s="354">
        <v>43586</v>
      </c>
      <c r="B252" s="277">
        <v>4.3570000000000002</v>
      </c>
      <c r="C252" s="72">
        <v>-0.83799999999999997</v>
      </c>
      <c r="D252" s="90"/>
      <c r="E252" s="90"/>
      <c r="F252" s="90"/>
      <c r="G252" s="333"/>
      <c r="H252" s="333"/>
      <c r="I252" s="333"/>
      <c r="J252" s="335"/>
      <c r="K252" s="333"/>
      <c r="L252" s="335"/>
      <c r="M252" s="335"/>
      <c r="N252" s="335"/>
      <c r="O252" s="338"/>
      <c r="P252" s="72"/>
      <c r="Q252" s="72"/>
      <c r="S252" s="72"/>
      <c r="T252" s="72"/>
      <c r="U252" s="72"/>
      <c r="V252" s="72">
        <v>3.5190000000000001</v>
      </c>
      <c r="W252" s="72"/>
      <c r="X252" s="72"/>
      <c r="Y252" s="72"/>
      <c r="Z252" s="72"/>
      <c r="AA252" s="74"/>
      <c r="AB252" s="72">
        <v>4.9661804612048206</v>
      </c>
      <c r="AC252" s="72"/>
      <c r="AD252" s="72"/>
      <c r="AE252" s="72"/>
      <c r="AF252" s="72"/>
      <c r="AG252" s="337"/>
      <c r="AH252" s="72"/>
      <c r="AI252" s="283">
        <v>1.4889452948783499</v>
      </c>
      <c r="AJ252" s="88">
        <v>6.4125155989539703E-2</v>
      </c>
      <c r="AK252" s="88">
        <v>6.5205169951172898E-2</v>
      </c>
      <c r="AL252" s="90">
        <v>0.32426364818360237</v>
      </c>
      <c r="AM252" s="204">
        <v>0.31826686437908019</v>
      </c>
      <c r="AN252" s="72"/>
      <c r="AO252" s="72"/>
      <c r="AP252" s="72"/>
      <c r="AQ252" s="72"/>
      <c r="AR252" s="72"/>
      <c r="AS252" s="72"/>
      <c r="AT252" s="273"/>
      <c r="AU252" s="72"/>
      <c r="AV252" s="72"/>
      <c r="AW252" s="72"/>
      <c r="AX252" s="72"/>
      <c r="AY252" s="72"/>
      <c r="AZ252" s="75"/>
      <c r="BA252" s="75"/>
      <c r="BB252" s="75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</row>
    <row r="253" spans="1:84" x14ac:dyDescent="0.2">
      <c r="A253" s="354">
        <v>43617</v>
      </c>
      <c r="B253" s="277">
        <v>4.3929999999999998</v>
      </c>
      <c r="C253" s="72">
        <v>-0.83799999999999997</v>
      </c>
      <c r="D253" s="90"/>
      <c r="E253" s="90"/>
      <c r="F253" s="90"/>
      <c r="G253" s="333"/>
      <c r="H253" s="333"/>
      <c r="I253" s="333"/>
      <c r="J253" s="335"/>
      <c r="K253" s="333"/>
      <c r="L253" s="335"/>
      <c r="M253" s="335"/>
      <c r="N253" s="335"/>
      <c r="O253" s="338"/>
      <c r="P253" s="72"/>
      <c r="Q253" s="72"/>
      <c r="S253" s="72"/>
      <c r="T253" s="72"/>
      <c r="U253" s="72"/>
      <c r="V253" s="72">
        <v>3.5550000000000002</v>
      </c>
      <c r="W253" s="72"/>
      <c r="X253" s="72"/>
      <c r="Y253" s="72"/>
      <c r="Z253" s="72"/>
      <c r="AA253" s="74"/>
      <c r="AB253" s="72">
        <v>5.0147303207184306</v>
      </c>
      <c r="AC253" s="72"/>
      <c r="AD253" s="72"/>
      <c r="AE253" s="72"/>
      <c r="AF253" s="72"/>
      <c r="AG253" s="337"/>
      <c r="AH253" s="72"/>
      <c r="AI253" s="283">
        <v>1.48827603748408</v>
      </c>
      <c r="AJ253" s="88">
        <v>6.4137879366188005E-2</v>
      </c>
      <c r="AK253" s="88">
        <v>6.5238681452856703E-2</v>
      </c>
      <c r="AL253" s="90">
        <v>0.32245990858005441</v>
      </c>
      <c r="AM253" s="204">
        <v>0.31635422214172765</v>
      </c>
      <c r="AN253" s="72"/>
      <c r="AO253" s="72"/>
      <c r="AP253" s="72"/>
      <c r="AQ253" s="72"/>
      <c r="AR253" s="72"/>
      <c r="AS253" s="72"/>
      <c r="AT253" s="273"/>
      <c r="AU253" s="72"/>
      <c r="AV253" s="72"/>
      <c r="AW253" s="72"/>
      <c r="AX253" s="72"/>
      <c r="AY253" s="72"/>
      <c r="AZ253" s="75"/>
      <c r="BA253" s="75"/>
      <c r="BB253" s="75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</row>
    <row r="254" spans="1:84" x14ac:dyDescent="0.2">
      <c r="A254" s="354">
        <v>43647</v>
      </c>
      <c r="B254" s="277">
        <v>4.4349999999999996</v>
      </c>
      <c r="C254" s="72">
        <v>-0.83799999999999997</v>
      </c>
      <c r="D254" s="90"/>
      <c r="E254" s="90"/>
      <c r="F254" s="90"/>
      <c r="G254" s="333"/>
      <c r="H254" s="333"/>
      <c r="I254" s="333"/>
      <c r="J254" s="335"/>
      <c r="K254" s="333"/>
      <c r="L254" s="335"/>
      <c r="M254" s="335"/>
      <c r="N254" s="335"/>
      <c r="O254" s="338"/>
      <c r="P254" s="72"/>
      <c r="Q254" s="72"/>
      <c r="S254" s="72"/>
      <c r="T254" s="72"/>
      <c r="U254" s="72"/>
      <c r="V254" s="72">
        <v>3.5969999999999995</v>
      </c>
      <c r="W254" s="72"/>
      <c r="X254" s="72"/>
      <c r="Y254" s="72"/>
      <c r="Z254" s="72"/>
      <c r="AA254" s="74"/>
      <c r="AB254" s="72">
        <v>5.0717525042343903</v>
      </c>
      <c r="AC254" s="72"/>
      <c r="AD254" s="72"/>
      <c r="AE254" s="72"/>
      <c r="AF254" s="72"/>
      <c r="AG254" s="337"/>
      <c r="AH254" s="72"/>
      <c r="AI254" s="283">
        <v>1.48762382822005</v>
      </c>
      <c r="AJ254" s="88">
        <v>6.4150192311382997E-2</v>
      </c>
      <c r="AK254" s="88">
        <v>6.5271111938711712E-2</v>
      </c>
      <c r="AL254" s="90">
        <v>0.32072326924079392</v>
      </c>
      <c r="AM254" s="204">
        <v>0.31451257586502129</v>
      </c>
      <c r="AN254" s="72"/>
      <c r="AO254" s="72"/>
      <c r="AP254" s="72"/>
      <c r="AQ254" s="72"/>
      <c r="AR254" s="72"/>
      <c r="AS254" s="72"/>
      <c r="AT254" s="273"/>
      <c r="AU254" s="72"/>
      <c r="AV254" s="72"/>
      <c r="AW254" s="72"/>
      <c r="AX254" s="72"/>
      <c r="AY254" s="72"/>
      <c r="AZ254" s="75"/>
      <c r="BA254" s="75"/>
      <c r="BB254" s="75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</row>
    <row r="255" spans="1:84" x14ac:dyDescent="0.2">
      <c r="A255" s="354">
        <v>43678</v>
      </c>
      <c r="B255" s="277">
        <v>4.484</v>
      </c>
      <c r="C255" s="72">
        <v>-0.83799999999999997</v>
      </c>
      <c r="D255" s="90"/>
      <c r="E255" s="90"/>
      <c r="F255" s="90"/>
      <c r="G255" s="333"/>
      <c r="H255" s="333"/>
      <c r="I255" s="333"/>
      <c r="J255" s="335"/>
      <c r="K255" s="333"/>
      <c r="L255" s="335"/>
      <c r="M255" s="335"/>
      <c r="N255" s="335"/>
      <c r="O255" s="338"/>
      <c r="P255" s="72"/>
      <c r="Q255" s="72"/>
      <c r="S255" s="72"/>
      <c r="T255" s="72"/>
      <c r="U255" s="72"/>
      <c r="V255" s="72">
        <v>3.6459999999999999</v>
      </c>
      <c r="W255" s="72"/>
      <c r="X255" s="72"/>
      <c r="Y255" s="72"/>
      <c r="Z255" s="72"/>
      <c r="AA255" s="74"/>
      <c r="AB255" s="72">
        <v>5.1384970792351776</v>
      </c>
      <c r="AC255" s="72"/>
      <c r="AD255" s="72"/>
      <c r="AE255" s="72"/>
      <c r="AF255" s="72"/>
      <c r="AG255" s="337"/>
      <c r="AH255" s="72"/>
      <c r="AI255" s="283">
        <v>1.4869451932061299</v>
      </c>
      <c r="AJ255" s="88">
        <v>6.4162915688137409E-2</v>
      </c>
      <c r="AK255" s="88">
        <v>6.5304623441127904E-2</v>
      </c>
      <c r="AL255" s="90">
        <v>0.3189379107878596</v>
      </c>
      <c r="AM255" s="204">
        <v>0.31261911231193973</v>
      </c>
      <c r="AN255" s="72"/>
      <c r="AO255" s="72"/>
      <c r="AP255" s="72"/>
      <c r="AQ255" s="72"/>
      <c r="AR255" s="72"/>
      <c r="AS255" s="72"/>
      <c r="AT255" s="273"/>
      <c r="AU255" s="72"/>
      <c r="AV255" s="72"/>
      <c r="AW255" s="72"/>
      <c r="AX255" s="72"/>
      <c r="AY255" s="72"/>
      <c r="AZ255" s="75"/>
      <c r="BA255" s="75"/>
      <c r="BB255" s="75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</row>
    <row r="256" spans="1:84" x14ac:dyDescent="0.2">
      <c r="A256" s="354">
        <v>43709</v>
      </c>
      <c r="B256" s="277">
        <v>4.4990000000000006</v>
      </c>
      <c r="C256" s="72">
        <v>-0.83799999999999997</v>
      </c>
      <c r="D256" s="90"/>
      <c r="E256" s="90"/>
      <c r="F256" s="90"/>
      <c r="G256" s="333"/>
      <c r="H256" s="333"/>
      <c r="I256" s="333"/>
      <c r="J256" s="335"/>
      <c r="K256" s="333"/>
      <c r="L256" s="335"/>
      <c r="M256" s="335"/>
      <c r="N256" s="335"/>
      <c r="O256" s="338"/>
      <c r="P256" s="72"/>
      <c r="Q256" s="72"/>
      <c r="S256" s="72"/>
      <c r="T256" s="72"/>
      <c r="U256" s="72"/>
      <c r="V256" s="72">
        <v>3.6610000000000005</v>
      </c>
      <c r="W256" s="72"/>
      <c r="X256" s="72"/>
      <c r="Y256" s="72"/>
      <c r="Z256" s="72"/>
      <c r="AA256" s="74"/>
      <c r="AB256" s="72">
        <v>5.1572660220609876</v>
      </c>
      <c r="AC256" s="72"/>
      <c r="AD256" s="72"/>
      <c r="AE256" s="72"/>
      <c r="AF256" s="72"/>
      <c r="AG256" s="337"/>
      <c r="AH256" s="72"/>
      <c r="AI256" s="283">
        <v>1.4862618028329899</v>
      </c>
      <c r="AJ256" s="88">
        <v>6.41756390649455E-2</v>
      </c>
      <c r="AK256" s="88">
        <v>6.5338134943916201E-2</v>
      </c>
      <c r="AL256" s="90">
        <v>0.31716182756097228</v>
      </c>
      <c r="AM256" s="204">
        <v>0.31073533923571289</v>
      </c>
      <c r="AN256" s="72"/>
      <c r="AO256" s="72"/>
      <c r="AP256" s="72"/>
      <c r="AQ256" s="72"/>
      <c r="AR256" s="72"/>
      <c r="AS256" s="72"/>
      <c r="AT256" s="273"/>
      <c r="AU256" s="72"/>
      <c r="AV256" s="72"/>
      <c r="AW256" s="72"/>
      <c r="AX256" s="72"/>
      <c r="AY256" s="72"/>
      <c r="AZ256" s="75"/>
      <c r="BA256" s="75"/>
      <c r="BB256" s="75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</row>
    <row r="257" spans="1:84" x14ac:dyDescent="0.2">
      <c r="A257" s="354">
        <v>43739</v>
      </c>
      <c r="B257" s="277">
        <v>4.5280000000000005</v>
      </c>
      <c r="C257" s="72">
        <v>-0.83799999999999997</v>
      </c>
      <c r="D257" s="90"/>
      <c r="E257" s="90"/>
      <c r="F257" s="90"/>
      <c r="G257" s="333"/>
      <c r="H257" s="333"/>
      <c r="I257" s="333"/>
      <c r="J257" s="335"/>
      <c r="K257" s="333"/>
      <c r="L257" s="335"/>
      <c r="M257" s="335"/>
      <c r="N257" s="335"/>
      <c r="O257" s="338"/>
      <c r="P257" s="72"/>
      <c r="Q257" s="72"/>
      <c r="S257" s="72"/>
      <c r="T257" s="72"/>
      <c r="U257" s="72"/>
      <c r="V257" s="72">
        <v>3.69</v>
      </c>
      <c r="W257" s="72"/>
      <c r="X257" s="72"/>
      <c r="Y257" s="72"/>
      <c r="Z257" s="72"/>
      <c r="AA257" s="74"/>
      <c r="AB257" s="72">
        <v>5.1957896116438738</v>
      </c>
      <c r="AC257" s="72"/>
      <c r="AD257" s="72"/>
      <c r="AE257" s="72"/>
      <c r="AF257" s="72"/>
      <c r="AG257" s="337"/>
      <c r="AH257" s="72"/>
      <c r="AI257" s="283">
        <v>1.4855959361795499</v>
      </c>
      <c r="AJ257" s="88">
        <v>6.4187952010294605E-2</v>
      </c>
      <c r="AK257" s="88">
        <v>6.5370565430839606E-2</v>
      </c>
      <c r="AL257" s="90">
        <v>0.31545182692348783</v>
      </c>
      <c r="AM257" s="204">
        <v>0.30892152415157931</v>
      </c>
      <c r="AN257" s="72"/>
      <c r="AO257" s="72"/>
      <c r="AP257" s="72"/>
      <c r="AQ257" s="72"/>
      <c r="AR257" s="72"/>
      <c r="AS257" s="72"/>
      <c r="AT257" s="273"/>
      <c r="AU257" s="72"/>
      <c r="AV257" s="72"/>
      <c r="AW257" s="72"/>
      <c r="AX257" s="72"/>
      <c r="AY257" s="72"/>
      <c r="AZ257" s="75"/>
      <c r="BA257" s="75"/>
      <c r="BB257" s="75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</row>
    <row r="258" spans="1:84" x14ac:dyDescent="0.2">
      <c r="A258" s="354">
        <v>43770</v>
      </c>
      <c r="B258" s="277">
        <v>4.6680000000000001</v>
      </c>
      <c r="C258" s="72">
        <v>-0.73799999999999999</v>
      </c>
      <c r="D258" s="90"/>
      <c r="E258" s="90"/>
      <c r="F258" s="90"/>
      <c r="G258" s="333"/>
      <c r="H258" s="333"/>
      <c r="I258" s="333"/>
      <c r="J258" s="335"/>
      <c r="K258" s="333"/>
      <c r="L258" s="335"/>
      <c r="M258" s="335"/>
      <c r="N258" s="335"/>
      <c r="O258" s="338"/>
      <c r="P258" s="72"/>
      <c r="Q258" s="72"/>
      <c r="S258" s="72"/>
      <c r="T258" s="72"/>
      <c r="U258" s="72"/>
      <c r="V258" s="72">
        <v>3.93</v>
      </c>
      <c r="W258" s="72"/>
      <c r="X258" s="72"/>
      <c r="Y258" s="72"/>
      <c r="Z258" s="72"/>
      <c r="AA258" s="74"/>
      <c r="AB258" s="72">
        <v>5.5311467935197705</v>
      </c>
      <c r="AC258" s="72"/>
      <c r="AD258" s="72"/>
      <c r="AE258" s="72"/>
      <c r="AF258" s="72"/>
      <c r="AG258" s="337"/>
      <c r="AH258" s="72"/>
      <c r="AI258" s="283">
        <v>1.4849032090035099</v>
      </c>
      <c r="AJ258" s="88">
        <v>6.4200675387208403E-2</v>
      </c>
      <c r="AK258" s="88">
        <v>6.5404076934360192E-2</v>
      </c>
      <c r="AL258" s="90">
        <v>0.31369386595746179</v>
      </c>
      <c r="AM258" s="204">
        <v>0.30705670942976587</v>
      </c>
      <c r="AN258" s="72"/>
      <c r="AO258" s="72"/>
      <c r="AP258" s="72"/>
      <c r="AQ258" s="72"/>
      <c r="AR258" s="72"/>
      <c r="AS258" s="72"/>
      <c r="AT258" s="273"/>
      <c r="AU258" s="72"/>
      <c r="AV258" s="72"/>
      <c r="AW258" s="72"/>
      <c r="AX258" s="72"/>
      <c r="AY258" s="72"/>
      <c r="AZ258" s="75"/>
      <c r="BA258" s="75"/>
      <c r="BB258" s="75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</row>
    <row r="259" spans="1:84" x14ac:dyDescent="0.2">
      <c r="A259" s="354">
        <v>43800</v>
      </c>
      <c r="B259" s="277">
        <v>4.8079999999999998</v>
      </c>
      <c r="C259" s="72">
        <v>-0.73799999999999999</v>
      </c>
      <c r="D259" s="90"/>
      <c r="E259" s="90"/>
      <c r="F259" s="90"/>
      <c r="G259" s="333"/>
      <c r="H259" s="333"/>
      <c r="I259" s="333"/>
      <c r="J259" s="335"/>
      <c r="K259" s="333"/>
      <c r="L259" s="335"/>
      <c r="M259" s="335"/>
      <c r="N259" s="335"/>
      <c r="O259" s="338"/>
      <c r="P259" s="72"/>
      <c r="Q259" s="72"/>
      <c r="S259" s="72"/>
      <c r="T259" s="72"/>
      <c r="U259" s="72"/>
      <c r="V259" s="72">
        <v>4.07</v>
      </c>
      <c r="W259" s="72"/>
      <c r="X259" s="72"/>
      <c r="Y259" s="72"/>
      <c r="Z259" s="72"/>
      <c r="AA259" s="74"/>
      <c r="AB259" s="72">
        <v>5.7255816396327122</v>
      </c>
      <c r="AC259" s="72"/>
      <c r="AD259" s="72"/>
      <c r="AE259" s="72"/>
      <c r="AF259" s="72"/>
      <c r="AG259" s="337"/>
      <c r="AH259" s="72"/>
      <c r="AI259" s="283">
        <v>1.4842283199961499</v>
      </c>
      <c r="AJ259" s="88">
        <v>6.4212988332660106E-2</v>
      </c>
      <c r="AK259" s="88">
        <v>6.543650742199289E-2</v>
      </c>
      <c r="AL259" s="90">
        <v>0.31200132063026609</v>
      </c>
      <c r="AM259" s="204">
        <v>0.30526117070246411</v>
      </c>
      <c r="AN259" s="72"/>
      <c r="AO259" s="72"/>
      <c r="AP259" s="72"/>
      <c r="AQ259" s="72"/>
      <c r="AR259" s="72"/>
      <c r="AS259" s="72"/>
      <c r="AT259" s="273"/>
      <c r="AU259" s="72"/>
      <c r="AV259" s="72"/>
      <c r="AW259" s="72"/>
      <c r="AX259" s="72"/>
      <c r="AY259" s="72"/>
      <c r="AZ259" s="75"/>
      <c r="BA259" s="75"/>
      <c r="BB259" s="75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</row>
    <row r="260" spans="1:84" x14ac:dyDescent="0.2">
      <c r="A260" s="354">
        <v>43831</v>
      </c>
      <c r="B260" s="277">
        <v>4.9180000000000001</v>
      </c>
      <c r="C260" s="72">
        <v>-0.73799999999999999</v>
      </c>
      <c r="D260" s="90"/>
      <c r="E260" s="90"/>
      <c r="F260" s="90"/>
      <c r="G260" s="333"/>
      <c r="H260" s="333"/>
      <c r="I260" s="333"/>
      <c r="J260" s="335"/>
      <c r="K260" s="333"/>
      <c r="L260" s="335"/>
      <c r="M260" s="335"/>
      <c r="N260" s="335"/>
      <c r="O260" s="338"/>
      <c r="P260" s="72"/>
      <c r="Q260" s="72"/>
      <c r="S260" s="72"/>
      <c r="T260" s="72"/>
      <c r="U260" s="72"/>
      <c r="V260" s="72">
        <v>4.18</v>
      </c>
      <c r="W260" s="72"/>
      <c r="X260" s="72"/>
      <c r="Y260" s="72"/>
      <c r="Z260" s="72"/>
      <c r="AA260" s="74"/>
      <c r="AB260" s="72">
        <v>5.8775457085455827</v>
      </c>
      <c r="AC260" s="72"/>
      <c r="AD260" s="72"/>
      <c r="AE260" s="72"/>
      <c r="AF260" s="72"/>
      <c r="AG260" s="337"/>
      <c r="AH260" s="72"/>
      <c r="AI260" s="283">
        <v>1.4835262835108298</v>
      </c>
      <c r="AJ260" s="88">
        <v>6.4225711709679209E-2</v>
      </c>
      <c r="AK260" s="88">
        <v>6.5470018926245793E-2</v>
      </c>
      <c r="AL260" s="90">
        <v>0.31026131207048951</v>
      </c>
      <c r="AM260" s="204">
        <v>0.30341516889461312</v>
      </c>
      <c r="AN260" s="72"/>
      <c r="AO260" s="72"/>
      <c r="AP260" s="72"/>
      <c r="AQ260" s="72"/>
      <c r="AR260" s="72"/>
      <c r="AS260" s="72"/>
      <c r="AT260" s="273"/>
      <c r="AU260" s="72"/>
      <c r="AV260" s="72"/>
      <c r="AW260" s="72"/>
      <c r="AX260" s="72"/>
      <c r="AY260" s="72"/>
      <c r="AZ260" s="75"/>
      <c r="BA260" s="75"/>
      <c r="BB260" s="75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</row>
    <row r="261" spans="1:84" x14ac:dyDescent="0.2">
      <c r="A261" s="354">
        <v>43862</v>
      </c>
      <c r="B261" s="277">
        <v>4.8</v>
      </c>
      <c r="C261" s="72">
        <v>-0.73799999999999999</v>
      </c>
      <c r="D261" s="90"/>
      <c r="E261" s="90"/>
      <c r="F261" s="90"/>
      <c r="G261" s="333"/>
      <c r="H261" s="333"/>
      <c r="I261" s="333"/>
      <c r="J261" s="335"/>
      <c r="K261" s="333"/>
      <c r="L261" s="335"/>
      <c r="M261" s="335"/>
      <c r="N261" s="335"/>
      <c r="O261" s="338"/>
      <c r="P261" s="72"/>
      <c r="Q261" s="72"/>
      <c r="S261" s="72"/>
      <c r="T261" s="72"/>
      <c r="U261" s="72"/>
      <c r="V261" s="72">
        <v>4.0619999999999994</v>
      </c>
      <c r="W261" s="72"/>
      <c r="X261" s="72"/>
      <c r="Y261" s="72"/>
      <c r="Z261" s="72"/>
      <c r="AA261" s="74"/>
      <c r="AB261" s="72">
        <v>5.7089035250254669</v>
      </c>
      <c r="AC261" s="72"/>
      <c r="AD261" s="72"/>
      <c r="AE261" s="72"/>
      <c r="AF261" s="72"/>
      <c r="AG261" s="337"/>
      <c r="AH261" s="72"/>
      <c r="AI261" s="283">
        <v>1.4828195267108</v>
      </c>
      <c r="AJ261" s="88">
        <v>6.4238435086752005E-2</v>
      </c>
      <c r="AK261" s="88">
        <v>6.5503530430870399E-2</v>
      </c>
      <c r="AL261" s="90">
        <v>0.30853036222786412</v>
      </c>
      <c r="AM261" s="204">
        <v>0.30157867217840068</v>
      </c>
      <c r="AN261" s="72"/>
      <c r="AO261" s="72"/>
      <c r="AP261" s="72"/>
      <c r="AQ261" s="72"/>
      <c r="AR261" s="72"/>
      <c r="AS261" s="72"/>
      <c r="AT261" s="273"/>
      <c r="AU261" s="72"/>
      <c r="AV261" s="72"/>
      <c r="AW261" s="72"/>
      <c r="AX261" s="72"/>
      <c r="AY261" s="72"/>
      <c r="AZ261" s="75"/>
      <c r="BA261" s="75"/>
      <c r="BB261" s="75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</row>
    <row r="262" spans="1:84" x14ac:dyDescent="0.2">
      <c r="A262" s="354">
        <v>43891</v>
      </c>
      <c r="B262" s="277">
        <v>4.6669999999999998</v>
      </c>
      <c r="C262" s="72">
        <v>-0.73799999999999999</v>
      </c>
      <c r="D262" s="90"/>
      <c r="E262" s="90"/>
      <c r="F262" s="90"/>
      <c r="G262" s="333"/>
      <c r="H262" s="333"/>
      <c r="I262" s="333"/>
      <c r="J262" s="335"/>
      <c r="K262" s="333"/>
      <c r="L262" s="335"/>
      <c r="M262" s="335"/>
      <c r="N262" s="335"/>
      <c r="O262" s="338"/>
      <c r="P262" s="72"/>
      <c r="Q262" s="72"/>
      <c r="S262" s="72"/>
      <c r="T262" s="72"/>
      <c r="U262" s="72"/>
      <c r="V262" s="72">
        <v>3.9289999999999998</v>
      </c>
      <c r="W262" s="72"/>
      <c r="X262" s="72"/>
      <c r="Y262" s="72"/>
      <c r="Z262" s="72"/>
      <c r="AA262" s="74"/>
      <c r="AB262" s="72">
        <v>5.5195017702120399</v>
      </c>
      <c r="AC262" s="72"/>
      <c r="AD262" s="72"/>
      <c r="AE262" s="72"/>
      <c r="AF262" s="72"/>
      <c r="AG262" s="337"/>
      <c r="AH262" s="72"/>
      <c r="AI262" s="283">
        <v>1.4821541001967</v>
      </c>
      <c r="AJ262" s="88">
        <v>6.425033760083651E-2</v>
      </c>
      <c r="AK262" s="88">
        <v>6.5534879903276388E-2</v>
      </c>
      <c r="AL262" s="90">
        <v>0.30691924911697188</v>
      </c>
      <c r="AM262" s="204">
        <v>0.29986923105340274</v>
      </c>
      <c r="AN262" s="72"/>
      <c r="AO262" s="72"/>
      <c r="AP262" s="72"/>
      <c r="AQ262" s="72"/>
      <c r="AR262" s="72"/>
      <c r="AS262" s="72"/>
      <c r="AT262" s="273"/>
      <c r="AU262" s="72"/>
      <c r="AV262" s="72"/>
      <c r="AW262" s="72"/>
      <c r="AX262" s="72"/>
      <c r="AY262" s="72"/>
      <c r="AZ262" s="75"/>
      <c r="BA262" s="75"/>
      <c r="BB262" s="75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</row>
    <row r="263" spans="1:84" x14ac:dyDescent="0.2">
      <c r="A263" s="354">
        <v>43922</v>
      </c>
      <c r="B263" s="277">
        <v>4.4470000000000001</v>
      </c>
      <c r="C263" s="72">
        <v>-0.83799999999999997</v>
      </c>
      <c r="D263" s="90"/>
      <c r="E263" s="90"/>
      <c r="F263" s="90"/>
      <c r="G263" s="333"/>
      <c r="H263" s="333"/>
      <c r="I263" s="333"/>
      <c r="J263" s="335"/>
      <c r="K263" s="333"/>
      <c r="L263" s="335"/>
      <c r="M263" s="335"/>
      <c r="N263" s="335"/>
      <c r="O263" s="338"/>
      <c r="P263" s="72"/>
      <c r="Q263" s="72"/>
      <c r="S263" s="72"/>
      <c r="T263" s="72"/>
      <c r="U263" s="72"/>
      <c r="V263" s="72">
        <v>3.609</v>
      </c>
      <c r="W263" s="72"/>
      <c r="X263" s="72"/>
      <c r="Y263" s="72"/>
      <c r="Z263" s="72"/>
      <c r="AA263" s="74"/>
      <c r="AB263" s="72">
        <v>5.067513539053432</v>
      </c>
      <c r="AC263" s="72"/>
      <c r="AD263" s="72"/>
      <c r="AE263" s="72"/>
      <c r="AF263" s="72"/>
      <c r="AG263" s="337"/>
      <c r="AH263" s="72"/>
      <c r="AI263" s="283">
        <v>1.4814382278912601</v>
      </c>
      <c r="AJ263" s="88">
        <v>6.4263060978013695E-2</v>
      </c>
      <c r="AK263" s="88">
        <v>6.5568391408621807E-2</v>
      </c>
      <c r="AL263" s="90">
        <v>0.3052057093945475</v>
      </c>
      <c r="AM263" s="204">
        <v>0.29805102522594162</v>
      </c>
      <c r="AN263" s="72"/>
      <c r="AO263" s="72"/>
      <c r="AP263" s="72"/>
      <c r="AQ263" s="72"/>
      <c r="AR263" s="72"/>
      <c r="AS263" s="72"/>
      <c r="AT263" s="273"/>
      <c r="AU263" s="72"/>
      <c r="AV263" s="72"/>
      <c r="AW263" s="72"/>
      <c r="AX263" s="72"/>
      <c r="AY263" s="72"/>
      <c r="AZ263" s="75"/>
      <c r="BA263" s="75"/>
      <c r="BB263" s="75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</row>
    <row r="264" spans="1:84" x14ac:dyDescent="0.2">
      <c r="A264" s="354">
        <v>43952</v>
      </c>
      <c r="B264" s="277">
        <v>4.4370000000000003</v>
      </c>
      <c r="C264" s="72">
        <v>-0.83799999999999997</v>
      </c>
      <c r="D264" s="90"/>
      <c r="E264" s="90"/>
      <c r="F264" s="90"/>
      <c r="G264" s="333"/>
      <c r="H264" s="333"/>
      <c r="I264" s="333"/>
      <c r="J264" s="335"/>
      <c r="K264" s="333"/>
      <c r="L264" s="335"/>
      <c r="M264" s="335"/>
      <c r="N264" s="335"/>
      <c r="O264" s="338"/>
      <c r="P264" s="72"/>
      <c r="Q264" s="72"/>
      <c r="S264" s="72"/>
      <c r="T264" s="72"/>
      <c r="U264" s="72"/>
      <c r="V264" s="72">
        <v>3.5990000000000002</v>
      </c>
      <c r="W264" s="72"/>
      <c r="X264" s="72"/>
      <c r="Y264" s="72"/>
      <c r="Z264" s="72"/>
      <c r="AA264" s="74"/>
      <c r="AB264" s="72">
        <v>5.0510937484918736</v>
      </c>
      <c r="AC264" s="72"/>
      <c r="AD264" s="72"/>
      <c r="AE264" s="72"/>
      <c r="AF264" s="72"/>
      <c r="AG264" s="337"/>
      <c r="AH264" s="72"/>
      <c r="AI264" s="283">
        <v>1.4807409741341599</v>
      </c>
      <c r="AJ264" s="88">
        <v>6.4275373923719792E-2</v>
      </c>
      <c r="AK264" s="88">
        <v>6.5600821898020203E-2</v>
      </c>
      <c r="AL264" s="90">
        <v>0.30355595013086667</v>
      </c>
      <c r="AM264" s="204">
        <v>0.2963004174693481</v>
      </c>
      <c r="AN264" s="72"/>
      <c r="AO264" s="72"/>
      <c r="AP264" s="72"/>
      <c r="AQ264" s="72"/>
      <c r="AR264" s="72"/>
      <c r="AS264" s="72"/>
      <c r="AT264" s="273"/>
      <c r="AU264" s="72"/>
      <c r="AV264" s="72"/>
      <c r="AW264" s="72"/>
      <c r="AX264" s="72"/>
      <c r="AY264" s="72"/>
      <c r="AZ264" s="75"/>
      <c r="BA264" s="75"/>
      <c r="BB264" s="75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</row>
    <row r="265" spans="1:84" x14ac:dyDescent="0.2">
      <c r="A265" s="354">
        <v>43983</v>
      </c>
      <c r="B265" s="277">
        <v>4.4729999999999999</v>
      </c>
      <c r="C265" s="72">
        <v>-0.83799999999999997</v>
      </c>
      <c r="D265" s="90"/>
      <c r="E265" s="90"/>
      <c r="F265" s="90"/>
      <c r="G265" s="333"/>
      <c r="H265" s="333"/>
      <c r="I265" s="333"/>
      <c r="J265" s="335"/>
      <c r="K265" s="333"/>
      <c r="L265" s="335"/>
      <c r="M265" s="335"/>
      <c r="N265" s="335"/>
      <c r="O265" s="338"/>
      <c r="P265" s="72"/>
      <c r="Q265" s="72"/>
      <c r="S265" s="72"/>
      <c r="T265" s="72"/>
      <c r="U265" s="72"/>
      <c r="V265" s="72">
        <v>3.6349999999999998</v>
      </c>
      <c r="W265" s="72"/>
      <c r="X265" s="72"/>
      <c r="Y265" s="72"/>
      <c r="Z265" s="72"/>
      <c r="AA265" s="74"/>
      <c r="AB265" s="72">
        <v>5.0991204829084449</v>
      </c>
      <c r="AC265" s="72"/>
      <c r="AD265" s="72"/>
      <c r="AE265" s="72"/>
      <c r="AF265" s="72"/>
      <c r="AG265" s="337"/>
      <c r="AH265" s="72"/>
      <c r="AI265" s="283">
        <v>1.4800158625076898</v>
      </c>
      <c r="AJ265" s="88">
        <v>6.4288097301002309E-2</v>
      </c>
      <c r="AK265" s="88">
        <v>6.5634333404097411E-2</v>
      </c>
      <c r="AL265" s="90">
        <v>0.30185994574264902</v>
      </c>
      <c r="AM265" s="204">
        <v>0.29450066443957351</v>
      </c>
      <c r="AN265" s="72"/>
      <c r="AO265" s="72"/>
      <c r="AP265" s="72"/>
      <c r="AQ265" s="72"/>
      <c r="AR265" s="72"/>
      <c r="AS265" s="72"/>
      <c r="AT265" s="273"/>
      <c r="AU265" s="72"/>
      <c r="AV265" s="72"/>
      <c r="AW265" s="72"/>
      <c r="AX265" s="72"/>
      <c r="AY265" s="72"/>
      <c r="AZ265" s="75"/>
      <c r="BA265" s="75"/>
      <c r="BB265" s="75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</row>
    <row r="266" spans="1:84" x14ac:dyDescent="0.2">
      <c r="A266" s="354">
        <v>44013</v>
      </c>
      <c r="B266" s="277">
        <v>4.5149999999999997</v>
      </c>
      <c r="C266" s="72">
        <v>-0.83799999999999997</v>
      </c>
      <c r="D266" s="90"/>
      <c r="E266" s="90"/>
      <c r="F266" s="90"/>
      <c r="G266" s="333"/>
      <c r="H266" s="333"/>
      <c r="I266" s="333"/>
      <c r="J266" s="335"/>
      <c r="K266" s="333"/>
      <c r="L266" s="335"/>
      <c r="M266" s="335"/>
      <c r="N266" s="335"/>
      <c r="O266" s="338"/>
      <c r="P266" s="72"/>
      <c r="Q266" s="72"/>
      <c r="S266" s="72"/>
      <c r="T266" s="72"/>
      <c r="U266" s="72"/>
      <c r="V266" s="72">
        <v>3.6769999999999996</v>
      </c>
      <c r="W266" s="72"/>
      <c r="X266" s="72"/>
      <c r="Y266" s="72"/>
      <c r="Z266" s="72"/>
      <c r="AA266" s="74"/>
      <c r="AB266" s="72">
        <v>5.1555762899466462</v>
      </c>
      <c r="AC266" s="72"/>
      <c r="AD266" s="72"/>
      <c r="AE266" s="72"/>
      <c r="AF266" s="72"/>
      <c r="AG266" s="337"/>
      <c r="AH266" s="72"/>
      <c r="AI266" s="283">
        <v>1.4793096813070299</v>
      </c>
      <c r="AJ266" s="88">
        <v>6.4300410246811004E-2</v>
      </c>
      <c r="AK266" s="88">
        <v>6.5666763894204103E-2</v>
      </c>
      <c r="AL266" s="90">
        <v>0.30022707618434563</v>
      </c>
      <c r="AM266" s="204">
        <v>0.29276784468688871</v>
      </c>
      <c r="AN266" s="72"/>
      <c r="AO266" s="72"/>
      <c r="AP266" s="72"/>
      <c r="AQ266" s="72"/>
      <c r="AR266" s="72"/>
      <c r="AS266" s="72"/>
      <c r="AT266" s="273"/>
      <c r="AU266" s="72"/>
      <c r="AV266" s="72"/>
      <c r="AW266" s="72"/>
      <c r="AX266" s="72"/>
      <c r="AY266" s="72"/>
      <c r="AZ266" s="75"/>
      <c r="BA266" s="75"/>
      <c r="BB266" s="75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</row>
    <row r="267" spans="1:84" x14ac:dyDescent="0.2">
      <c r="A267" s="354">
        <v>44044</v>
      </c>
      <c r="B267" s="277">
        <v>4.5640000000000001</v>
      </c>
      <c r="C267" s="72">
        <v>-0.83799999999999997</v>
      </c>
      <c r="D267" s="90"/>
      <c r="E267" s="90"/>
      <c r="F267" s="90"/>
      <c r="G267" s="333"/>
      <c r="H267" s="333"/>
      <c r="I267" s="333"/>
      <c r="J267" s="335"/>
      <c r="K267" s="333"/>
      <c r="L267" s="335"/>
      <c r="M267" s="335"/>
      <c r="N267" s="335"/>
      <c r="O267" s="338"/>
      <c r="P267" s="72"/>
      <c r="Q267" s="72"/>
      <c r="S267" s="72"/>
      <c r="T267" s="72"/>
      <c r="U267" s="72"/>
      <c r="V267" s="72">
        <v>3.726</v>
      </c>
      <c r="W267" s="72"/>
      <c r="X267" s="72"/>
      <c r="Y267" s="72"/>
      <c r="Z267" s="72"/>
      <c r="AA267" s="74"/>
      <c r="AB267" s="72">
        <v>5.2216866097795887</v>
      </c>
      <c r="AC267" s="72"/>
      <c r="AD267" s="72"/>
      <c r="AE267" s="72"/>
      <c r="AF267" s="72"/>
      <c r="AG267" s="337"/>
      <c r="AH267" s="72"/>
      <c r="AI267" s="283">
        <v>1.4785753590358599</v>
      </c>
      <c r="AJ267" s="88">
        <v>6.4313133624198701E-2</v>
      </c>
      <c r="AK267" s="88">
        <v>6.5700275401014099E-2</v>
      </c>
      <c r="AL267" s="90">
        <v>0.29854844220335086</v>
      </c>
      <c r="AM267" s="204">
        <v>0.29098640087041217</v>
      </c>
      <c r="AN267" s="72"/>
      <c r="AO267" s="72"/>
      <c r="AP267" s="72"/>
      <c r="AQ267" s="72"/>
      <c r="AR267" s="72"/>
      <c r="AS267" s="72"/>
      <c r="AT267" s="273"/>
      <c r="AU267" s="72"/>
      <c r="AV267" s="72"/>
      <c r="AW267" s="72"/>
      <c r="AX267" s="72"/>
      <c r="AY267" s="72"/>
      <c r="AZ267" s="75"/>
      <c r="BA267" s="75"/>
      <c r="BB267" s="75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</row>
    <row r="268" spans="1:84" x14ac:dyDescent="0.2">
      <c r="A268" s="354">
        <v>44075</v>
      </c>
      <c r="B268" s="277">
        <v>4.5790000000000006</v>
      </c>
      <c r="C268" s="72">
        <v>-0.83799999999999997</v>
      </c>
      <c r="D268" s="90"/>
      <c r="E268" s="90"/>
      <c r="F268" s="90"/>
      <c r="G268" s="333"/>
      <c r="H268" s="333"/>
      <c r="I268" s="333"/>
      <c r="J268" s="335"/>
      <c r="K268" s="333"/>
      <c r="L268" s="335"/>
      <c r="M268" s="335"/>
      <c r="N268" s="335"/>
      <c r="O268" s="338"/>
      <c r="P268" s="72"/>
      <c r="Q268" s="72"/>
      <c r="S268" s="72"/>
      <c r="T268" s="72"/>
      <c r="U268" s="72"/>
      <c r="V268" s="72">
        <v>3.7410000000000005</v>
      </c>
      <c r="W268" s="72"/>
      <c r="X268" s="72"/>
      <c r="Y268" s="72"/>
      <c r="Z268" s="72"/>
      <c r="AA268" s="74"/>
      <c r="AB268" s="72">
        <v>5.2400875869192216</v>
      </c>
      <c r="AC268" s="72"/>
      <c r="AD268" s="72"/>
      <c r="AE268" s="72"/>
      <c r="AF268" s="72"/>
      <c r="AG268" s="337"/>
      <c r="AH268" s="72"/>
      <c r="AI268" s="283">
        <v>1.4778363670421399</v>
      </c>
      <c r="AJ268" s="88">
        <v>6.4325857001640507E-2</v>
      </c>
      <c r="AK268" s="88">
        <v>6.5733786908196201E-2</v>
      </c>
      <c r="AL268" s="90">
        <v>0.29687857304664633</v>
      </c>
      <c r="AM268" s="204">
        <v>0.28921420688458266</v>
      </c>
      <c r="AN268" s="72"/>
      <c r="AO268" s="72"/>
      <c r="AP268" s="72"/>
      <c r="AQ268" s="72"/>
      <c r="AR268" s="72"/>
      <c r="AS268" s="72"/>
      <c r="AT268" s="273"/>
      <c r="AU268" s="72"/>
      <c r="AV268" s="72"/>
      <c r="AW268" s="72"/>
      <c r="AX268" s="72"/>
      <c r="AY268" s="72"/>
      <c r="AZ268" s="75"/>
      <c r="BA268" s="75"/>
      <c r="BB268" s="75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</row>
    <row r="269" spans="1:84" x14ac:dyDescent="0.2">
      <c r="A269" s="354">
        <v>44105</v>
      </c>
      <c r="B269" s="277">
        <v>4.6080000000000005</v>
      </c>
      <c r="C269" s="72">
        <v>-0.83799999999999997</v>
      </c>
      <c r="D269" s="90"/>
      <c r="E269" s="90"/>
      <c r="F269" s="90"/>
      <c r="G269" s="333"/>
      <c r="H269" s="333"/>
      <c r="I269" s="333"/>
      <c r="J269" s="335"/>
      <c r="K269" s="333"/>
      <c r="L269" s="335"/>
      <c r="M269" s="335"/>
      <c r="N269" s="335"/>
      <c r="O269" s="338"/>
      <c r="P269" s="72"/>
      <c r="Q269" s="72"/>
      <c r="S269" s="72"/>
      <c r="T269" s="72"/>
      <c r="U269" s="72"/>
      <c r="V269" s="72">
        <v>3.77</v>
      </c>
      <c r="W269" s="72"/>
      <c r="X269" s="72"/>
      <c r="Y269" s="72"/>
      <c r="Z269" s="72"/>
      <c r="AA269" s="74"/>
      <c r="AB269" s="72">
        <v>5.2781371220939572</v>
      </c>
      <c r="AC269" s="72"/>
      <c r="AD269" s="72"/>
      <c r="AE269" s="72"/>
      <c r="AF269" s="72"/>
      <c r="AG269" s="337"/>
      <c r="AH269" s="72"/>
      <c r="AI269" s="283">
        <v>1.4771167743999898</v>
      </c>
      <c r="AJ269" s="88">
        <v>6.43381699476029E-2</v>
      </c>
      <c r="AK269" s="88">
        <v>6.5766217399371399E-2</v>
      </c>
      <c r="AL269" s="90">
        <v>0.29527087630466164</v>
      </c>
      <c r="AM269" s="204">
        <v>0.28750795278932284</v>
      </c>
      <c r="AN269" s="72"/>
      <c r="AO269" s="72"/>
      <c r="AP269" s="72"/>
      <c r="AQ269" s="72"/>
      <c r="AR269" s="72"/>
      <c r="AS269" s="72"/>
      <c r="AT269" s="273"/>
      <c r="AU269" s="72"/>
      <c r="AV269" s="72"/>
      <c r="AW269" s="72"/>
      <c r="AX269" s="72"/>
      <c r="AY269" s="72"/>
      <c r="AZ269" s="75"/>
      <c r="BA269" s="75"/>
      <c r="BB269" s="75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</row>
    <row r="270" spans="1:84" x14ac:dyDescent="0.2">
      <c r="A270" s="354">
        <v>44136</v>
      </c>
      <c r="B270" s="277">
        <v>4.7480000000000002</v>
      </c>
      <c r="C270" s="72">
        <v>-0.73799999999999999</v>
      </c>
      <c r="D270" s="90"/>
      <c r="E270" s="90"/>
      <c r="F270" s="90"/>
      <c r="G270" s="333"/>
      <c r="H270" s="333"/>
      <c r="I270" s="333"/>
      <c r="J270" s="335"/>
      <c r="K270" s="333"/>
      <c r="L270" s="335"/>
      <c r="M270" s="335"/>
      <c r="N270" s="335"/>
      <c r="O270" s="338"/>
      <c r="P270" s="72"/>
      <c r="Q270" s="72"/>
      <c r="S270" s="72"/>
      <c r="T270" s="72"/>
      <c r="U270" s="72"/>
      <c r="V270" s="72">
        <v>4.01</v>
      </c>
      <c r="W270" s="72"/>
      <c r="X270" s="72"/>
      <c r="Y270" s="72"/>
      <c r="Z270" s="72"/>
      <c r="AA270" s="74"/>
      <c r="AB270" s="72">
        <v>5.6113022898589948</v>
      </c>
      <c r="AC270" s="72"/>
      <c r="AD270" s="72"/>
      <c r="AE270" s="72"/>
      <c r="AF270" s="72"/>
      <c r="AG270" s="337"/>
      <c r="AH270" s="72"/>
      <c r="AI270" s="283">
        <v>1.4763686156432598</v>
      </c>
      <c r="AJ270" s="88">
        <v>6.4350893325150413E-2</v>
      </c>
      <c r="AK270" s="88">
        <v>6.5799728907285804E-2</v>
      </c>
      <c r="AL270" s="90">
        <v>0.2936181314361288</v>
      </c>
      <c r="AM270" s="204">
        <v>0.28575385249579283</v>
      </c>
      <c r="AN270" s="72"/>
      <c r="AO270" s="72"/>
      <c r="AP270" s="72"/>
      <c r="AQ270" s="72"/>
      <c r="AR270" s="72"/>
      <c r="AS270" s="72"/>
      <c r="AT270" s="273"/>
      <c r="AU270" s="72"/>
      <c r="AV270" s="72"/>
      <c r="AW270" s="72"/>
      <c r="AX270" s="72"/>
      <c r="AY270" s="72"/>
      <c r="AZ270" s="75"/>
      <c r="BA270" s="75"/>
      <c r="BB270" s="75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</row>
    <row r="271" spans="1:84" x14ac:dyDescent="0.2">
      <c r="A271" s="355">
        <v>44166</v>
      </c>
      <c r="B271" s="340">
        <v>4.8879999999999999</v>
      </c>
      <c r="C271" s="72">
        <v>-0.73799999999999999</v>
      </c>
      <c r="D271" s="90"/>
      <c r="E271" s="90"/>
      <c r="F271" s="90"/>
      <c r="G271" s="333"/>
      <c r="H271" s="333"/>
      <c r="I271" s="333"/>
      <c r="J271" s="335"/>
      <c r="K271" s="333"/>
      <c r="L271" s="335"/>
      <c r="M271" s="335"/>
      <c r="N271" s="335"/>
      <c r="O271" s="338"/>
      <c r="P271" s="72"/>
      <c r="Q271" s="72"/>
      <c r="S271" s="72"/>
      <c r="T271" s="72"/>
      <c r="U271" s="72"/>
      <c r="V271" s="72">
        <v>4.1500000000000004</v>
      </c>
      <c r="W271" s="72"/>
      <c r="X271" s="72"/>
      <c r="Y271" s="72"/>
      <c r="Z271" s="72"/>
      <c r="AA271" s="74"/>
      <c r="AB271" s="72">
        <v>5.8043427928433058</v>
      </c>
      <c r="AC271" s="72"/>
      <c r="AD271" s="72"/>
      <c r="AE271" s="72"/>
      <c r="AF271" s="72"/>
      <c r="AG271" s="337"/>
      <c r="AH271" s="72"/>
      <c r="AI271" s="341">
        <v>1.4756401661797798</v>
      </c>
      <c r="AJ271" s="342">
        <v>6.436320627121539E-2</v>
      </c>
      <c r="AK271" s="342">
        <v>6.5832159399170212E-2</v>
      </c>
      <c r="AL271" s="343">
        <v>0.29202692829226262</v>
      </c>
      <c r="AM271" s="344">
        <v>0.2840650395479003</v>
      </c>
      <c r="AN271" s="72"/>
      <c r="AO271" s="72"/>
      <c r="AP271" s="72"/>
      <c r="AQ271" s="72"/>
      <c r="AR271" s="72"/>
      <c r="AS271" s="72"/>
      <c r="AT271" s="273"/>
      <c r="AU271" s="72"/>
      <c r="AV271" s="72"/>
      <c r="AW271" s="72"/>
      <c r="AX271" s="72"/>
      <c r="AY271" s="72"/>
      <c r="AZ271" s="75"/>
      <c r="BA271" s="75"/>
      <c r="BB271" s="75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</row>
    <row r="272" spans="1:84" x14ac:dyDescent="0.2">
      <c r="A272" s="90"/>
      <c r="B272" s="90"/>
      <c r="C272" s="72"/>
      <c r="D272" s="90"/>
      <c r="E272" s="90"/>
      <c r="F272" s="90"/>
      <c r="G272" s="333"/>
      <c r="H272" s="333"/>
      <c r="I272" s="333"/>
      <c r="J272" s="335"/>
      <c r="K272" s="333"/>
      <c r="L272" s="335"/>
      <c r="M272" s="335"/>
      <c r="N272" s="335"/>
      <c r="O272" s="338"/>
      <c r="P272" s="72"/>
      <c r="Q272" s="72"/>
      <c r="S272" s="72"/>
      <c r="T272" s="72"/>
      <c r="U272" s="72"/>
      <c r="V272" s="72"/>
      <c r="W272" s="72"/>
      <c r="X272" s="72"/>
      <c r="Y272" s="72"/>
      <c r="Z272" s="72"/>
      <c r="AA272" s="74"/>
      <c r="AB272" s="72"/>
      <c r="AC272" s="72"/>
      <c r="AD272" s="72"/>
      <c r="AE272" s="72"/>
      <c r="AF272" s="72"/>
      <c r="AG272" s="337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273"/>
      <c r="AU272" s="72"/>
      <c r="AV272" s="72"/>
      <c r="AW272" s="72"/>
      <c r="AX272" s="72"/>
      <c r="AY272" s="72"/>
      <c r="AZ272" s="75"/>
      <c r="BA272" s="75"/>
      <c r="BB272" s="75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</row>
    <row r="273" spans="1:84" x14ac:dyDescent="0.2">
      <c r="A273" s="90"/>
      <c r="B273" s="90"/>
      <c r="C273" s="72"/>
      <c r="D273" s="90"/>
      <c r="E273" s="90"/>
      <c r="F273" s="90"/>
      <c r="G273" s="333"/>
      <c r="H273" s="333"/>
      <c r="I273" s="333"/>
      <c r="J273" s="335"/>
      <c r="K273" s="333"/>
      <c r="L273" s="335"/>
      <c r="M273" s="335"/>
      <c r="N273" s="335"/>
      <c r="O273" s="338"/>
      <c r="P273" s="72"/>
      <c r="Q273" s="72"/>
      <c r="S273" s="72"/>
      <c r="T273" s="72"/>
      <c r="U273" s="72"/>
      <c r="V273" s="72"/>
      <c r="W273" s="72"/>
      <c r="X273" s="72"/>
      <c r="Y273" s="72"/>
      <c r="Z273" s="72"/>
      <c r="AA273" s="74"/>
      <c r="AB273" s="72"/>
      <c r="AC273" s="72"/>
      <c r="AD273" s="72"/>
      <c r="AE273" s="72"/>
      <c r="AF273" s="72"/>
      <c r="AG273" s="337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273"/>
      <c r="AU273" s="72"/>
      <c r="AV273" s="72"/>
      <c r="AW273" s="72"/>
      <c r="AX273" s="72"/>
      <c r="AY273" s="72"/>
      <c r="AZ273" s="75"/>
      <c r="BA273" s="75"/>
      <c r="BB273" s="75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</row>
    <row r="274" spans="1:84" x14ac:dyDescent="0.2">
      <c r="A274" s="90"/>
      <c r="B274" s="90"/>
      <c r="C274" s="72"/>
      <c r="D274" s="90"/>
      <c r="E274" s="90"/>
      <c r="F274" s="90"/>
      <c r="G274" s="333"/>
      <c r="H274" s="333"/>
      <c r="I274" s="333"/>
      <c r="J274" s="335"/>
      <c r="K274" s="333"/>
      <c r="L274" s="335"/>
      <c r="M274" s="335"/>
      <c r="N274" s="335"/>
      <c r="O274" s="338"/>
      <c r="P274" s="72"/>
      <c r="Q274" s="72"/>
      <c r="S274" s="72"/>
      <c r="T274" s="72"/>
      <c r="U274" s="72"/>
      <c r="V274" s="72"/>
      <c r="W274" s="72"/>
      <c r="X274" s="72"/>
      <c r="Y274" s="72"/>
      <c r="Z274" s="72"/>
      <c r="AA274" s="74"/>
      <c r="AB274" s="72"/>
      <c r="AC274" s="72"/>
      <c r="AD274" s="72"/>
      <c r="AE274" s="72"/>
      <c r="AF274" s="72"/>
      <c r="AG274" s="337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273"/>
      <c r="AU274" s="72"/>
      <c r="AV274" s="72"/>
      <c r="AW274" s="72"/>
      <c r="AX274" s="72"/>
      <c r="AY274" s="72"/>
      <c r="AZ274" s="75"/>
      <c r="BA274" s="75"/>
      <c r="BB274" s="75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</row>
    <row r="275" spans="1:84" x14ac:dyDescent="0.2">
      <c r="A275" s="90"/>
      <c r="B275" s="90"/>
      <c r="C275" s="72"/>
      <c r="D275" s="90"/>
      <c r="E275" s="90"/>
      <c r="F275" s="90"/>
      <c r="G275" s="333"/>
      <c r="H275" s="333"/>
      <c r="I275" s="333"/>
      <c r="J275" s="335"/>
      <c r="K275" s="333"/>
      <c r="L275" s="335"/>
      <c r="M275" s="335"/>
      <c r="N275" s="335"/>
      <c r="O275" s="338"/>
      <c r="P275" s="72"/>
      <c r="Q275" s="72"/>
      <c r="S275" s="72"/>
      <c r="T275" s="72"/>
      <c r="U275" s="72"/>
      <c r="V275" s="72"/>
      <c r="W275" s="72"/>
      <c r="X275" s="72"/>
      <c r="Y275" s="72"/>
      <c r="Z275" s="72"/>
      <c r="AA275" s="74"/>
      <c r="AB275" s="72"/>
      <c r="AC275" s="72"/>
      <c r="AD275" s="72"/>
      <c r="AE275" s="72"/>
      <c r="AF275" s="72"/>
      <c r="AG275" s="337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273"/>
      <c r="AU275" s="72"/>
      <c r="AV275" s="72"/>
      <c r="AW275" s="72"/>
      <c r="AX275" s="72"/>
      <c r="AY275" s="72"/>
      <c r="AZ275" s="75"/>
      <c r="BA275" s="75"/>
      <c r="BB275" s="75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</row>
    <row r="276" spans="1:84" x14ac:dyDescent="0.2">
      <c r="A276" s="90"/>
      <c r="B276" s="90"/>
      <c r="C276" s="72"/>
      <c r="D276" s="90"/>
      <c r="E276" s="90"/>
      <c r="F276" s="90"/>
      <c r="G276" s="333"/>
      <c r="H276" s="333"/>
      <c r="I276" s="333"/>
      <c r="J276" s="335"/>
      <c r="K276" s="333"/>
      <c r="L276" s="335"/>
      <c r="M276" s="335"/>
      <c r="N276" s="335"/>
      <c r="O276" s="338"/>
      <c r="P276" s="72"/>
      <c r="Q276" s="72"/>
      <c r="S276" s="72"/>
      <c r="T276" s="72"/>
      <c r="U276" s="72"/>
      <c r="V276" s="72"/>
      <c r="W276" s="72"/>
      <c r="X276" s="72"/>
      <c r="Y276" s="72"/>
      <c r="Z276" s="72"/>
      <c r="AA276" s="74"/>
      <c r="AB276" s="72"/>
      <c r="AC276" s="72"/>
      <c r="AD276" s="72"/>
      <c r="AE276" s="72"/>
      <c r="AF276" s="72"/>
      <c r="AG276" s="337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273"/>
      <c r="AU276" s="72"/>
      <c r="AV276" s="72"/>
      <c r="AW276" s="72"/>
      <c r="AX276" s="72"/>
      <c r="AY276" s="72"/>
      <c r="AZ276" s="75"/>
      <c r="BA276" s="75"/>
      <c r="BB276" s="75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</row>
    <row r="277" spans="1:84" x14ac:dyDescent="0.2">
      <c r="A277" s="90"/>
      <c r="B277" s="90"/>
      <c r="C277" s="72"/>
      <c r="D277" s="90"/>
      <c r="E277" s="90"/>
      <c r="F277" s="90"/>
      <c r="G277" s="333"/>
      <c r="H277" s="333"/>
      <c r="I277" s="333"/>
      <c r="J277" s="335"/>
      <c r="K277" s="333"/>
      <c r="L277" s="335"/>
      <c r="M277" s="335"/>
      <c r="N277" s="335"/>
      <c r="O277" s="338"/>
      <c r="P277" s="72"/>
      <c r="Q277" s="72"/>
      <c r="S277" s="72"/>
      <c r="T277" s="72"/>
      <c r="U277" s="72"/>
      <c r="V277" s="72"/>
      <c r="W277" s="72"/>
      <c r="X277" s="72"/>
      <c r="Y277" s="72"/>
      <c r="Z277" s="72"/>
      <c r="AA277" s="74"/>
      <c r="AB277" s="72"/>
      <c r="AC277" s="72"/>
      <c r="AD277" s="72"/>
      <c r="AE277" s="72"/>
      <c r="AF277" s="72"/>
      <c r="AG277" s="337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273"/>
      <c r="AU277" s="72"/>
      <c r="AV277" s="72"/>
      <c r="AW277" s="72"/>
      <c r="AX277" s="72"/>
      <c r="AY277" s="72"/>
      <c r="AZ277" s="75"/>
      <c r="BA277" s="75"/>
      <c r="BB277" s="75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</row>
    <row r="278" spans="1:84" x14ac:dyDescent="0.2">
      <c r="A278" s="90"/>
      <c r="B278" s="90"/>
      <c r="C278" s="72"/>
      <c r="D278" s="90"/>
      <c r="E278" s="90"/>
      <c r="F278" s="90"/>
      <c r="G278" s="333"/>
      <c r="H278" s="333"/>
      <c r="I278" s="333"/>
      <c r="J278" s="335"/>
      <c r="K278" s="333"/>
      <c r="L278" s="335"/>
      <c r="M278" s="335"/>
      <c r="N278" s="335"/>
      <c r="O278" s="338"/>
      <c r="P278" s="72"/>
      <c r="Q278" s="72"/>
      <c r="S278" s="72"/>
      <c r="T278" s="72"/>
      <c r="U278" s="72"/>
      <c r="V278" s="72"/>
      <c r="W278" s="72"/>
      <c r="X278" s="72"/>
      <c r="Y278" s="72"/>
      <c r="Z278" s="72"/>
      <c r="AA278" s="74"/>
      <c r="AB278" s="72"/>
      <c r="AC278" s="72"/>
      <c r="AD278" s="72"/>
      <c r="AE278" s="72"/>
      <c r="AF278" s="72"/>
      <c r="AG278" s="337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273"/>
      <c r="AU278" s="72"/>
      <c r="AV278" s="72"/>
      <c r="AW278" s="72"/>
      <c r="AX278" s="72"/>
      <c r="AY278" s="72"/>
      <c r="AZ278" s="75"/>
      <c r="BA278" s="75"/>
      <c r="BB278" s="75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</row>
    <row r="279" spans="1:84" x14ac:dyDescent="0.2">
      <c r="A279" s="90"/>
      <c r="B279" s="90"/>
      <c r="C279" s="72"/>
      <c r="D279" s="90"/>
      <c r="E279" s="90"/>
      <c r="F279" s="90"/>
      <c r="G279" s="333"/>
      <c r="H279" s="333"/>
      <c r="I279" s="333"/>
      <c r="J279" s="335"/>
      <c r="K279" s="333"/>
      <c r="L279" s="335"/>
      <c r="M279" s="335"/>
      <c r="N279" s="335"/>
      <c r="O279" s="338"/>
      <c r="P279" s="72"/>
      <c r="Q279" s="72"/>
      <c r="S279" s="72"/>
      <c r="T279" s="72"/>
      <c r="U279" s="72"/>
      <c r="V279" s="72"/>
      <c r="W279" s="72"/>
      <c r="X279" s="72"/>
      <c r="Y279" s="72"/>
      <c r="Z279" s="72"/>
      <c r="AA279" s="74"/>
      <c r="AB279" s="72"/>
      <c r="AC279" s="72"/>
      <c r="AD279" s="72"/>
      <c r="AE279" s="72"/>
      <c r="AF279" s="72"/>
      <c r="AG279" s="337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273"/>
      <c r="AU279" s="72"/>
      <c r="AV279" s="72"/>
      <c r="AW279" s="72"/>
      <c r="AX279" s="72"/>
      <c r="AY279" s="72"/>
      <c r="AZ279" s="75"/>
      <c r="BA279" s="75"/>
      <c r="BB279" s="75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</row>
    <row r="280" spans="1:84" x14ac:dyDescent="0.2">
      <c r="A280" s="90"/>
      <c r="B280" s="90"/>
      <c r="C280" s="72"/>
      <c r="D280" s="90"/>
      <c r="E280" s="90"/>
      <c r="F280" s="90"/>
      <c r="G280" s="333"/>
      <c r="H280" s="333"/>
      <c r="I280" s="333"/>
      <c r="J280" s="335"/>
      <c r="K280" s="333"/>
      <c r="L280" s="335"/>
      <c r="M280" s="335"/>
      <c r="N280" s="335"/>
      <c r="O280" s="338"/>
      <c r="P280" s="72"/>
      <c r="Q280" s="72"/>
      <c r="S280" s="72"/>
      <c r="T280" s="72"/>
      <c r="U280" s="72"/>
      <c r="V280" s="72"/>
      <c r="W280" s="72"/>
      <c r="X280" s="72"/>
      <c r="Y280" s="72"/>
      <c r="Z280" s="72"/>
      <c r="AA280" s="74"/>
      <c r="AB280" s="72"/>
      <c r="AC280" s="72"/>
      <c r="AD280" s="72"/>
      <c r="AE280" s="72"/>
      <c r="AF280" s="72"/>
      <c r="AG280" s="337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273"/>
      <c r="AU280" s="72"/>
      <c r="AV280" s="72"/>
      <c r="AW280" s="72"/>
      <c r="AX280" s="72"/>
      <c r="AY280" s="72"/>
      <c r="AZ280" s="75"/>
      <c r="BA280" s="75"/>
      <c r="BB280" s="75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</row>
    <row r="281" spans="1:84" x14ac:dyDescent="0.2">
      <c r="A281" s="90"/>
      <c r="B281" s="90"/>
      <c r="C281" s="72"/>
      <c r="D281" s="90"/>
      <c r="E281" s="90"/>
      <c r="F281" s="90"/>
      <c r="G281" s="333"/>
      <c r="H281" s="333"/>
      <c r="I281" s="333"/>
      <c r="J281" s="335"/>
      <c r="K281" s="333"/>
      <c r="L281" s="335"/>
      <c r="M281" s="335"/>
      <c r="N281" s="335"/>
      <c r="O281" s="338"/>
      <c r="P281" s="72"/>
      <c r="Q281" s="72"/>
      <c r="S281" s="72"/>
      <c r="T281" s="72"/>
      <c r="U281" s="72"/>
      <c r="V281" s="72"/>
      <c r="W281" s="72"/>
      <c r="X281" s="72"/>
      <c r="Y281" s="72"/>
      <c r="Z281" s="72"/>
      <c r="AA281" s="74"/>
      <c r="AB281" s="72"/>
      <c r="AC281" s="72"/>
      <c r="AD281" s="72"/>
      <c r="AE281" s="72"/>
      <c r="AF281" s="72"/>
      <c r="AG281" s="337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273"/>
      <c r="AU281" s="72"/>
      <c r="AV281" s="72"/>
      <c r="AW281" s="72"/>
      <c r="AX281" s="72"/>
      <c r="AY281" s="72"/>
      <c r="AZ281" s="75"/>
      <c r="BA281" s="75"/>
      <c r="BB281" s="75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</row>
    <row r="282" spans="1:84" x14ac:dyDescent="0.2">
      <c r="A282" s="90"/>
      <c r="B282" s="90"/>
      <c r="C282" s="72"/>
      <c r="D282" s="90"/>
      <c r="E282" s="90"/>
      <c r="F282" s="90"/>
      <c r="G282" s="333"/>
      <c r="H282" s="333"/>
      <c r="I282" s="333"/>
      <c r="J282" s="335"/>
      <c r="K282" s="333"/>
      <c r="L282" s="335"/>
      <c r="M282" s="335"/>
      <c r="N282" s="335"/>
      <c r="O282" s="338"/>
      <c r="P282" s="72"/>
      <c r="Q282" s="72"/>
      <c r="S282" s="72"/>
      <c r="T282" s="72"/>
      <c r="U282" s="72"/>
      <c r="V282" s="72"/>
      <c r="W282" s="72"/>
      <c r="X282" s="72"/>
      <c r="Y282" s="72"/>
      <c r="Z282" s="72"/>
      <c r="AA282" s="74"/>
      <c r="AB282" s="72"/>
      <c r="AC282" s="72"/>
      <c r="AD282" s="72"/>
      <c r="AE282" s="72"/>
      <c r="AF282" s="72"/>
      <c r="AG282" s="337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273"/>
      <c r="AU282" s="72"/>
      <c r="AV282" s="72"/>
      <c r="AW282" s="72"/>
      <c r="AX282" s="72"/>
      <c r="AY282" s="72"/>
      <c r="AZ282" s="75"/>
      <c r="BA282" s="75"/>
      <c r="BB282" s="75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</row>
    <row r="283" spans="1:84" x14ac:dyDescent="0.2">
      <c r="A283" s="90"/>
      <c r="B283" s="90"/>
      <c r="C283" s="72"/>
      <c r="D283" s="90"/>
      <c r="E283" s="90"/>
      <c r="F283" s="90"/>
      <c r="G283" s="333"/>
      <c r="H283" s="333"/>
      <c r="I283" s="333"/>
      <c r="J283" s="335"/>
      <c r="K283" s="333"/>
      <c r="L283" s="335"/>
      <c r="M283" s="335"/>
      <c r="N283" s="335"/>
      <c r="O283" s="338"/>
      <c r="P283" s="72"/>
      <c r="Q283" s="72"/>
      <c r="S283" s="72"/>
      <c r="T283" s="72"/>
      <c r="U283" s="72"/>
      <c r="V283" s="72"/>
      <c r="W283" s="72"/>
      <c r="X283" s="72"/>
      <c r="Y283" s="72"/>
      <c r="Z283" s="72"/>
      <c r="AA283" s="74"/>
      <c r="AB283" s="72"/>
      <c r="AC283" s="72"/>
      <c r="AD283" s="72"/>
      <c r="AE283" s="72"/>
      <c r="AF283" s="72"/>
      <c r="AG283" s="337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273"/>
      <c r="AU283" s="72"/>
      <c r="AV283" s="72"/>
      <c r="AW283" s="72"/>
      <c r="AX283" s="72"/>
      <c r="AY283" s="72"/>
      <c r="AZ283" s="75"/>
      <c r="BA283" s="75"/>
      <c r="BB283" s="75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</row>
    <row r="284" spans="1:84" x14ac:dyDescent="0.2">
      <c r="A284" s="90"/>
      <c r="B284" s="90"/>
      <c r="C284" s="72"/>
      <c r="D284" s="90"/>
      <c r="E284" s="90"/>
      <c r="F284" s="90"/>
      <c r="G284" s="333"/>
      <c r="H284" s="333"/>
      <c r="I284" s="333"/>
      <c r="J284" s="335"/>
      <c r="K284" s="333"/>
      <c r="L284" s="335"/>
      <c r="M284" s="335"/>
      <c r="N284" s="335"/>
      <c r="O284" s="338"/>
      <c r="P284" s="72"/>
      <c r="Q284" s="72"/>
      <c r="S284" s="72"/>
      <c r="T284" s="72"/>
      <c r="U284" s="72"/>
      <c r="V284" s="72"/>
      <c r="W284" s="72"/>
      <c r="X284" s="72"/>
      <c r="Y284" s="72"/>
      <c r="Z284" s="72"/>
      <c r="AA284" s="74"/>
      <c r="AB284" s="72"/>
      <c r="AC284" s="72"/>
      <c r="AD284" s="72"/>
      <c r="AE284" s="72"/>
      <c r="AF284" s="72"/>
      <c r="AG284" s="337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273"/>
      <c r="AU284" s="72"/>
      <c r="AV284" s="72"/>
      <c r="AW284" s="72"/>
      <c r="AX284" s="72"/>
      <c r="AY284" s="72"/>
      <c r="AZ284" s="75"/>
      <c r="BA284" s="75"/>
      <c r="BB284" s="75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</row>
    <row r="285" spans="1:84" x14ac:dyDescent="0.2">
      <c r="A285" s="90"/>
      <c r="B285" s="90"/>
      <c r="C285" s="72"/>
      <c r="D285" s="90"/>
      <c r="E285" s="90"/>
      <c r="F285" s="90"/>
      <c r="G285" s="333"/>
      <c r="H285" s="333"/>
      <c r="I285" s="333"/>
      <c r="J285" s="335"/>
      <c r="K285" s="333"/>
      <c r="L285" s="335"/>
      <c r="M285" s="335"/>
      <c r="N285" s="335"/>
      <c r="O285" s="338"/>
      <c r="P285" s="72"/>
      <c r="Q285" s="72"/>
      <c r="S285" s="72"/>
      <c r="T285" s="72"/>
      <c r="U285" s="72"/>
      <c r="V285" s="72"/>
      <c r="W285" s="72"/>
      <c r="X285" s="72"/>
      <c r="Y285" s="72"/>
      <c r="Z285" s="72"/>
      <c r="AA285" s="74"/>
      <c r="AB285" s="72"/>
      <c r="AC285" s="72"/>
      <c r="AD285" s="72"/>
      <c r="AE285" s="72"/>
      <c r="AF285" s="72"/>
      <c r="AG285" s="337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273"/>
      <c r="AU285" s="72"/>
      <c r="AV285" s="72"/>
      <c r="AW285" s="72"/>
      <c r="AX285" s="72"/>
      <c r="AY285" s="72"/>
      <c r="AZ285" s="75"/>
      <c r="BA285" s="75"/>
      <c r="BB285" s="75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</row>
    <row r="286" spans="1:84" x14ac:dyDescent="0.2">
      <c r="A286" s="90"/>
      <c r="B286" s="90"/>
      <c r="C286" s="72"/>
      <c r="D286" s="90"/>
      <c r="E286" s="90"/>
      <c r="F286" s="90"/>
      <c r="G286" s="333"/>
      <c r="H286" s="333"/>
      <c r="I286" s="333"/>
      <c r="J286" s="335"/>
      <c r="K286" s="333"/>
      <c r="L286" s="335"/>
      <c r="M286" s="335"/>
      <c r="N286" s="335"/>
      <c r="O286" s="338"/>
      <c r="P286" s="72"/>
      <c r="Q286" s="72"/>
      <c r="S286" s="72"/>
      <c r="T286" s="72"/>
      <c r="U286" s="72"/>
      <c r="V286" s="72"/>
      <c r="W286" s="72"/>
      <c r="X286" s="72"/>
      <c r="Y286" s="72"/>
      <c r="Z286" s="72"/>
      <c r="AA286" s="74"/>
      <c r="AB286" s="72"/>
      <c r="AC286" s="72"/>
      <c r="AD286" s="72"/>
      <c r="AE286" s="72"/>
      <c r="AF286" s="72"/>
      <c r="AG286" s="337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273"/>
      <c r="AU286" s="72"/>
      <c r="AV286" s="72"/>
      <c r="AW286" s="72"/>
      <c r="AX286" s="72"/>
      <c r="AY286" s="72"/>
      <c r="AZ286" s="75"/>
      <c r="BA286" s="75"/>
      <c r="BB286" s="75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</row>
    <row r="287" spans="1:84" x14ac:dyDescent="0.2">
      <c r="A287" s="90"/>
      <c r="B287" s="90"/>
      <c r="C287" s="72"/>
      <c r="D287" s="90"/>
      <c r="E287" s="90"/>
      <c r="F287" s="90"/>
      <c r="G287" s="333"/>
      <c r="H287" s="333"/>
      <c r="I287" s="333"/>
      <c r="J287" s="335"/>
      <c r="K287" s="333"/>
      <c r="L287" s="335"/>
      <c r="M287" s="335"/>
      <c r="N287" s="335"/>
      <c r="O287" s="338"/>
      <c r="P287" s="72"/>
      <c r="Q287" s="72"/>
      <c r="S287" s="72"/>
      <c r="T287" s="72"/>
      <c r="U287" s="72"/>
      <c r="V287" s="72"/>
      <c r="W287" s="72"/>
      <c r="X287" s="72"/>
      <c r="Y287" s="72"/>
      <c r="Z287" s="72"/>
      <c r="AA287" s="74"/>
      <c r="AB287" s="72"/>
      <c r="AC287" s="72"/>
      <c r="AD287" s="72"/>
      <c r="AE287" s="72"/>
      <c r="AF287" s="72"/>
      <c r="AG287" s="337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273"/>
      <c r="AU287" s="72"/>
      <c r="AV287" s="72"/>
      <c r="AW287" s="72"/>
      <c r="AX287" s="72"/>
      <c r="AY287" s="72"/>
      <c r="AZ287" s="75"/>
      <c r="BA287" s="75"/>
      <c r="BB287" s="75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</row>
    <row r="288" spans="1:84" x14ac:dyDescent="0.2">
      <c r="A288" s="90"/>
      <c r="B288" s="90"/>
      <c r="C288" s="72"/>
      <c r="D288" s="90"/>
      <c r="E288" s="90"/>
      <c r="F288" s="90"/>
      <c r="G288" s="333"/>
      <c r="H288" s="333"/>
      <c r="I288" s="333"/>
      <c r="J288" s="335"/>
      <c r="K288" s="333"/>
      <c r="L288" s="335"/>
      <c r="M288" s="335"/>
      <c r="N288" s="335"/>
      <c r="O288" s="338"/>
      <c r="P288" s="72"/>
      <c r="Q288" s="72"/>
      <c r="S288" s="72"/>
      <c r="T288" s="72"/>
      <c r="U288" s="72"/>
      <c r="V288" s="72"/>
      <c r="W288" s="72"/>
      <c r="X288" s="72"/>
      <c r="Y288" s="72"/>
      <c r="Z288" s="72"/>
      <c r="AA288" s="74"/>
      <c r="AB288" s="72"/>
      <c r="AC288" s="72"/>
      <c r="AD288" s="72"/>
      <c r="AE288" s="72"/>
      <c r="AF288" s="72"/>
      <c r="AG288" s="337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273"/>
      <c r="AU288" s="72"/>
      <c r="AV288" s="72"/>
      <c r="AW288" s="72"/>
      <c r="AX288" s="72"/>
      <c r="AY288" s="72"/>
      <c r="AZ288" s="75"/>
      <c r="BA288" s="75"/>
      <c r="BB288" s="75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</row>
    <row r="289" spans="1:84" x14ac:dyDescent="0.2">
      <c r="A289" s="90"/>
      <c r="B289" s="90"/>
      <c r="C289" s="72"/>
      <c r="D289" s="90"/>
      <c r="E289" s="90"/>
      <c r="F289" s="90"/>
      <c r="G289" s="333"/>
      <c r="H289" s="333"/>
      <c r="I289" s="333"/>
      <c r="J289" s="335"/>
      <c r="K289" s="333"/>
      <c r="L289" s="335"/>
      <c r="M289" s="335"/>
      <c r="N289" s="335"/>
      <c r="O289" s="338"/>
      <c r="P289" s="72"/>
      <c r="Q289" s="72"/>
      <c r="S289" s="72"/>
      <c r="T289" s="72"/>
      <c r="U289" s="72"/>
      <c r="V289" s="72"/>
      <c r="W289" s="72"/>
      <c r="X289" s="72"/>
      <c r="Y289" s="72"/>
      <c r="Z289" s="72"/>
      <c r="AA289" s="74"/>
      <c r="AB289" s="72"/>
      <c r="AC289" s="72"/>
      <c r="AD289" s="72"/>
      <c r="AE289" s="72"/>
      <c r="AF289" s="72"/>
      <c r="AG289" s="337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273"/>
      <c r="AU289" s="72"/>
      <c r="AV289" s="72"/>
      <c r="AW289" s="72"/>
      <c r="AX289" s="72"/>
      <c r="AY289" s="72"/>
      <c r="AZ289" s="75"/>
      <c r="BA289" s="75"/>
      <c r="BB289" s="75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</row>
    <row r="290" spans="1:84" x14ac:dyDescent="0.2">
      <c r="A290" s="90"/>
      <c r="B290" s="90"/>
      <c r="C290" s="72"/>
      <c r="D290" s="90"/>
      <c r="E290" s="90"/>
      <c r="F290" s="90"/>
      <c r="G290" s="333"/>
      <c r="H290" s="333"/>
      <c r="I290" s="333"/>
      <c r="J290" s="335"/>
      <c r="K290" s="333"/>
      <c r="L290" s="335"/>
      <c r="M290" s="335"/>
      <c r="N290" s="335"/>
      <c r="O290" s="338"/>
      <c r="P290" s="72"/>
      <c r="Q290" s="72"/>
      <c r="S290" s="72"/>
      <c r="T290" s="72"/>
      <c r="U290" s="72"/>
      <c r="V290" s="72"/>
      <c r="W290" s="72"/>
      <c r="X290" s="72"/>
      <c r="Y290" s="72"/>
      <c r="Z290" s="72"/>
      <c r="AA290" s="74"/>
      <c r="AB290" s="72"/>
      <c r="AC290" s="72"/>
      <c r="AD290" s="72"/>
      <c r="AE290" s="72"/>
      <c r="AF290" s="72"/>
      <c r="AG290" s="337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273"/>
      <c r="AU290" s="72"/>
      <c r="AV290" s="72"/>
      <c r="AW290" s="72"/>
      <c r="AX290" s="72"/>
      <c r="AY290" s="72"/>
      <c r="AZ290" s="75"/>
      <c r="BA290" s="75"/>
      <c r="BB290" s="75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</row>
    <row r="291" spans="1:84" x14ac:dyDescent="0.2">
      <c r="A291" s="90"/>
      <c r="B291" s="90"/>
      <c r="C291" s="72"/>
      <c r="D291" s="90"/>
      <c r="E291" s="90"/>
      <c r="F291" s="90"/>
      <c r="G291" s="333"/>
      <c r="H291" s="333"/>
      <c r="I291" s="333"/>
      <c r="J291" s="335"/>
      <c r="K291" s="333"/>
      <c r="L291" s="335"/>
      <c r="M291" s="335"/>
      <c r="N291" s="335"/>
      <c r="O291" s="338"/>
      <c r="P291" s="72"/>
      <c r="Q291" s="72"/>
      <c r="S291" s="72"/>
      <c r="T291" s="72"/>
      <c r="U291" s="72"/>
      <c r="V291" s="72"/>
      <c r="W291" s="72"/>
      <c r="X291" s="72"/>
      <c r="Y291" s="72"/>
      <c r="Z291" s="72"/>
      <c r="AA291" s="74"/>
      <c r="AB291" s="72"/>
      <c r="AC291" s="72"/>
      <c r="AD291" s="72"/>
      <c r="AE291" s="72"/>
      <c r="AF291" s="72"/>
      <c r="AG291" s="337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273"/>
      <c r="AU291" s="72"/>
      <c r="AV291" s="72"/>
      <c r="AW291" s="72"/>
      <c r="AX291" s="72"/>
      <c r="AY291" s="72"/>
      <c r="AZ291" s="75"/>
      <c r="BA291" s="75"/>
      <c r="BB291" s="75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</row>
    <row r="292" spans="1:84" x14ac:dyDescent="0.2">
      <c r="A292" s="90"/>
      <c r="B292" s="90"/>
      <c r="C292" s="72"/>
      <c r="D292" s="90"/>
      <c r="E292" s="90"/>
      <c r="F292" s="90"/>
      <c r="G292" s="333"/>
      <c r="H292" s="333"/>
      <c r="I292" s="333"/>
      <c r="J292" s="335"/>
      <c r="K292" s="333"/>
      <c r="L292" s="335"/>
      <c r="M292" s="335"/>
      <c r="N292" s="335"/>
      <c r="O292" s="338"/>
      <c r="P292" s="72"/>
      <c r="Q292" s="72"/>
      <c r="S292" s="72"/>
      <c r="T292" s="72"/>
      <c r="U292" s="72"/>
      <c r="V292" s="72"/>
      <c r="W292" s="72"/>
      <c r="X292" s="72"/>
      <c r="Y292" s="72"/>
      <c r="Z292" s="72"/>
      <c r="AA292" s="74"/>
      <c r="AB292" s="72"/>
      <c r="AC292" s="72"/>
      <c r="AD292" s="72"/>
      <c r="AE292" s="72"/>
      <c r="AF292" s="72"/>
      <c r="AG292" s="337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273"/>
      <c r="AU292" s="72"/>
      <c r="AV292" s="72"/>
      <c r="AW292" s="72"/>
      <c r="AX292" s="72"/>
      <c r="AY292" s="72"/>
      <c r="AZ292" s="75"/>
      <c r="BA292" s="75"/>
      <c r="BB292" s="75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</row>
    <row r="293" spans="1:84" x14ac:dyDescent="0.2">
      <c r="A293" s="90"/>
      <c r="B293" s="90"/>
      <c r="C293" s="72"/>
      <c r="D293" s="90"/>
      <c r="E293" s="90"/>
      <c r="F293" s="90"/>
      <c r="G293" s="333"/>
      <c r="H293" s="333"/>
      <c r="I293" s="333"/>
      <c r="J293" s="335"/>
      <c r="K293" s="333"/>
      <c r="L293" s="335"/>
      <c r="M293" s="335"/>
      <c r="N293" s="335"/>
      <c r="O293" s="338"/>
      <c r="P293" s="72"/>
      <c r="Q293" s="72"/>
      <c r="S293" s="72"/>
      <c r="T293" s="72"/>
      <c r="U293" s="72"/>
      <c r="V293" s="72"/>
      <c r="W293" s="72"/>
      <c r="X293" s="72"/>
      <c r="Y293" s="72"/>
      <c r="Z293" s="72"/>
      <c r="AA293" s="74"/>
      <c r="AB293" s="72"/>
      <c r="AC293" s="72"/>
      <c r="AD293" s="72"/>
      <c r="AE293" s="72"/>
      <c r="AF293" s="72"/>
      <c r="AG293" s="337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273"/>
      <c r="AU293" s="72"/>
      <c r="AV293" s="72"/>
      <c r="AW293" s="72"/>
      <c r="AX293" s="72"/>
      <c r="AY293" s="72"/>
      <c r="AZ293" s="75"/>
      <c r="BA293" s="75"/>
      <c r="BB293" s="75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</row>
    <row r="294" spans="1:84" x14ac:dyDescent="0.2">
      <c r="A294" s="90"/>
      <c r="B294" s="90"/>
      <c r="C294" s="72"/>
      <c r="D294" s="90"/>
      <c r="E294" s="90"/>
      <c r="F294" s="90"/>
      <c r="G294" s="333"/>
      <c r="H294" s="333"/>
      <c r="I294" s="333"/>
      <c r="J294" s="335"/>
      <c r="K294" s="333"/>
      <c r="L294" s="335"/>
      <c r="M294" s="335"/>
      <c r="N294" s="335"/>
      <c r="O294" s="338"/>
      <c r="P294" s="72"/>
      <c r="Q294" s="72"/>
      <c r="S294" s="72"/>
      <c r="T294" s="72"/>
      <c r="U294" s="72"/>
      <c r="V294" s="72"/>
      <c r="W294" s="72"/>
      <c r="X294" s="72"/>
      <c r="Y294" s="72"/>
      <c r="Z294" s="72"/>
      <c r="AA294" s="74"/>
      <c r="AB294" s="72"/>
      <c r="AC294" s="72"/>
      <c r="AD294" s="72"/>
      <c r="AE294" s="72"/>
      <c r="AF294" s="72"/>
      <c r="AG294" s="337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273"/>
      <c r="AU294" s="72"/>
      <c r="AV294" s="72"/>
      <c r="AW294" s="72"/>
      <c r="AX294" s="72"/>
      <c r="AY294" s="72"/>
      <c r="AZ294" s="75"/>
      <c r="BA294" s="75"/>
      <c r="BB294" s="75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</row>
    <row r="295" spans="1:84" x14ac:dyDescent="0.2">
      <c r="A295" s="90"/>
      <c r="B295" s="90"/>
      <c r="C295" s="72"/>
      <c r="D295" s="90"/>
      <c r="E295" s="90"/>
      <c r="F295" s="90"/>
      <c r="G295" s="333"/>
      <c r="H295" s="333"/>
      <c r="I295" s="333"/>
      <c r="J295" s="335"/>
      <c r="K295" s="333"/>
      <c r="L295" s="335"/>
      <c r="M295" s="335"/>
      <c r="N295" s="335"/>
      <c r="O295" s="338"/>
      <c r="P295" s="72"/>
      <c r="Q295" s="72"/>
      <c r="S295" s="72"/>
      <c r="T295" s="72"/>
      <c r="U295" s="72"/>
      <c r="V295" s="72"/>
      <c r="W295" s="72"/>
      <c r="X295" s="72"/>
      <c r="Y295" s="72"/>
      <c r="Z295" s="72"/>
      <c r="AA295" s="74"/>
      <c r="AB295" s="72"/>
      <c r="AC295" s="72"/>
      <c r="AD295" s="72"/>
      <c r="AE295" s="72"/>
      <c r="AF295" s="72"/>
      <c r="AG295" s="337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273"/>
      <c r="AU295" s="72"/>
      <c r="AV295" s="72"/>
      <c r="AW295" s="72"/>
      <c r="AX295" s="72"/>
      <c r="AY295" s="72"/>
      <c r="AZ295" s="75"/>
      <c r="BA295" s="75"/>
      <c r="BB295" s="75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</row>
    <row r="296" spans="1:84" x14ac:dyDescent="0.2">
      <c r="A296" s="90"/>
      <c r="B296" s="90"/>
      <c r="C296" s="72"/>
      <c r="D296" s="90"/>
      <c r="E296" s="90"/>
      <c r="F296" s="90"/>
      <c r="G296" s="333"/>
      <c r="H296" s="333"/>
      <c r="I296" s="333"/>
      <c r="J296" s="335"/>
      <c r="K296" s="333"/>
      <c r="L296" s="335"/>
      <c r="M296" s="335"/>
      <c r="N296" s="335"/>
      <c r="O296" s="338"/>
      <c r="P296" s="72"/>
      <c r="Q296" s="72"/>
      <c r="S296" s="72"/>
      <c r="T296" s="72"/>
      <c r="U296" s="72"/>
      <c r="V296" s="72"/>
      <c r="W296" s="72"/>
      <c r="X296" s="72"/>
      <c r="Y296" s="72"/>
      <c r="Z296" s="72"/>
      <c r="AA296" s="74"/>
      <c r="AB296" s="72"/>
      <c r="AC296" s="72"/>
      <c r="AD296" s="72"/>
      <c r="AE296" s="72"/>
      <c r="AF296" s="72"/>
      <c r="AG296" s="337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273"/>
      <c r="AU296" s="72"/>
      <c r="AV296" s="72"/>
      <c r="AW296" s="72"/>
      <c r="AX296" s="72"/>
      <c r="AY296" s="72"/>
      <c r="AZ296" s="75"/>
      <c r="BA296" s="75"/>
      <c r="BB296" s="75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</row>
    <row r="297" spans="1:84" x14ac:dyDescent="0.2">
      <c r="A297" s="90"/>
      <c r="B297" s="90"/>
      <c r="C297" s="72"/>
      <c r="D297" s="90"/>
      <c r="E297" s="90"/>
      <c r="F297" s="90"/>
      <c r="G297" s="333"/>
      <c r="H297" s="333"/>
      <c r="I297" s="333"/>
      <c r="J297" s="335"/>
      <c r="K297" s="333"/>
      <c r="L297" s="335"/>
      <c r="M297" s="335"/>
      <c r="N297" s="335"/>
      <c r="O297" s="338"/>
      <c r="P297" s="72"/>
      <c r="Q297" s="72"/>
      <c r="S297" s="72"/>
      <c r="T297" s="72"/>
      <c r="U297" s="72"/>
      <c r="V297" s="72"/>
      <c r="W297" s="72"/>
      <c r="X297" s="72"/>
      <c r="Y297" s="72"/>
      <c r="Z297" s="72"/>
      <c r="AA297" s="74"/>
      <c r="AB297" s="72"/>
      <c r="AC297" s="72"/>
      <c r="AD297" s="72"/>
      <c r="AE297" s="72"/>
      <c r="AF297" s="72"/>
      <c r="AG297" s="337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273"/>
      <c r="AU297" s="72"/>
      <c r="AV297" s="72"/>
      <c r="AW297" s="72"/>
      <c r="AX297" s="72"/>
      <c r="AY297" s="72"/>
      <c r="AZ297" s="75"/>
      <c r="BA297" s="75"/>
      <c r="BB297" s="75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</row>
    <row r="298" spans="1:84" x14ac:dyDescent="0.2">
      <c r="A298" s="90"/>
      <c r="B298" s="90"/>
      <c r="C298" s="72"/>
      <c r="D298" s="90"/>
      <c r="E298" s="90"/>
      <c r="F298" s="90"/>
      <c r="G298" s="333"/>
      <c r="H298" s="333"/>
      <c r="I298" s="333"/>
      <c r="J298" s="335"/>
      <c r="K298" s="333"/>
      <c r="L298" s="335"/>
      <c r="M298" s="335"/>
      <c r="N298" s="335"/>
      <c r="O298" s="338"/>
      <c r="P298" s="72"/>
      <c r="Q298" s="72"/>
      <c r="S298" s="72"/>
      <c r="T298" s="72"/>
      <c r="U298" s="72"/>
      <c r="V298" s="72"/>
      <c r="W298" s="72"/>
      <c r="X298" s="72"/>
      <c r="Y298" s="72"/>
      <c r="Z298" s="72"/>
      <c r="AA298" s="74"/>
      <c r="AB298" s="72"/>
      <c r="AC298" s="72"/>
      <c r="AD298" s="72"/>
      <c r="AE298" s="72"/>
      <c r="AF298" s="72"/>
      <c r="AG298" s="337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273"/>
      <c r="AU298" s="72"/>
      <c r="AV298" s="72"/>
      <c r="AW298" s="72"/>
      <c r="AX298" s="72"/>
      <c r="AY298" s="72"/>
      <c r="AZ298" s="75"/>
      <c r="BA298" s="75"/>
      <c r="BB298" s="75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</row>
    <row r="299" spans="1:84" x14ac:dyDescent="0.2">
      <c r="A299" s="90"/>
      <c r="B299" s="90"/>
      <c r="C299" s="72"/>
      <c r="D299" s="90"/>
      <c r="E299" s="90"/>
      <c r="F299" s="90"/>
      <c r="G299" s="333"/>
      <c r="H299" s="333"/>
      <c r="I299" s="333"/>
      <c r="J299" s="335"/>
      <c r="K299" s="333"/>
      <c r="L299" s="335"/>
      <c r="M299" s="335"/>
      <c r="N299" s="335"/>
      <c r="O299" s="338"/>
      <c r="P299" s="72"/>
      <c r="Q299" s="72"/>
      <c r="S299" s="72"/>
      <c r="T299" s="72"/>
      <c r="U299" s="72"/>
      <c r="V299" s="72"/>
      <c r="W299" s="72"/>
      <c r="X299" s="72"/>
      <c r="Y299" s="72"/>
      <c r="Z299" s="72"/>
      <c r="AA299" s="74"/>
      <c r="AB299" s="72"/>
      <c r="AC299" s="72"/>
      <c r="AD299" s="72"/>
      <c r="AE299" s="72"/>
      <c r="AF299" s="72"/>
      <c r="AG299" s="337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273"/>
      <c r="AU299" s="72"/>
      <c r="AV299" s="72"/>
      <c r="AW299" s="72"/>
      <c r="AX299" s="72"/>
      <c r="AY299" s="72"/>
      <c r="AZ299" s="75"/>
      <c r="BA299" s="75"/>
      <c r="BB299" s="75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</row>
    <row r="300" spans="1:84" x14ac:dyDescent="0.2">
      <c r="A300" s="90"/>
      <c r="B300" s="90"/>
      <c r="C300" s="72"/>
      <c r="D300" s="90"/>
      <c r="E300" s="90"/>
      <c r="F300" s="90"/>
      <c r="G300" s="333"/>
      <c r="H300" s="333"/>
      <c r="I300" s="333"/>
      <c r="J300" s="335"/>
      <c r="K300" s="333"/>
      <c r="L300" s="335"/>
      <c r="M300" s="335"/>
      <c r="N300" s="335"/>
      <c r="O300" s="338"/>
      <c r="P300" s="72"/>
      <c r="Q300" s="72"/>
      <c r="S300" s="72"/>
      <c r="T300" s="72"/>
      <c r="U300" s="72"/>
      <c r="V300" s="72"/>
      <c r="W300" s="72"/>
      <c r="X300" s="72"/>
      <c r="Y300" s="72"/>
      <c r="Z300" s="72"/>
      <c r="AA300" s="74"/>
      <c r="AB300" s="72"/>
      <c r="AC300" s="72"/>
      <c r="AD300" s="72"/>
      <c r="AE300" s="72"/>
      <c r="AF300" s="72"/>
      <c r="AG300" s="337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273"/>
      <c r="AU300" s="72"/>
      <c r="AV300" s="72"/>
      <c r="AW300" s="72"/>
      <c r="AX300" s="72"/>
      <c r="AY300" s="72"/>
      <c r="AZ300" s="75"/>
      <c r="BA300" s="75"/>
      <c r="BB300" s="75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</row>
    <row r="301" spans="1:84" x14ac:dyDescent="0.2">
      <c r="A301" s="90"/>
      <c r="B301" s="90"/>
      <c r="C301" s="72"/>
      <c r="D301" s="90"/>
      <c r="E301" s="90"/>
      <c r="F301" s="90"/>
      <c r="G301" s="333"/>
      <c r="H301" s="333"/>
      <c r="I301" s="333"/>
      <c r="J301" s="335"/>
      <c r="K301" s="333"/>
      <c r="L301" s="335"/>
      <c r="M301" s="335"/>
      <c r="N301" s="335"/>
      <c r="O301" s="338"/>
      <c r="P301" s="72"/>
      <c r="Q301" s="72"/>
      <c r="S301" s="72"/>
      <c r="T301" s="72"/>
      <c r="U301" s="72"/>
      <c r="V301" s="72"/>
      <c r="W301" s="72"/>
      <c r="X301" s="72"/>
      <c r="Y301" s="72"/>
      <c r="Z301" s="72"/>
      <c r="AA301" s="74"/>
      <c r="AB301" s="72"/>
      <c r="AC301" s="72"/>
      <c r="AD301" s="72"/>
      <c r="AE301" s="72"/>
      <c r="AF301" s="72"/>
      <c r="AG301" s="337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273"/>
      <c r="AU301" s="72"/>
      <c r="AV301" s="72"/>
      <c r="AW301" s="72"/>
      <c r="AX301" s="72"/>
      <c r="AY301" s="72"/>
      <c r="AZ301" s="75"/>
      <c r="BA301" s="75"/>
      <c r="BB301" s="75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</row>
    <row r="302" spans="1:84" x14ac:dyDescent="0.2">
      <c r="A302" s="90"/>
      <c r="B302" s="90"/>
      <c r="C302" s="72"/>
      <c r="D302" s="90"/>
      <c r="E302" s="90"/>
      <c r="F302" s="90"/>
      <c r="G302" s="333"/>
      <c r="H302" s="333"/>
      <c r="I302" s="333"/>
      <c r="J302" s="335"/>
      <c r="K302" s="333"/>
      <c r="L302" s="335"/>
      <c r="M302" s="335"/>
      <c r="N302" s="335"/>
      <c r="O302" s="338"/>
      <c r="P302" s="72"/>
      <c r="Q302" s="72"/>
      <c r="S302" s="72"/>
      <c r="T302" s="72"/>
      <c r="U302" s="72"/>
      <c r="V302" s="72"/>
      <c r="W302" s="72"/>
      <c r="X302" s="72"/>
      <c r="Y302" s="72"/>
      <c r="Z302" s="72"/>
      <c r="AA302" s="74"/>
      <c r="AB302" s="72"/>
      <c r="AC302" s="72"/>
      <c r="AD302" s="72"/>
      <c r="AE302" s="72"/>
      <c r="AF302" s="72"/>
      <c r="AG302" s="337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273"/>
      <c r="AU302" s="72"/>
      <c r="AV302" s="72"/>
      <c r="AW302" s="72"/>
      <c r="AX302" s="72"/>
      <c r="AY302" s="72"/>
      <c r="AZ302" s="75"/>
      <c r="BA302" s="75"/>
      <c r="BB302" s="75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</row>
    <row r="303" spans="1:84" x14ac:dyDescent="0.2">
      <c r="A303" s="90"/>
      <c r="B303" s="90"/>
      <c r="C303" s="72"/>
      <c r="D303" s="90"/>
      <c r="E303" s="90"/>
      <c r="F303" s="90"/>
      <c r="G303" s="333"/>
      <c r="H303" s="333"/>
      <c r="I303" s="333"/>
      <c r="J303" s="335"/>
      <c r="K303" s="333"/>
      <c r="L303" s="335"/>
      <c r="M303" s="335"/>
      <c r="N303" s="335"/>
      <c r="O303" s="338"/>
      <c r="P303" s="72"/>
      <c r="Q303" s="72"/>
      <c r="S303" s="72"/>
      <c r="T303" s="72"/>
      <c r="U303" s="72"/>
      <c r="V303" s="72"/>
      <c r="W303" s="72"/>
      <c r="X303" s="72"/>
      <c r="Y303" s="72"/>
      <c r="Z303" s="72"/>
      <c r="AA303" s="74"/>
      <c r="AB303" s="72"/>
      <c r="AC303" s="72"/>
      <c r="AD303" s="72"/>
      <c r="AE303" s="72"/>
      <c r="AF303" s="72"/>
      <c r="AG303" s="337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273"/>
      <c r="AU303" s="72"/>
      <c r="AV303" s="72"/>
      <c r="AW303" s="72"/>
      <c r="AX303" s="72"/>
      <c r="AY303" s="72"/>
      <c r="AZ303" s="75"/>
      <c r="BA303" s="75"/>
      <c r="BB303" s="75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</row>
    <row r="304" spans="1:84" x14ac:dyDescent="0.2">
      <c r="A304" s="90"/>
      <c r="B304" s="90"/>
      <c r="C304" s="72"/>
      <c r="D304" s="90"/>
      <c r="E304" s="90"/>
      <c r="F304" s="90"/>
      <c r="G304" s="333"/>
      <c r="H304" s="333"/>
      <c r="I304" s="333"/>
      <c r="J304" s="335"/>
      <c r="K304" s="333"/>
      <c r="L304" s="335"/>
      <c r="M304" s="335"/>
      <c r="N304" s="335"/>
      <c r="O304" s="338"/>
      <c r="P304" s="72"/>
      <c r="Q304" s="72"/>
      <c r="S304" s="72"/>
      <c r="T304" s="72"/>
      <c r="U304" s="72"/>
      <c r="V304" s="72"/>
      <c r="W304" s="72"/>
      <c r="X304" s="72"/>
      <c r="Y304" s="72"/>
      <c r="Z304" s="72"/>
      <c r="AA304" s="74"/>
      <c r="AB304" s="72"/>
      <c r="AC304" s="72"/>
      <c r="AD304" s="72"/>
      <c r="AE304" s="72"/>
      <c r="AF304" s="72"/>
      <c r="AG304" s="337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273"/>
      <c r="AU304" s="72"/>
      <c r="AV304" s="72"/>
      <c r="AW304" s="72"/>
      <c r="AX304" s="72"/>
      <c r="AY304" s="72"/>
      <c r="AZ304" s="75"/>
      <c r="BA304" s="75"/>
      <c r="BB304" s="75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</row>
    <row r="305" spans="1:84" x14ac:dyDescent="0.2">
      <c r="A305" s="90"/>
      <c r="B305" s="90"/>
      <c r="C305" s="72"/>
      <c r="D305" s="90"/>
      <c r="E305" s="90"/>
      <c r="F305" s="90"/>
      <c r="G305" s="333"/>
      <c r="H305" s="333"/>
      <c r="I305" s="333"/>
      <c r="J305" s="335"/>
      <c r="K305" s="333"/>
      <c r="L305" s="335"/>
      <c r="M305" s="335"/>
      <c r="N305" s="335"/>
      <c r="O305" s="338"/>
      <c r="P305" s="72"/>
      <c r="Q305" s="72"/>
      <c r="S305" s="72"/>
      <c r="T305" s="72"/>
      <c r="U305" s="72"/>
      <c r="V305" s="72"/>
      <c r="W305" s="72"/>
      <c r="X305" s="72"/>
      <c r="Y305" s="72"/>
      <c r="Z305" s="72"/>
      <c r="AA305" s="74"/>
      <c r="AB305" s="72"/>
      <c r="AC305" s="72"/>
      <c r="AD305" s="72"/>
      <c r="AE305" s="72"/>
      <c r="AF305" s="72"/>
      <c r="AG305" s="337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273"/>
      <c r="AU305" s="72"/>
      <c r="AV305" s="72"/>
      <c r="AW305" s="72"/>
      <c r="AX305" s="72"/>
      <c r="AY305" s="72"/>
      <c r="AZ305" s="75"/>
      <c r="BA305" s="75"/>
      <c r="BB305" s="75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</row>
    <row r="306" spans="1:84" x14ac:dyDescent="0.2">
      <c r="A306" s="90"/>
      <c r="B306" s="90"/>
      <c r="C306" s="72"/>
      <c r="D306" s="90"/>
      <c r="E306" s="90"/>
      <c r="F306" s="90"/>
      <c r="G306" s="333"/>
      <c r="H306" s="333"/>
      <c r="I306" s="333"/>
      <c r="J306" s="335"/>
      <c r="K306" s="333"/>
      <c r="L306" s="335"/>
      <c r="M306" s="335"/>
      <c r="N306" s="335"/>
      <c r="O306" s="338"/>
      <c r="P306" s="72"/>
      <c r="Q306" s="72"/>
      <c r="S306" s="72"/>
      <c r="T306" s="72"/>
      <c r="U306" s="72"/>
      <c r="V306" s="72"/>
      <c r="W306" s="72"/>
      <c r="X306" s="72"/>
      <c r="Y306" s="72"/>
      <c r="Z306" s="72"/>
      <c r="AA306" s="74"/>
      <c r="AB306" s="72"/>
      <c r="AC306" s="72"/>
      <c r="AD306" s="72"/>
      <c r="AE306" s="72"/>
      <c r="AF306" s="72"/>
      <c r="AG306" s="337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273"/>
      <c r="AU306" s="72"/>
      <c r="AV306" s="72"/>
      <c r="AW306" s="72"/>
      <c r="AX306" s="72"/>
      <c r="AY306" s="72"/>
      <c r="AZ306" s="75"/>
      <c r="BA306" s="75"/>
      <c r="BB306" s="75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</row>
    <row r="307" spans="1:84" x14ac:dyDescent="0.2">
      <c r="A307" s="90"/>
      <c r="B307" s="90"/>
      <c r="C307" s="72"/>
      <c r="D307" s="90"/>
      <c r="E307" s="90"/>
      <c r="F307" s="90"/>
      <c r="G307" s="333"/>
      <c r="H307" s="333"/>
      <c r="I307" s="333"/>
      <c r="J307" s="335"/>
      <c r="K307" s="333"/>
      <c r="L307" s="335"/>
      <c r="M307" s="335"/>
      <c r="N307" s="335"/>
      <c r="O307" s="338"/>
      <c r="P307" s="72"/>
      <c r="Q307" s="72"/>
      <c r="S307" s="72"/>
      <c r="T307" s="72"/>
      <c r="U307" s="72"/>
      <c r="V307" s="72"/>
      <c r="W307" s="72"/>
      <c r="X307" s="72"/>
      <c r="Y307" s="72"/>
      <c r="Z307" s="72"/>
      <c r="AA307" s="74"/>
      <c r="AB307" s="72"/>
      <c r="AC307" s="72"/>
      <c r="AD307" s="72"/>
      <c r="AE307" s="72"/>
      <c r="AF307" s="72"/>
      <c r="AG307" s="337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273"/>
      <c r="AU307" s="72"/>
      <c r="AV307" s="72"/>
      <c r="AW307" s="72"/>
      <c r="AX307" s="72"/>
      <c r="AY307" s="72"/>
      <c r="AZ307" s="75"/>
      <c r="BA307" s="75"/>
      <c r="BB307" s="75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</row>
    <row r="308" spans="1:84" x14ac:dyDescent="0.2">
      <c r="A308" s="90"/>
      <c r="B308" s="90"/>
      <c r="C308" s="72"/>
      <c r="D308" s="90"/>
      <c r="E308" s="90"/>
      <c r="F308" s="90"/>
      <c r="G308" s="333"/>
      <c r="H308" s="333"/>
      <c r="I308" s="333"/>
      <c r="J308" s="335"/>
      <c r="K308" s="333"/>
      <c r="L308" s="335"/>
      <c r="M308" s="335"/>
      <c r="N308" s="335"/>
      <c r="O308" s="338"/>
      <c r="P308" s="72"/>
      <c r="Q308" s="72"/>
      <c r="S308" s="72"/>
      <c r="T308" s="72"/>
      <c r="U308" s="72"/>
      <c r="V308" s="72"/>
      <c r="W308" s="72"/>
      <c r="X308" s="72"/>
      <c r="Y308" s="72"/>
      <c r="Z308" s="72"/>
      <c r="AA308" s="74"/>
      <c r="AB308" s="72"/>
      <c r="AC308" s="72"/>
      <c r="AD308" s="72"/>
      <c r="AE308" s="72"/>
      <c r="AF308" s="72"/>
      <c r="AG308" s="337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273"/>
      <c r="AU308" s="72"/>
      <c r="AV308" s="72"/>
      <c r="AW308" s="72"/>
      <c r="AX308" s="72"/>
      <c r="AY308" s="72"/>
      <c r="AZ308" s="75"/>
      <c r="BA308" s="75"/>
      <c r="BB308" s="75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</row>
    <row r="309" spans="1:84" x14ac:dyDescent="0.2">
      <c r="A309" s="90"/>
      <c r="B309" s="90"/>
      <c r="C309" s="72"/>
      <c r="D309" s="90"/>
      <c r="E309" s="90"/>
      <c r="F309" s="90"/>
      <c r="G309" s="333"/>
      <c r="H309" s="333"/>
      <c r="I309" s="333"/>
      <c r="J309" s="335"/>
      <c r="K309" s="333"/>
      <c r="L309" s="335"/>
      <c r="M309" s="335"/>
      <c r="N309" s="335"/>
      <c r="O309" s="338"/>
      <c r="P309" s="72"/>
      <c r="Q309" s="72"/>
      <c r="S309" s="72"/>
      <c r="T309" s="72"/>
      <c r="U309" s="72"/>
      <c r="V309" s="72"/>
      <c r="W309" s="72"/>
      <c r="X309" s="72"/>
      <c r="Y309" s="72"/>
      <c r="Z309" s="72"/>
      <c r="AA309" s="74"/>
      <c r="AB309" s="72"/>
      <c r="AC309" s="72"/>
      <c r="AD309" s="72"/>
      <c r="AE309" s="72"/>
      <c r="AF309" s="72"/>
      <c r="AG309" s="337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273"/>
      <c r="AU309" s="72"/>
      <c r="AV309" s="72"/>
      <c r="AW309" s="72"/>
      <c r="AX309" s="72"/>
      <c r="AY309" s="72"/>
      <c r="AZ309" s="75"/>
      <c r="BA309" s="75"/>
      <c r="BB309" s="75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</row>
    <row r="310" spans="1:84" x14ac:dyDescent="0.2">
      <c r="A310" s="90"/>
      <c r="B310" s="90"/>
      <c r="C310" s="72"/>
      <c r="D310" s="90"/>
      <c r="E310" s="90"/>
      <c r="F310" s="90"/>
      <c r="G310" s="333"/>
      <c r="H310" s="333"/>
      <c r="I310" s="333"/>
      <c r="J310" s="335"/>
      <c r="K310" s="333"/>
      <c r="L310" s="335"/>
      <c r="M310" s="335"/>
      <c r="N310" s="335"/>
      <c r="O310" s="338"/>
      <c r="P310" s="72"/>
      <c r="Q310" s="72"/>
      <c r="S310" s="72"/>
      <c r="T310" s="72"/>
      <c r="U310" s="72"/>
      <c r="V310" s="72"/>
      <c r="W310" s="72"/>
      <c r="X310" s="72"/>
      <c r="Y310" s="72"/>
      <c r="Z310" s="72"/>
      <c r="AA310" s="74"/>
      <c r="AB310" s="72"/>
      <c r="AC310" s="72"/>
      <c r="AD310" s="72"/>
      <c r="AE310" s="72"/>
      <c r="AF310" s="72"/>
      <c r="AG310" s="337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273"/>
      <c r="AU310" s="72"/>
      <c r="AV310" s="72"/>
      <c r="AW310" s="72"/>
      <c r="AX310" s="72"/>
      <c r="AY310" s="72"/>
      <c r="AZ310" s="75"/>
      <c r="BA310" s="75"/>
      <c r="BB310" s="75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</row>
    <row r="311" spans="1:84" x14ac:dyDescent="0.2">
      <c r="A311" s="90"/>
      <c r="B311" s="90"/>
      <c r="C311" s="72"/>
      <c r="D311" s="90"/>
      <c r="E311" s="90"/>
      <c r="F311" s="90"/>
      <c r="G311" s="333"/>
      <c r="H311" s="333"/>
      <c r="I311" s="333"/>
      <c r="J311" s="335"/>
      <c r="K311" s="333"/>
      <c r="L311" s="335"/>
      <c r="M311" s="335"/>
      <c r="N311" s="335"/>
      <c r="O311" s="338"/>
      <c r="P311" s="72"/>
      <c r="Q311" s="72"/>
      <c r="S311" s="72"/>
      <c r="T311" s="72"/>
      <c r="U311" s="72"/>
      <c r="V311" s="72"/>
      <c r="W311" s="72"/>
      <c r="X311" s="72"/>
      <c r="Y311" s="72"/>
      <c r="Z311" s="72"/>
      <c r="AA311" s="74"/>
      <c r="AB311" s="72"/>
      <c r="AC311" s="72"/>
      <c r="AD311" s="72"/>
      <c r="AE311" s="72"/>
      <c r="AF311" s="72"/>
      <c r="AG311" s="337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273"/>
      <c r="AU311" s="72"/>
      <c r="AV311" s="72"/>
      <c r="AW311" s="72"/>
      <c r="AX311" s="72"/>
      <c r="AY311" s="72"/>
      <c r="AZ311" s="75"/>
      <c r="BA311" s="75"/>
      <c r="BB311" s="75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</row>
    <row r="312" spans="1:84" x14ac:dyDescent="0.2">
      <c r="A312" s="90"/>
      <c r="B312" s="90"/>
      <c r="C312" s="72"/>
      <c r="D312" s="90"/>
      <c r="E312" s="90"/>
      <c r="F312" s="90"/>
      <c r="G312" s="333"/>
      <c r="H312" s="333"/>
      <c r="I312" s="333"/>
      <c r="J312" s="335"/>
      <c r="K312" s="333"/>
      <c r="L312" s="335"/>
      <c r="M312" s="335"/>
      <c r="N312" s="335"/>
      <c r="O312" s="338"/>
      <c r="P312" s="72"/>
      <c r="Q312" s="72"/>
      <c r="S312" s="72"/>
      <c r="T312" s="72"/>
      <c r="U312" s="72"/>
      <c r="V312" s="72"/>
      <c r="W312" s="72"/>
      <c r="X312" s="72"/>
      <c r="Y312" s="72"/>
      <c r="Z312" s="72"/>
      <c r="AA312" s="74"/>
      <c r="AB312" s="72"/>
      <c r="AC312" s="72"/>
      <c r="AD312" s="72"/>
      <c r="AE312" s="72"/>
      <c r="AF312" s="72"/>
      <c r="AG312" s="337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273"/>
      <c r="AU312" s="72"/>
      <c r="AV312" s="72"/>
      <c r="AW312" s="72"/>
      <c r="AX312" s="72"/>
      <c r="AY312" s="72"/>
      <c r="AZ312" s="75"/>
      <c r="BA312" s="75"/>
      <c r="BB312" s="75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</row>
    <row r="313" spans="1:84" x14ac:dyDescent="0.2">
      <c r="A313" s="90"/>
      <c r="B313" s="90"/>
      <c r="C313" s="72"/>
      <c r="D313" s="90"/>
      <c r="E313" s="90"/>
      <c r="F313" s="90"/>
      <c r="G313" s="333"/>
      <c r="H313" s="333"/>
      <c r="I313" s="333"/>
      <c r="J313" s="335"/>
      <c r="K313" s="333"/>
      <c r="L313" s="335"/>
      <c r="M313" s="335"/>
      <c r="N313" s="335"/>
      <c r="O313" s="338"/>
      <c r="P313" s="72"/>
      <c r="Q313" s="72"/>
      <c r="S313" s="72"/>
      <c r="T313" s="72"/>
      <c r="U313" s="72"/>
      <c r="V313" s="72"/>
      <c r="W313" s="72"/>
      <c r="X313" s="72"/>
      <c r="Y313" s="72"/>
      <c r="Z313" s="72"/>
      <c r="AA313" s="74"/>
      <c r="AB313" s="72"/>
      <c r="AC313" s="72"/>
      <c r="AD313" s="72"/>
      <c r="AE313" s="72"/>
      <c r="AF313" s="72"/>
      <c r="AG313" s="337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273"/>
      <c r="AU313" s="72"/>
      <c r="AV313" s="72"/>
      <c r="AW313" s="72"/>
      <c r="AX313" s="72"/>
      <c r="AY313" s="72"/>
      <c r="AZ313" s="75"/>
      <c r="BA313" s="75"/>
      <c r="BB313" s="75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</row>
    <row r="314" spans="1:84" x14ac:dyDescent="0.2">
      <c r="A314" s="90"/>
      <c r="B314" s="90"/>
      <c r="C314" s="72"/>
      <c r="D314" s="90"/>
      <c r="E314" s="90"/>
      <c r="F314" s="90"/>
      <c r="G314" s="333"/>
      <c r="H314" s="333"/>
      <c r="I314" s="333"/>
      <c r="J314" s="335"/>
      <c r="K314" s="333"/>
      <c r="L314" s="335"/>
      <c r="M314" s="335"/>
      <c r="N314" s="335"/>
      <c r="O314" s="338"/>
      <c r="P314" s="72"/>
      <c r="Q314" s="72"/>
      <c r="S314" s="72"/>
      <c r="T314" s="72"/>
      <c r="U314" s="72"/>
      <c r="V314" s="72"/>
      <c r="W314" s="72"/>
      <c r="X314" s="72"/>
      <c r="Y314" s="72"/>
      <c r="Z314" s="72"/>
      <c r="AA314" s="74"/>
      <c r="AB314" s="72"/>
      <c r="AC314" s="72"/>
      <c r="AD314" s="72"/>
      <c r="AE314" s="72"/>
      <c r="AF314" s="72"/>
      <c r="AG314" s="337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273"/>
      <c r="AU314" s="72"/>
      <c r="AV314" s="72"/>
      <c r="AW314" s="72"/>
      <c r="AX314" s="72"/>
      <c r="AY314" s="72"/>
      <c r="AZ314" s="75"/>
      <c r="BA314" s="75"/>
      <c r="BB314" s="75"/>
      <c r="BC314" s="72"/>
      <c r="BD314" s="72"/>
      <c r="BE314" s="72"/>
      <c r="BF314" s="72"/>
      <c r="BG314" s="72"/>
      <c r="BH314" s="72"/>
      <c r="BI314" s="72"/>
      <c r="BJ314" s="72"/>
      <c r="BK314" s="72"/>
      <c r="BL314" s="72"/>
      <c r="BM314" s="72"/>
      <c r="BN314" s="72"/>
      <c r="BO314" s="72"/>
      <c r="BP314" s="72"/>
      <c r="BQ314" s="72"/>
      <c r="BR314" s="72"/>
      <c r="BS314" s="72"/>
      <c r="BT314" s="72"/>
      <c r="BU314" s="72"/>
      <c r="BV314" s="72"/>
      <c r="BW314" s="72"/>
      <c r="BX314" s="72"/>
      <c r="BY314" s="72"/>
      <c r="BZ314" s="72"/>
      <c r="CA314" s="72"/>
      <c r="CB314" s="72"/>
      <c r="CC314" s="72"/>
      <c r="CD314" s="72"/>
      <c r="CE314" s="72"/>
      <c r="CF314" s="72"/>
    </row>
    <row r="315" spans="1:84" x14ac:dyDescent="0.2">
      <c r="A315" s="90"/>
      <c r="B315" s="90"/>
      <c r="C315" s="72"/>
      <c r="D315" s="90"/>
      <c r="E315" s="90"/>
      <c r="F315" s="90"/>
      <c r="G315" s="333"/>
      <c r="H315" s="333"/>
      <c r="I315" s="333"/>
      <c r="J315" s="335"/>
      <c r="K315" s="333"/>
      <c r="L315" s="335"/>
      <c r="M315" s="335"/>
      <c r="N315" s="335"/>
      <c r="O315" s="338"/>
      <c r="P315" s="72"/>
      <c r="Q315" s="72"/>
      <c r="S315" s="72"/>
      <c r="T315" s="72"/>
      <c r="U315" s="72"/>
      <c r="V315" s="72"/>
      <c r="W315" s="72"/>
      <c r="X315" s="72"/>
      <c r="Y315" s="72"/>
      <c r="Z315" s="72"/>
      <c r="AA315" s="74"/>
      <c r="AB315" s="72"/>
      <c r="AC315" s="72"/>
      <c r="AD315" s="72"/>
      <c r="AE315" s="72"/>
      <c r="AF315" s="72"/>
      <c r="AG315" s="337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273"/>
      <c r="AU315" s="72"/>
      <c r="AV315" s="72"/>
      <c r="AW315" s="72"/>
      <c r="AX315" s="72"/>
      <c r="AY315" s="72"/>
      <c r="AZ315" s="75"/>
      <c r="BA315" s="75"/>
      <c r="BB315" s="75"/>
      <c r="BC315" s="72"/>
      <c r="BD315" s="72"/>
      <c r="BE315" s="72"/>
      <c r="BF315" s="72"/>
      <c r="BG315" s="72"/>
      <c r="BH315" s="72"/>
      <c r="BI315" s="72"/>
      <c r="BJ315" s="72"/>
      <c r="BK315" s="72"/>
      <c r="BL315" s="72"/>
      <c r="BM315" s="72"/>
      <c r="BN315" s="72"/>
      <c r="BO315" s="72"/>
      <c r="BP315" s="72"/>
      <c r="BQ315" s="72"/>
      <c r="BR315" s="72"/>
      <c r="BS315" s="72"/>
      <c r="BT315" s="72"/>
      <c r="BU315" s="72"/>
      <c r="BV315" s="72"/>
      <c r="BW315" s="72"/>
      <c r="BX315" s="72"/>
      <c r="BY315" s="72"/>
      <c r="BZ315" s="72"/>
      <c r="CA315" s="72"/>
      <c r="CB315" s="72"/>
      <c r="CC315" s="72"/>
      <c r="CD315" s="72"/>
      <c r="CE315" s="72"/>
      <c r="CF315" s="72"/>
    </row>
    <row r="316" spans="1:84" x14ac:dyDescent="0.2">
      <c r="A316" s="90"/>
      <c r="B316" s="90"/>
      <c r="C316" s="72"/>
      <c r="D316" s="90"/>
      <c r="E316" s="90"/>
      <c r="F316" s="90"/>
      <c r="G316" s="333"/>
      <c r="H316" s="333"/>
      <c r="I316" s="333"/>
      <c r="J316" s="335"/>
      <c r="K316" s="333"/>
      <c r="L316" s="335"/>
      <c r="M316" s="335"/>
      <c r="N316" s="335"/>
      <c r="O316" s="338"/>
      <c r="P316" s="72"/>
      <c r="Q316" s="72"/>
      <c r="S316" s="72"/>
      <c r="T316" s="72"/>
      <c r="U316" s="72"/>
      <c r="V316" s="72"/>
      <c r="W316" s="72"/>
      <c r="X316" s="72"/>
      <c r="Y316" s="72"/>
      <c r="Z316" s="72"/>
      <c r="AA316" s="74"/>
      <c r="AB316" s="72"/>
      <c r="AC316" s="72"/>
      <c r="AD316" s="72"/>
      <c r="AE316" s="72"/>
      <c r="AF316" s="72"/>
      <c r="AG316" s="337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273"/>
      <c r="AU316" s="72"/>
      <c r="AV316" s="72"/>
      <c r="AW316" s="72"/>
      <c r="AX316" s="72"/>
      <c r="AY316" s="72"/>
      <c r="AZ316" s="75"/>
      <c r="BA316" s="75"/>
      <c r="BB316" s="75"/>
      <c r="BC316" s="72"/>
      <c r="BD316" s="72"/>
      <c r="BE316" s="72"/>
      <c r="BF316" s="72"/>
      <c r="BG316" s="72"/>
      <c r="BH316" s="72"/>
      <c r="BI316" s="72"/>
      <c r="BJ316" s="72"/>
      <c r="BK316" s="72"/>
      <c r="BL316" s="72"/>
      <c r="BM316" s="72"/>
      <c r="BN316" s="72"/>
      <c r="BO316" s="72"/>
      <c r="BP316" s="72"/>
      <c r="BQ316" s="72"/>
      <c r="BR316" s="72"/>
      <c r="BS316" s="72"/>
      <c r="BT316" s="72"/>
      <c r="BU316" s="72"/>
      <c r="BV316" s="72"/>
      <c r="BW316" s="72"/>
      <c r="BX316" s="72"/>
      <c r="BY316" s="72"/>
      <c r="BZ316" s="72"/>
      <c r="CA316" s="72"/>
      <c r="CB316" s="72"/>
      <c r="CC316" s="72"/>
      <c r="CD316" s="72"/>
      <c r="CE316" s="72"/>
      <c r="CF316" s="72"/>
    </row>
    <row r="317" spans="1:84" x14ac:dyDescent="0.2">
      <c r="A317" s="90"/>
      <c r="B317" s="90"/>
      <c r="C317" s="72"/>
      <c r="D317" s="90"/>
      <c r="E317" s="90"/>
      <c r="F317" s="90"/>
      <c r="G317" s="333"/>
      <c r="H317" s="333"/>
      <c r="I317" s="333"/>
      <c r="J317" s="335"/>
      <c r="K317" s="333"/>
      <c r="L317" s="335"/>
      <c r="M317" s="335"/>
      <c r="N317" s="335"/>
      <c r="O317" s="338"/>
      <c r="P317" s="72"/>
      <c r="Q317" s="72"/>
      <c r="S317" s="72"/>
      <c r="T317" s="72"/>
      <c r="U317" s="72"/>
      <c r="V317" s="72"/>
      <c r="W317" s="72"/>
      <c r="X317" s="72"/>
      <c r="Y317" s="72"/>
      <c r="Z317" s="72"/>
      <c r="AA317" s="74"/>
      <c r="AB317" s="72"/>
      <c r="AC317" s="72"/>
      <c r="AD317" s="72"/>
      <c r="AE317" s="72"/>
      <c r="AF317" s="72"/>
      <c r="AG317" s="337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273"/>
      <c r="AU317" s="72"/>
      <c r="AV317" s="72"/>
      <c r="AW317" s="72"/>
      <c r="AX317" s="72"/>
      <c r="AY317" s="72"/>
      <c r="AZ317" s="75"/>
      <c r="BA317" s="75"/>
      <c r="BB317" s="75"/>
      <c r="BC317" s="72"/>
      <c r="BD317" s="72"/>
      <c r="BE317" s="72"/>
      <c r="BF317" s="72"/>
      <c r="BG317" s="72"/>
      <c r="BH317" s="72"/>
      <c r="BI317" s="72"/>
      <c r="BJ317" s="72"/>
      <c r="BK317" s="72"/>
      <c r="BL317" s="72"/>
      <c r="BM317" s="72"/>
      <c r="BN317" s="72"/>
      <c r="BO317" s="72"/>
      <c r="BP317" s="72"/>
      <c r="BQ317" s="72"/>
      <c r="BR317" s="72"/>
      <c r="BS317" s="72"/>
      <c r="BT317" s="72"/>
      <c r="BU317" s="72"/>
      <c r="BV317" s="72"/>
      <c r="BW317" s="72"/>
      <c r="BX317" s="72"/>
      <c r="BY317" s="72"/>
      <c r="BZ317" s="72"/>
      <c r="CA317" s="72"/>
      <c r="CB317" s="72"/>
      <c r="CC317" s="72"/>
      <c r="CD317" s="72"/>
      <c r="CE317" s="72"/>
      <c r="CF317" s="72"/>
    </row>
    <row r="318" spans="1:84" x14ac:dyDescent="0.2">
      <c r="A318" s="90"/>
      <c r="B318" s="90"/>
      <c r="C318" s="72"/>
      <c r="D318" s="90"/>
      <c r="E318" s="90"/>
      <c r="F318" s="90"/>
      <c r="G318" s="333"/>
      <c r="H318" s="333"/>
      <c r="I318" s="333"/>
      <c r="J318" s="335"/>
      <c r="K318" s="333"/>
      <c r="L318" s="335"/>
      <c r="M318" s="335"/>
      <c r="N318" s="335"/>
      <c r="O318" s="338"/>
      <c r="P318" s="72"/>
      <c r="Q318" s="72"/>
      <c r="S318" s="72"/>
      <c r="T318" s="72"/>
      <c r="U318" s="72"/>
      <c r="V318" s="72"/>
      <c r="W318" s="72"/>
      <c r="X318" s="72"/>
      <c r="Y318" s="72"/>
      <c r="Z318" s="72"/>
      <c r="AA318" s="74"/>
      <c r="AB318" s="72"/>
      <c r="AC318" s="72"/>
      <c r="AD318" s="72"/>
      <c r="AE318" s="72"/>
      <c r="AF318" s="72"/>
      <c r="AG318" s="337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273"/>
      <c r="AU318" s="72"/>
      <c r="AV318" s="72"/>
      <c r="AW318" s="72"/>
      <c r="AX318" s="72"/>
      <c r="AY318" s="72"/>
      <c r="AZ318" s="75"/>
      <c r="BA318" s="75"/>
      <c r="BB318" s="75"/>
      <c r="BC318" s="72"/>
      <c r="BD318" s="72"/>
      <c r="BE318" s="72"/>
      <c r="BF318" s="72"/>
      <c r="BG318" s="72"/>
      <c r="BH318" s="72"/>
      <c r="BI318" s="72"/>
      <c r="BJ318" s="72"/>
      <c r="BK318" s="72"/>
      <c r="BL318" s="72"/>
      <c r="BM318" s="72"/>
      <c r="BN318" s="72"/>
      <c r="BO318" s="72"/>
      <c r="BP318" s="72"/>
      <c r="BQ318" s="72"/>
      <c r="BR318" s="72"/>
      <c r="BS318" s="72"/>
      <c r="BT318" s="72"/>
      <c r="BU318" s="72"/>
      <c r="BV318" s="72"/>
      <c r="BW318" s="72"/>
      <c r="BX318" s="72"/>
      <c r="BY318" s="72"/>
      <c r="BZ318" s="72"/>
      <c r="CA318" s="72"/>
      <c r="CB318" s="72"/>
      <c r="CC318" s="72"/>
      <c r="CD318" s="72"/>
      <c r="CE318" s="72"/>
      <c r="CF318" s="72"/>
    </row>
    <row r="319" spans="1:84" x14ac:dyDescent="0.2">
      <c r="A319" s="90"/>
      <c r="B319" s="90"/>
      <c r="C319" s="72"/>
      <c r="D319" s="90"/>
      <c r="E319" s="90"/>
      <c r="F319" s="90"/>
      <c r="G319" s="333"/>
      <c r="H319" s="333"/>
      <c r="I319" s="333"/>
      <c r="J319" s="335"/>
      <c r="K319" s="333"/>
      <c r="L319" s="335"/>
      <c r="M319" s="335"/>
      <c r="N319" s="335"/>
      <c r="O319" s="338"/>
      <c r="P319" s="72"/>
      <c r="Q319" s="72"/>
      <c r="S319" s="72"/>
      <c r="T319" s="72"/>
      <c r="U319" s="72"/>
      <c r="V319" s="72"/>
      <c r="W319" s="72"/>
      <c r="X319" s="72"/>
      <c r="Y319" s="72"/>
      <c r="Z319" s="72"/>
      <c r="AA319" s="74"/>
      <c r="AB319" s="72"/>
      <c r="AC319" s="72"/>
      <c r="AD319" s="72"/>
      <c r="AE319" s="72"/>
      <c r="AF319" s="72"/>
      <c r="AG319" s="337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273"/>
      <c r="AU319" s="72"/>
      <c r="AV319" s="72"/>
      <c r="AW319" s="72"/>
      <c r="AX319" s="72"/>
      <c r="AY319" s="72"/>
      <c r="AZ319" s="75"/>
      <c r="BA319" s="75"/>
      <c r="BB319" s="75"/>
      <c r="BC319" s="72"/>
      <c r="BD319" s="72"/>
      <c r="BE319" s="72"/>
      <c r="BF319" s="72"/>
      <c r="BG319" s="72"/>
      <c r="BH319" s="72"/>
      <c r="BI319" s="72"/>
      <c r="BJ319" s="72"/>
      <c r="BK319" s="72"/>
      <c r="BL319" s="72"/>
      <c r="BM319" s="72"/>
      <c r="BN319" s="72"/>
      <c r="BO319" s="72"/>
      <c r="BP319" s="72"/>
      <c r="BQ319" s="72"/>
      <c r="BR319" s="72"/>
      <c r="BS319" s="72"/>
      <c r="BT319" s="72"/>
      <c r="BU319" s="72"/>
      <c r="BV319" s="72"/>
      <c r="BW319" s="72"/>
      <c r="BX319" s="72"/>
      <c r="BY319" s="72"/>
      <c r="BZ319" s="72"/>
      <c r="CA319" s="72"/>
      <c r="CB319" s="72"/>
      <c r="CC319" s="72"/>
      <c r="CD319" s="72"/>
      <c r="CE319" s="72"/>
      <c r="CF319" s="72"/>
    </row>
    <row r="320" spans="1:84" x14ac:dyDescent="0.2">
      <c r="A320" s="90"/>
      <c r="B320" s="90"/>
      <c r="C320" s="72"/>
      <c r="D320" s="90"/>
      <c r="E320" s="90"/>
      <c r="F320" s="90"/>
      <c r="G320" s="333"/>
      <c r="H320" s="333"/>
      <c r="I320" s="333"/>
      <c r="J320" s="335"/>
      <c r="K320" s="333"/>
      <c r="L320" s="335"/>
      <c r="M320" s="335"/>
      <c r="N320" s="335"/>
      <c r="O320" s="338"/>
      <c r="P320" s="72"/>
      <c r="Q320" s="72"/>
      <c r="S320" s="72"/>
      <c r="T320" s="72"/>
      <c r="U320" s="72"/>
      <c r="V320" s="72"/>
      <c r="W320" s="72"/>
      <c r="X320" s="72"/>
      <c r="Y320" s="72"/>
      <c r="Z320" s="72"/>
      <c r="AA320" s="74"/>
      <c r="AB320" s="72"/>
      <c r="AC320" s="72"/>
      <c r="AD320" s="72"/>
      <c r="AE320" s="72"/>
      <c r="AF320" s="72"/>
      <c r="AG320" s="337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273"/>
      <c r="AU320" s="72"/>
      <c r="AV320" s="72"/>
      <c r="AW320" s="72"/>
      <c r="AX320" s="72"/>
      <c r="AY320" s="72"/>
      <c r="AZ320" s="75"/>
      <c r="BA320" s="75"/>
      <c r="BB320" s="75"/>
      <c r="BC320" s="72"/>
      <c r="BD320" s="72"/>
      <c r="BE320" s="72"/>
      <c r="BF320" s="72"/>
      <c r="BG320" s="72"/>
      <c r="BH320" s="72"/>
      <c r="BI320" s="72"/>
      <c r="BJ320" s="72"/>
      <c r="BK320" s="72"/>
      <c r="BL320" s="72"/>
      <c r="BM320" s="72"/>
      <c r="BN320" s="72"/>
      <c r="BO320" s="72"/>
      <c r="BP320" s="72"/>
      <c r="BQ320" s="72"/>
      <c r="BR320" s="72"/>
      <c r="BS320" s="72"/>
      <c r="BT320" s="72"/>
      <c r="BU320" s="72"/>
      <c r="BV320" s="72"/>
      <c r="BW320" s="72"/>
      <c r="BX320" s="72"/>
      <c r="BY320" s="72"/>
      <c r="BZ320" s="72"/>
      <c r="CA320" s="72"/>
      <c r="CB320" s="72"/>
      <c r="CC320" s="72"/>
      <c r="CD320" s="72"/>
      <c r="CE320" s="72"/>
      <c r="CF320" s="72"/>
    </row>
    <row r="321" spans="1:84" x14ac:dyDescent="0.2">
      <c r="A321" s="90"/>
      <c r="B321" s="90"/>
      <c r="C321" s="72"/>
      <c r="D321" s="90"/>
      <c r="E321" s="90"/>
      <c r="F321" s="90"/>
      <c r="G321" s="333"/>
      <c r="H321" s="333"/>
      <c r="I321" s="333"/>
      <c r="J321" s="335"/>
      <c r="K321" s="333"/>
      <c r="L321" s="335"/>
      <c r="M321" s="335"/>
      <c r="N321" s="335"/>
      <c r="O321" s="338"/>
      <c r="P321" s="72"/>
      <c r="Q321" s="72"/>
      <c r="S321" s="72"/>
      <c r="T321" s="72"/>
      <c r="U321" s="72"/>
      <c r="V321" s="72"/>
      <c r="W321" s="72"/>
      <c r="X321" s="72"/>
      <c r="Y321" s="72"/>
      <c r="Z321" s="72"/>
      <c r="AA321" s="74"/>
      <c r="AB321" s="72"/>
      <c r="AC321" s="72"/>
      <c r="AD321" s="72"/>
      <c r="AE321" s="72"/>
      <c r="AF321" s="72"/>
      <c r="AG321" s="337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273"/>
      <c r="AU321" s="72"/>
      <c r="AV321" s="72"/>
      <c r="AW321" s="72"/>
      <c r="AX321" s="72"/>
      <c r="AY321" s="72"/>
      <c r="AZ321" s="75"/>
      <c r="BA321" s="75"/>
      <c r="BB321" s="75"/>
      <c r="BC321" s="72"/>
      <c r="BD321" s="72"/>
      <c r="BE321" s="72"/>
      <c r="BF321" s="72"/>
      <c r="BG321" s="72"/>
      <c r="BH321" s="72"/>
      <c r="BI321" s="72"/>
      <c r="BJ321" s="72"/>
      <c r="BK321" s="72"/>
      <c r="BL321" s="72"/>
      <c r="BM321" s="72"/>
      <c r="BN321" s="72"/>
      <c r="BO321" s="72"/>
      <c r="BP321" s="72"/>
      <c r="BQ321" s="72"/>
      <c r="BR321" s="72"/>
      <c r="BS321" s="72"/>
      <c r="BT321" s="72"/>
      <c r="BU321" s="72"/>
      <c r="BV321" s="72"/>
      <c r="BW321" s="72"/>
      <c r="BX321" s="72"/>
      <c r="BY321" s="72"/>
      <c r="BZ321" s="72"/>
      <c r="CA321" s="72"/>
      <c r="CB321" s="72"/>
      <c r="CC321" s="72"/>
      <c r="CD321" s="72"/>
      <c r="CE321" s="72"/>
      <c r="CF321" s="72"/>
    </row>
    <row r="322" spans="1:84" x14ac:dyDescent="0.2">
      <c r="A322" s="90"/>
      <c r="B322" s="90"/>
      <c r="C322" s="72"/>
      <c r="D322" s="90"/>
      <c r="E322" s="90"/>
      <c r="F322" s="90"/>
      <c r="G322" s="333"/>
      <c r="H322" s="333"/>
      <c r="I322" s="333"/>
      <c r="J322" s="335"/>
      <c r="K322" s="333"/>
      <c r="L322" s="335"/>
      <c r="M322" s="335"/>
      <c r="N322" s="335"/>
      <c r="O322" s="338"/>
      <c r="P322" s="72"/>
      <c r="Q322" s="72"/>
      <c r="S322" s="72"/>
      <c r="T322" s="72"/>
      <c r="U322" s="72"/>
      <c r="V322" s="72"/>
      <c r="W322" s="72"/>
      <c r="X322" s="72"/>
      <c r="Y322" s="72"/>
      <c r="Z322" s="72"/>
      <c r="AA322" s="74"/>
      <c r="AB322" s="72"/>
      <c r="AC322" s="72"/>
      <c r="AD322" s="72"/>
      <c r="AE322" s="72"/>
      <c r="AF322" s="72"/>
      <c r="AG322" s="337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273"/>
      <c r="AU322" s="72"/>
      <c r="AV322" s="72"/>
      <c r="AW322" s="72"/>
      <c r="AX322" s="72"/>
      <c r="AY322" s="72"/>
      <c r="AZ322" s="75"/>
      <c r="BA322" s="75"/>
      <c r="BB322" s="75"/>
      <c r="BC322" s="72"/>
      <c r="BD322" s="72"/>
      <c r="BE322" s="72"/>
      <c r="BF322" s="72"/>
      <c r="BG322" s="72"/>
      <c r="BH322" s="72"/>
      <c r="BI322" s="72"/>
      <c r="BJ322" s="72"/>
      <c r="BK322" s="72"/>
      <c r="BL322" s="72"/>
      <c r="BM322" s="72"/>
      <c r="BN322" s="72"/>
      <c r="BO322" s="72"/>
      <c r="BP322" s="72"/>
      <c r="BQ322" s="72"/>
      <c r="BR322" s="72"/>
      <c r="BS322" s="72"/>
      <c r="BT322" s="72"/>
      <c r="BU322" s="72"/>
      <c r="BV322" s="72"/>
      <c r="BW322" s="72"/>
      <c r="BX322" s="72"/>
      <c r="BY322" s="72"/>
      <c r="BZ322" s="72"/>
      <c r="CA322" s="72"/>
      <c r="CB322" s="72"/>
      <c r="CC322" s="72"/>
      <c r="CD322" s="72"/>
      <c r="CE322" s="72"/>
      <c r="CF322" s="72"/>
    </row>
    <row r="323" spans="1:84" x14ac:dyDescent="0.2">
      <c r="A323" s="90"/>
      <c r="B323" s="90"/>
      <c r="C323" s="72"/>
      <c r="D323" s="90"/>
      <c r="E323" s="90"/>
      <c r="F323" s="90"/>
      <c r="G323" s="333"/>
      <c r="H323" s="333"/>
      <c r="I323" s="333"/>
      <c r="J323" s="335"/>
      <c r="K323" s="333"/>
      <c r="L323" s="335"/>
      <c r="M323" s="335"/>
      <c r="N323" s="335"/>
      <c r="O323" s="338"/>
      <c r="P323" s="72"/>
      <c r="Q323" s="72"/>
      <c r="S323" s="72"/>
      <c r="T323" s="72"/>
      <c r="U323" s="72"/>
      <c r="V323" s="72"/>
      <c r="W323" s="72"/>
      <c r="X323" s="72"/>
      <c r="Y323" s="72"/>
      <c r="Z323" s="72"/>
      <c r="AA323" s="74"/>
      <c r="AB323" s="72"/>
      <c r="AC323" s="72"/>
      <c r="AD323" s="72"/>
      <c r="AE323" s="72"/>
      <c r="AF323" s="72"/>
      <c r="AG323" s="337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273"/>
      <c r="AU323" s="72"/>
      <c r="AV323" s="72"/>
      <c r="AW323" s="72"/>
      <c r="AX323" s="72"/>
      <c r="AY323" s="72"/>
      <c r="AZ323" s="75"/>
      <c r="BA323" s="75"/>
      <c r="BB323" s="75"/>
      <c r="BC323" s="72"/>
      <c r="BD323" s="72"/>
      <c r="BE323" s="72"/>
      <c r="BF323" s="72"/>
      <c r="BG323" s="72"/>
      <c r="BH323" s="72"/>
      <c r="BI323" s="72"/>
      <c r="BJ323" s="72"/>
      <c r="BK323" s="72"/>
      <c r="BL323" s="72"/>
      <c r="BM323" s="72"/>
      <c r="BN323" s="72"/>
      <c r="BO323" s="72"/>
      <c r="BP323" s="72"/>
      <c r="BQ323" s="72"/>
      <c r="BR323" s="72"/>
      <c r="BS323" s="72"/>
      <c r="BT323" s="72"/>
      <c r="BU323" s="72"/>
      <c r="BV323" s="72"/>
      <c r="BW323" s="72"/>
      <c r="BX323" s="72"/>
      <c r="BY323" s="72"/>
      <c r="BZ323" s="72"/>
      <c r="CA323" s="72"/>
      <c r="CB323" s="72"/>
      <c r="CC323" s="72"/>
      <c r="CD323" s="72"/>
      <c r="CE323" s="72"/>
      <c r="CF323" s="72"/>
    </row>
    <row r="324" spans="1:84" x14ac:dyDescent="0.2">
      <c r="A324" s="90"/>
      <c r="B324" s="90"/>
      <c r="C324" s="72"/>
      <c r="D324" s="90"/>
      <c r="E324" s="90"/>
      <c r="F324" s="90"/>
      <c r="G324" s="333"/>
      <c r="H324" s="333"/>
      <c r="I324" s="333"/>
      <c r="J324" s="335"/>
      <c r="K324" s="333"/>
      <c r="L324" s="335"/>
      <c r="M324" s="335"/>
      <c r="N324" s="335"/>
      <c r="O324" s="338"/>
      <c r="P324" s="72"/>
      <c r="Q324" s="72"/>
      <c r="S324" s="72"/>
      <c r="T324" s="72"/>
      <c r="U324" s="72"/>
      <c r="V324" s="72"/>
      <c r="W324" s="72"/>
      <c r="X324" s="72"/>
      <c r="Y324" s="72"/>
      <c r="Z324" s="72"/>
      <c r="AA324" s="74"/>
      <c r="AB324" s="72"/>
      <c r="AC324" s="72"/>
      <c r="AD324" s="72"/>
      <c r="AE324" s="72"/>
      <c r="AF324" s="72"/>
      <c r="AG324" s="337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273"/>
      <c r="AU324" s="72"/>
      <c r="AV324" s="72"/>
      <c r="AW324" s="72"/>
      <c r="AX324" s="72"/>
      <c r="AY324" s="72"/>
      <c r="AZ324" s="75"/>
      <c r="BA324" s="75"/>
      <c r="BB324" s="75"/>
      <c r="BC324" s="72"/>
      <c r="BD324" s="72"/>
      <c r="BE324" s="72"/>
      <c r="BF324" s="72"/>
      <c r="BG324" s="72"/>
      <c r="BH324" s="72"/>
      <c r="BI324" s="72"/>
      <c r="BJ324" s="72"/>
      <c r="BK324" s="72"/>
      <c r="BL324" s="72"/>
      <c r="BM324" s="72"/>
      <c r="BN324" s="72"/>
      <c r="BO324" s="72"/>
      <c r="BP324" s="72"/>
      <c r="BQ324" s="72"/>
      <c r="BR324" s="72"/>
      <c r="BS324" s="72"/>
      <c r="BT324" s="72"/>
      <c r="BU324" s="72"/>
      <c r="BV324" s="72"/>
      <c r="BW324" s="72"/>
      <c r="BX324" s="72"/>
      <c r="BY324" s="72"/>
      <c r="BZ324" s="72"/>
      <c r="CA324" s="72"/>
      <c r="CB324" s="72"/>
      <c r="CC324" s="72"/>
      <c r="CD324" s="72"/>
      <c r="CE324" s="72"/>
      <c r="CF324" s="72"/>
    </row>
    <row r="325" spans="1:84" x14ac:dyDescent="0.2">
      <c r="A325" s="90"/>
      <c r="B325" s="90"/>
      <c r="C325" s="72"/>
      <c r="D325" s="90"/>
      <c r="E325" s="90"/>
      <c r="F325" s="90"/>
      <c r="G325" s="333"/>
      <c r="H325" s="333"/>
      <c r="I325" s="333"/>
      <c r="J325" s="335"/>
      <c r="K325" s="333"/>
      <c r="L325" s="335"/>
      <c r="M325" s="335"/>
      <c r="N325" s="335"/>
      <c r="O325" s="338"/>
      <c r="P325" s="72"/>
      <c r="Q325" s="72"/>
      <c r="S325" s="72"/>
      <c r="T325" s="72"/>
      <c r="U325" s="72"/>
      <c r="V325" s="72"/>
      <c r="W325" s="72"/>
      <c r="X325" s="72"/>
      <c r="Y325" s="72"/>
      <c r="Z325" s="72"/>
      <c r="AA325" s="74"/>
      <c r="AB325" s="72"/>
      <c r="AC325" s="72"/>
      <c r="AD325" s="72"/>
      <c r="AE325" s="72"/>
      <c r="AF325" s="72"/>
      <c r="AG325" s="337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273"/>
      <c r="AU325" s="72"/>
      <c r="AV325" s="72"/>
      <c r="AW325" s="72"/>
      <c r="AX325" s="72"/>
      <c r="AY325" s="72"/>
      <c r="AZ325" s="75"/>
      <c r="BA325" s="75"/>
      <c r="BB325" s="75"/>
      <c r="BC325" s="72"/>
      <c r="BD325" s="72"/>
      <c r="BE325" s="72"/>
      <c r="BF325" s="72"/>
      <c r="BG325" s="72"/>
      <c r="BH325" s="72"/>
      <c r="BI325" s="72"/>
      <c r="BJ325" s="72"/>
      <c r="BK325" s="72"/>
      <c r="BL325" s="72"/>
      <c r="BM325" s="72"/>
      <c r="BN325" s="72"/>
      <c r="BO325" s="72"/>
      <c r="BP325" s="72"/>
      <c r="BQ325" s="72"/>
      <c r="BR325" s="72"/>
      <c r="BS325" s="72"/>
      <c r="BT325" s="72"/>
      <c r="BU325" s="72"/>
      <c r="BV325" s="72"/>
      <c r="BW325" s="72"/>
      <c r="BX325" s="72"/>
      <c r="BY325" s="72"/>
      <c r="BZ325" s="72"/>
      <c r="CA325" s="72"/>
      <c r="CB325" s="72"/>
      <c r="CC325" s="72"/>
      <c r="CD325" s="72"/>
      <c r="CE325" s="72"/>
      <c r="CF325" s="72"/>
    </row>
    <row r="326" spans="1:84" x14ac:dyDescent="0.2">
      <c r="A326" s="90"/>
      <c r="B326" s="90"/>
      <c r="C326" s="72"/>
      <c r="D326" s="90"/>
      <c r="E326" s="90"/>
      <c r="F326" s="90"/>
      <c r="G326" s="333"/>
      <c r="H326" s="333"/>
      <c r="I326" s="333"/>
      <c r="J326" s="335"/>
      <c r="K326" s="333"/>
      <c r="L326" s="335"/>
      <c r="M326" s="335"/>
      <c r="N326" s="335"/>
      <c r="O326" s="338"/>
      <c r="P326" s="72"/>
      <c r="Q326" s="72"/>
      <c r="S326" s="72"/>
      <c r="T326" s="72"/>
      <c r="U326" s="72"/>
      <c r="V326" s="72"/>
      <c r="W326" s="72"/>
      <c r="X326" s="72"/>
      <c r="Y326" s="72"/>
      <c r="Z326" s="72"/>
      <c r="AA326" s="74"/>
      <c r="AB326" s="72"/>
      <c r="AC326" s="72"/>
      <c r="AD326" s="72"/>
      <c r="AE326" s="72"/>
      <c r="AF326" s="72"/>
      <c r="AG326" s="337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273"/>
      <c r="AU326" s="72"/>
      <c r="AV326" s="72"/>
      <c r="AW326" s="72"/>
      <c r="AX326" s="72"/>
      <c r="AY326" s="72"/>
      <c r="AZ326" s="75"/>
      <c r="BA326" s="75"/>
      <c r="BB326" s="75"/>
      <c r="BC326" s="72"/>
      <c r="BD326" s="72"/>
      <c r="BE326" s="72"/>
      <c r="BF326" s="72"/>
      <c r="BG326" s="72"/>
      <c r="BH326" s="72"/>
      <c r="BI326" s="72"/>
      <c r="BJ326" s="72"/>
      <c r="BK326" s="72"/>
      <c r="BL326" s="72"/>
      <c r="BM326" s="72"/>
      <c r="BN326" s="72"/>
      <c r="BO326" s="72"/>
      <c r="BP326" s="72"/>
      <c r="BQ326" s="72"/>
      <c r="BR326" s="72"/>
      <c r="BS326" s="72"/>
      <c r="BT326" s="72"/>
      <c r="BU326" s="72"/>
      <c r="BV326" s="72"/>
      <c r="BW326" s="72"/>
      <c r="BX326" s="72"/>
      <c r="BY326" s="72"/>
      <c r="BZ326" s="72"/>
      <c r="CA326" s="72"/>
      <c r="CB326" s="72"/>
      <c r="CC326" s="72"/>
      <c r="CD326" s="72"/>
      <c r="CE326" s="72"/>
      <c r="CF326" s="72"/>
    </row>
    <row r="327" spans="1:84" x14ac:dyDescent="0.2">
      <c r="A327" s="90"/>
      <c r="B327" s="90"/>
      <c r="C327" s="72"/>
      <c r="D327" s="90"/>
      <c r="E327" s="90"/>
      <c r="F327" s="90"/>
      <c r="G327" s="333"/>
      <c r="H327" s="333"/>
      <c r="I327" s="333"/>
      <c r="J327" s="335"/>
      <c r="K327" s="333"/>
      <c r="L327" s="335"/>
      <c r="M327" s="335"/>
      <c r="N327" s="335"/>
      <c r="O327" s="338"/>
      <c r="P327" s="72"/>
      <c r="Q327" s="72"/>
      <c r="S327" s="72"/>
      <c r="T327" s="72"/>
      <c r="U327" s="72"/>
      <c r="V327" s="72"/>
      <c r="W327" s="72"/>
      <c r="X327" s="72"/>
      <c r="Y327" s="72"/>
      <c r="Z327" s="72"/>
      <c r="AA327" s="74"/>
      <c r="AB327" s="72"/>
      <c r="AC327" s="72"/>
      <c r="AD327" s="72"/>
      <c r="AE327" s="72"/>
      <c r="AF327" s="72"/>
      <c r="AG327" s="337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273"/>
      <c r="AU327" s="72"/>
      <c r="AV327" s="72"/>
      <c r="AW327" s="72"/>
      <c r="AX327" s="72"/>
      <c r="AY327" s="72"/>
      <c r="AZ327" s="75"/>
      <c r="BA327" s="75"/>
      <c r="BB327" s="75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  <c r="BO327" s="72"/>
      <c r="BP327" s="72"/>
      <c r="BQ327" s="72"/>
      <c r="BR327" s="72"/>
      <c r="BS327" s="72"/>
      <c r="BT327" s="72"/>
      <c r="BU327" s="72"/>
      <c r="BV327" s="72"/>
      <c r="BW327" s="72"/>
      <c r="BX327" s="72"/>
      <c r="BY327" s="72"/>
      <c r="BZ327" s="72"/>
      <c r="CA327" s="72"/>
      <c r="CB327" s="72"/>
      <c r="CC327" s="72"/>
      <c r="CD327" s="72"/>
      <c r="CE327" s="72"/>
      <c r="CF327" s="72"/>
    </row>
    <row r="328" spans="1:84" x14ac:dyDescent="0.2">
      <c r="A328" s="90"/>
      <c r="B328" s="90"/>
      <c r="C328" s="72"/>
      <c r="D328" s="90"/>
      <c r="E328" s="90"/>
      <c r="F328" s="90"/>
      <c r="G328" s="333"/>
      <c r="H328" s="333"/>
      <c r="I328" s="333"/>
      <c r="J328" s="335"/>
      <c r="K328" s="333"/>
      <c r="L328" s="335"/>
      <c r="M328" s="335"/>
      <c r="N328" s="335"/>
      <c r="O328" s="338"/>
      <c r="P328" s="72"/>
      <c r="Q328" s="72"/>
      <c r="S328" s="72"/>
      <c r="T328" s="72"/>
      <c r="U328" s="72"/>
      <c r="V328" s="72"/>
      <c r="W328" s="72"/>
      <c r="X328" s="72"/>
      <c r="Y328" s="72"/>
      <c r="Z328" s="72"/>
      <c r="AA328" s="74"/>
      <c r="AB328" s="72"/>
      <c r="AC328" s="72"/>
      <c r="AD328" s="72"/>
      <c r="AE328" s="72"/>
      <c r="AF328" s="72"/>
      <c r="AG328" s="337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273"/>
      <c r="AU328" s="72"/>
      <c r="AV328" s="72"/>
      <c r="AW328" s="72"/>
      <c r="AX328" s="72"/>
      <c r="AY328" s="72"/>
      <c r="AZ328" s="75"/>
      <c r="BA328" s="75"/>
      <c r="BB328" s="75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  <c r="BO328" s="72"/>
      <c r="BP328" s="72"/>
      <c r="BQ328" s="72"/>
      <c r="BR328" s="72"/>
      <c r="BS328" s="72"/>
      <c r="BT328" s="72"/>
      <c r="BU328" s="72"/>
      <c r="BV328" s="72"/>
      <c r="BW328" s="72"/>
      <c r="BX328" s="72"/>
      <c r="BY328" s="72"/>
      <c r="BZ328" s="72"/>
      <c r="CA328" s="72"/>
      <c r="CB328" s="72"/>
      <c r="CC328" s="72"/>
      <c r="CD328" s="72"/>
      <c r="CE328" s="72"/>
      <c r="CF328" s="72"/>
    </row>
    <row r="329" spans="1:84" x14ac:dyDescent="0.2">
      <c r="A329" s="90"/>
      <c r="B329" s="90"/>
      <c r="C329" s="72"/>
      <c r="D329" s="90"/>
      <c r="E329" s="90"/>
      <c r="F329" s="90"/>
      <c r="G329" s="333"/>
      <c r="H329" s="333"/>
      <c r="I329" s="333"/>
      <c r="J329" s="335"/>
      <c r="K329" s="333"/>
      <c r="L329" s="335"/>
      <c r="M329" s="335"/>
      <c r="N329" s="335"/>
      <c r="O329" s="338"/>
      <c r="P329" s="72"/>
      <c r="Q329" s="72"/>
      <c r="S329" s="72"/>
      <c r="T329" s="72"/>
      <c r="U329" s="72"/>
      <c r="V329" s="72"/>
      <c r="W329" s="72"/>
      <c r="X329" s="72"/>
      <c r="Y329" s="72"/>
      <c r="Z329" s="72"/>
      <c r="AA329" s="74"/>
      <c r="AB329" s="72"/>
      <c r="AC329" s="72"/>
      <c r="AD329" s="72"/>
      <c r="AE329" s="72"/>
      <c r="AF329" s="72"/>
      <c r="AG329" s="337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273"/>
      <c r="AU329" s="72"/>
      <c r="AV329" s="72"/>
      <c r="AW329" s="72"/>
      <c r="AX329" s="72"/>
      <c r="AY329" s="72"/>
      <c r="AZ329" s="75"/>
      <c r="BA329" s="75"/>
      <c r="BB329" s="75"/>
      <c r="BC329" s="72"/>
      <c r="BD329" s="72"/>
      <c r="BE329" s="72"/>
      <c r="BF329" s="72"/>
      <c r="BG329" s="72"/>
      <c r="BH329" s="72"/>
      <c r="BI329" s="72"/>
      <c r="BJ329" s="72"/>
      <c r="BK329" s="72"/>
      <c r="BL329" s="72"/>
      <c r="BM329" s="72"/>
      <c r="BN329" s="72"/>
      <c r="BO329" s="72"/>
      <c r="BP329" s="72"/>
      <c r="BQ329" s="72"/>
      <c r="BR329" s="72"/>
      <c r="BS329" s="72"/>
      <c r="BT329" s="72"/>
      <c r="BU329" s="72"/>
      <c r="BV329" s="72"/>
      <c r="BW329" s="72"/>
      <c r="BX329" s="72"/>
      <c r="BY329" s="72"/>
      <c r="BZ329" s="72"/>
      <c r="CA329" s="72"/>
      <c r="CB329" s="72"/>
      <c r="CC329" s="72"/>
      <c r="CD329" s="72"/>
      <c r="CE329" s="72"/>
      <c r="CF329" s="72"/>
    </row>
    <row r="330" spans="1:84" x14ac:dyDescent="0.2">
      <c r="A330" s="90"/>
      <c r="B330" s="90"/>
      <c r="C330" s="72"/>
      <c r="D330" s="90"/>
      <c r="E330" s="90"/>
      <c r="F330" s="90"/>
      <c r="G330" s="333"/>
      <c r="H330" s="333"/>
      <c r="I330" s="333"/>
      <c r="J330" s="335"/>
      <c r="K330" s="333"/>
      <c r="L330" s="335"/>
      <c r="M330" s="335"/>
      <c r="N330" s="335"/>
      <c r="O330" s="338"/>
      <c r="P330" s="72"/>
      <c r="Q330" s="72"/>
      <c r="S330" s="72"/>
      <c r="T330" s="72"/>
      <c r="U330" s="72"/>
      <c r="V330" s="72"/>
      <c r="W330" s="72"/>
      <c r="X330" s="72"/>
      <c r="Y330" s="72"/>
      <c r="Z330" s="72"/>
      <c r="AA330" s="74"/>
      <c r="AB330" s="72"/>
      <c r="AC330" s="72"/>
      <c r="AD330" s="72"/>
      <c r="AE330" s="72"/>
      <c r="AF330" s="72"/>
      <c r="AG330" s="337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273"/>
      <c r="AU330" s="72"/>
      <c r="AV330" s="72"/>
      <c r="AW330" s="72"/>
      <c r="AX330" s="72"/>
      <c r="AY330" s="72"/>
      <c r="AZ330" s="75"/>
      <c r="BA330" s="75"/>
      <c r="BB330" s="75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  <c r="BO330" s="72"/>
      <c r="BP330" s="72"/>
      <c r="BQ330" s="72"/>
      <c r="BR330" s="72"/>
      <c r="BS330" s="72"/>
      <c r="BT330" s="72"/>
      <c r="BU330" s="72"/>
      <c r="BV330" s="72"/>
      <c r="BW330" s="72"/>
      <c r="BX330" s="72"/>
      <c r="BY330" s="72"/>
      <c r="BZ330" s="72"/>
      <c r="CA330" s="72"/>
      <c r="CB330" s="72"/>
      <c r="CC330" s="72"/>
      <c r="CD330" s="72"/>
      <c r="CE330" s="72"/>
      <c r="CF330" s="72"/>
    </row>
    <row r="331" spans="1:84" x14ac:dyDescent="0.2">
      <c r="A331" s="90"/>
      <c r="B331" s="90"/>
      <c r="C331" s="72"/>
      <c r="D331" s="90"/>
      <c r="E331" s="90"/>
      <c r="F331" s="90"/>
      <c r="G331" s="333"/>
      <c r="H331" s="333"/>
      <c r="I331" s="333"/>
      <c r="J331" s="335"/>
      <c r="K331" s="333"/>
      <c r="L331" s="335"/>
      <c r="M331" s="335"/>
      <c r="N331" s="335"/>
      <c r="O331" s="338"/>
      <c r="P331" s="72"/>
      <c r="Q331" s="72"/>
      <c r="S331" s="72"/>
      <c r="T331" s="72"/>
      <c r="U331" s="72"/>
      <c r="V331" s="72"/>
      <c r="W331" s="72"/>
      <c r="X331" s="72"/>
      <c r="Y331" s="72"/>
      <c r="Z331" s="72"/>
      <c r="AA331" s="74"/>
      <c r="AB331" s="72"/>
      <c r="AC331" s="72"/>
      <c r="AD331" s="72"/>
      <c r="AE331" s="72"/>
      <c r="AF331" s="72"/>
      <c r="AG331" s="337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273"/>
      <c r="AU331" s="72"/>
      <c r="AV331" s="72"/>
      <c r="AW331" s="72"/>
      <c r="AX331" s="72"/>
      <c r="AY331" s="72"/>
      <c r="AZ331" s="75"/>
      <c r="BA331" s="75"/>
      <c r="BB331" s="75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</row>
    <row r="332" spans="1:84" x14ac:dyDescent="0.2">
      <c r="A332" s="90"/>
      <c r="B332" s="90"/>
      <c r="C332" s="72"/>
      <c r="D332" s="90"/>
      <c r="E332" s="90"/>
      <c r="F332" s="90"/>
      <c r="G332" s="333"/>
      <c r="H332" s="333"/>
      <c r="I332" s="333"/>
      <c r="J332" s="335"/>
      <c r="K332" s="333"/>
      <c r="L332" s="335"/>
      <c r="M332" s="335"/>
      <c r="N332" s="335"/>
      <c r="O332" s="338"/>
      <c r="P332" s="72"/>
      <c r="Q332" s="72"/>
      <c r="S332" s="72"/>
      <c r="T332" s="72"/>
      <c r="U332" s="72"/>
      <c r="V332" s="72"/>
      <c r="W332" s="72"/>
      <c r="X332" s="72"/>
      <c r="Y332" s="72"/>
      <c r="Z332" s="72"/>
      <c r="AA332" s="74"/>
      <c r="AB332" s="72"/>
      <c r="AC332" s="72"/>
      <c r="AD332" s="72"/>
      <c r="AE332" s="72"/>
      <c r="AF332" s="72"/>
      <c r="AG332" s="337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273"/>
      <c r="AU332" s="72"/>
      <c r="AV332" s="72"/>
      <c r="AW332" s="72"/>
      <c r="AX332" s="72"/>
      <c r="AY332" s="72"/>
      <c r="AZ332" s="75"/>
      <c r="BA332" s="75"/>
      <c r="BB332" s="75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</row>
    <row r="333" spans="1:84" x14ac:dyDescent="0.2">
      <c r="A333" s="90"/>
      <c r="B333" s="90"/>
      <c r="C333" s="72"/>
      <c r="D333" s="90"/>
      <c r="E333" s="90"/>
      <c r="F333" s="90"/>
      <c r="G333" s="333"/>
      <c r="H333" s="333"/>
      <c r="I333" s="333"/>
      <c r="J333" s="335"/>
      <c r="K333" s="333"/>
      <c r="L333" s="335"/>
      <c r="M333" s="335"/>
      <c r="N333" s="335"/>
      <c r="O333" s="338"/>
      <c r="P333" s="72"/>
      <c r="Q333" s="72"/>
      <c r="S333" s="72"/>
      <c r="T333" s="72"/>
      <c r="U333" s="72"/>
      <c r="V333" s="72"/>
      <c r="W333" s="72"/>
      <c r="X333" s="72"/>
      <c r="Y333" s="72"/>
      <c r="Z333" s="72"/>
      <c r="AA333" s="74"/>
      <c r="AB333" s="72"/>
      <c r="AC333" s="72"/>
      <c r="AD333" s="72"/>
      <c r="AE333" s="72"/>
      <c r="AF333" s="72"/>
      <c r="AG333" s="337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273"/>
      <c r="AU333" s="72"/>
      <c r="AV333" s="72"/>
      <c r="AW333" s="72"/>
      <c r="AX333" s="72"/>
      <c r="AY333" s="72"/>
      <c r="AZ333" s="75"/>
      <c r="BA333" s="75"/>
      <c r="BB333" s="75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</row>
    <row r="334" spans="1:84" x14ac:dyDescent="0.2">
      <c r="A334" s="90"/>
      <c r="B334" s="90"/>
      <c r="C334" s="72"/>
      <c r="D334" s="90"/>
      <c r="E334" s="90"/>
      <c r="F334" s="90"/>
      <c r="G334" s="333"/>
      <c r="H334" s="333"/>
      <c r="I334" s="333"/>
      <c r="J334" s="335"/>
      <c r="K334" s="333"/>
      <c r="L334" s="335"/>
      <c r="M334" s="335"/>
      <c r="N334" s="335"/>
      <c r="O334" s="338"/>
      <c r="P334" s="72"/>
      <c r="Q334" s="72"/>
      <c r="S334" s="72"/>
      <c r="T334" s="72"/>
      <c r="U334" s="72"/>
      <c r="V334" s="72"/>
      <c r="W334" s="72"/>
      <c r="X334" s="72"/>
      <c r="Y334" s="72"/>
      <c r="Z334" s="72"/>
      <c r="AA334" s="74"/>
      <c r="AB334" s="72"/>
      <c r="AC334" s="72"/>
      <c r="AD334" s="72"/>
      <c r="AE334" s="72"/>
      <c r="AF334" s="72"/>
      <c r="AG334" s="337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273"/>
      <c r="AU334" s="72"/>
      <c r="AV334" s="72"/>
      <c r="AW334" s="72"/>
      <c r="AX334" s="72"/>
      <c r="AY334" s="72"/>
      <c r="AZ334" s="75"/>
      <c r="BA334" s="75"/>
      <c r="BB334" s="75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</row>
    <row r="335" spans="1:84" x14ac:dyDescent="0.2">
      <c r="A335" s="90"/>
      <c r="B335" s="90"/>
      <c r="C335" s="72"/>
      <c r="D335" s="90"/>
      <c r="E335" s="90"/>
      <c r="F335" s="90"/>
      <c r="G335" s="333"/>
      <c r="H335" s="333"/>
      <c r="I335" s="333"/>
      <c r="J335" s="335"/>
      <c r="K335" s="333"/>
      <c r="L335" s="335"/>
      <c r="M335" s="335"/>
      <c r="N335" s="335"/>
      <c r="O335" s="338"/>
      <c r="P335" s="72"/>
      <c r="Q335" s="72"/>
      <c r="S335" s="72"/>
      <c r="T335" s="72"/>
      <c r="U335" s="72"/>
      <c r="V335" s="72"/>
      <c r="W335" s="72"/>
      <c r="X335" s="72"/>
      <c r="Y335" s="72"/>
      <c r="Z335" s="72"/>
      <c r="AA335" s="74"/>
      <c r="AB335" s="72"/>
      <c r="AC335" s="72"/>
      <c r="AD335" s="72"/>
      <c r="AE335" s="72"/>
      <c r="AF335" s="72"/>
      <c r="AG335" s="337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273"/>
      <c r="AU335" s="72"/>
      <c r="AV335" s="72"/>
      <c r="AW335" s="72"/>
      <c r="AX335" s="72"/>
      <c r="AY335" s="72"/>
      <c r="AZ335" s="75"/>
      <c r="BA335" s="75"/>
      <c r="BB335" s="75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</row>
    <row r="336" spans="1:84" x14ac:dyDescent="0.2">
      <c r="A336" s="90"/>
      <c r="B336" s="90"/>
      <c r="C336" s="72"/>
      <c r="D336" s="90"/>
      <c r="E336" s="90"/>
      <c r="F336" s="90"/>
      <c r="G336" s="333"/>
      <c r="H336" s="333"/>
      <c r="I336" s="333"/>
      <c r="J336" s="335"/>
      <c r="K336" s="333"/>
      <c r="L336" s="335"/>
      <c r="M336" s="335"/>
      <c r="N336" s="335"/>
      <c r="O336" s="338"/>
      <c r="P336" s="72"/>
      <c r="Q336" s="72"/>
      <c r="S336" s="72"/>
      <c r="T336" s="72"/>
      <c r="U336" s="72"/>
      <c r="V336" s="72"/>
      <c r="W336" s="72"/>
      <c r="X336" s="72"/>
      <c r="Y336" s="72"/>
      <c r="Z336" s="72"/>
      <c r="AA336" s="74"/>
      <c r="AB336" s="72"/>
      <c r="AC336" s="72"/>
      <c r="AD336" s="72"/>
      <c r="AE336" s="72"/>
      <c r="AF336" s="72"/>
      <c r="AG336" s="337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273"/>
      <c r="AU336" s="72"/>
      <c r="AV336" s="72"/>
      <c r="AW336" s="72"/>
      <c r="AX336" s="72"/>
      <c r="AY336" s="72"/>
      <c r="AZ336" s="75"/>
      <c r="BA336" s="75"/>
      <c r="BB336" s="75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</row>
    <row r="337" spans="1:84" x14ac:dyDescent="0.2">
      <c r="A337" s="90"/>
      <c r="B337" s="90"/>
      <c r="C337" s="72"/>
      <c r="D337" s="90"/>
      <c r="E337" s="90"/>
      <c r="F337" s="90"/>
      <c r="G337" s="333"/>
      <c r="H337" s="333"/>
      <c r="I337" s="333"/>
      <c r="J337" s="335"/>
      <c r="K337" s="333"/>
      <c r="L337" s="335"/>
      <c r="M337" s="335"/>
      <c r="N337" s="335"/>
      <c r="O337" s="338"/>
      <c r="P337" s="72"/>
      <c r="Q337" s="72"/>
      <c r="S337" s="72"/>
      <c r="T337" s="72"/>
      <c r="U337" s="72"/>
      <c r="V337" s="72"/>
      <c r="W337" s="72"/>
      <c r="X337" s="72"/>
      <c r="Y337" s="72"/>
      <c r="Z337" s="72"/>
      <c r="AA337" s="74"/>
      <c r="AB337" s="72"/>
      <c r="AC337" s="72"/>
      <c r="AD337" s="72"/>
      <c r="AE337" s="72"/>
      <c r="AF337" s="72"/>
      <c r="AG337" s="337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273"/>
      <c r="AU337" s="72"/>
      <c r="AV337" s="72"/>
      <c r="AW337" s="72"/>
      <c r="AX337" s="72"/>
      <c r="AY337" s="72"/>
      <c r="AZ337" s="75"/>
      <c r="BA337" s="75"/>
      <c r="BB337" s="75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</row>
    <row r="338" spans="1:84" x14ac:dyDescent="0.2">
      <c r="A338" s="90"/>
      <c r="B338" s="90"/>
      <c r="C338" s="72"/>
      <c r="D338" s="90"/>
      <c r="E338" s="90"/>
      <c r="F338" s="90"/>
      <c r="G338" s="333"/>
      <c r="H338" s="333"/>
      <c r="I338" s="333"/>
      <c r="J338" s="335"/>
      <c r="K338" s="333"/>
      <c r="L338" s="335"/>
      <c r="M338" s="335"/>
      <c r="N338" s="335"/>
      <c r="O338" s="338"/>
      <c r="P338" s="72"/>
      <c r="Q338" s="72"/>
      <c r="S338" s="72"/>
      <c r="T338" s="72"/>
      <c r="U338" s="72"/>
      <c r="V338" s="72"/>
      <c r="W338" s="72"/>
      <c r="X338" s="72"/>
      <c r="Y338" s="72"/>
      <c r="Z338" s="72"/>
      <c r="AA338" s="74"/>
      <c r="AB338" s="72"/>
      <c r="AC338" s="72"/>
      <c r="AD338" s="72"/>
      <c r="AE338" s="72"/>
      <c r="AF338" s="72"/>
      <c r="AG338" s="337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273"/>
      <c r="AU338" s="72"/>
      <c r="AV338" s="72"/>
      <c r="AW338" s="72"/>
      <c r="AX338" s="72"/>
      <c r="AY338" s="72"/>
      <c r="AZ338" s="75"/>
      <c r="BA338" s="75"/>
      <c r="BB338" s="75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</row>
    <row r="339" spans="1:84" x14ac:dyDescent="0.2">
      <c r="A339" s="90"/>
      <c r="B339" s="90"/>
      <c r="C339" s="72"/>
      <c r="D339" s="90"/>
      <c r="E339" s="90"/>
      <c r="F339" s="90"/>
      <c r="G339" s="333"/>
      <c r="H339" s="333"/>
      <c r="I339" s="333"/>
      <c r="J339" s="335"/>
      <c r="K339" s="333"/>
      <c r="L339" s="335"/>
      <c r="M339" s="335"/>
      <c r="N339" s="335"/>
      <c r="O339" s="338"/>
      <c r="P339" s="72"/>
      <c r="Q339" s="72"/>
      <c r="S339" s="72"/>
      <c r="T339" s="72"/>
      <c r="U339" s="72"/>
      <c r="V339" s="72"/>
      <c r="W339" s="72"/>
      <c r="X339" s="72"/>
      <c r="Y339" s="72"/>
      <c r="Z339" s="72"/>
      <c r="AA339" s="74"/>
      <c r="AB339" s="72"/>
      <c r="AC339" s="72"/>
      <c r="AD339" s="72"/>
      <c r="AE339" s="72"/>
      <c r="AF339" s="72"/>
      <c r="AG339" s="337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273"/>
      <c r="AU339" s="72"/>
      <c r="AV339" s="72"/>
      <c r="AW339" s="72"/>
      <c r="AX339" s="72"/>
      <c r="AY339" s="72"/>
      <c r="AZ339" s="75"/>
      <c r="BA339" s="75"/>
      <c r="BB339" s="75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</row>
    <row r="340" spans="1:84" x14ac:dyDescent="0.2">
      <c r="A340" s="90"/>
      <c r="B340" s="90"/>
      <c r="C340" s="72"/>
      <c r="D340" s="90"/>
      <c r="E340" s="90"/>
      <c r="F340" s="90"/>
      <c r="G340" s="333"/>
      <c r="H340" s="333"/>
      <c r="I340" s="333"/>
      <c r="J340" s="335"/>
      <c r="K340" s="333"/>
      <c r="L340" s="335"/>
      <c r="M340" s="335"/>
      <c r="N340" s="335"/>
      <c r="O340" s="338"/>
      <c r="P340" s="72"/>
      <c r="Q340" s="72"/>
      <c r="S340" s="72"/>
      <c r="T340" s="72"/>
      <c r="U340" s="72"/>
      <c r="V340" s="72"/>
      <c r="W340" s="72"/>
      <c r="X340" s="72"/>
      <c r="Y340" s="72"/>
      <c r="Z340" s="72"/>
      <c r="AA340" s="74"/>
      <c r="AB340" s="72"/>
      <c r="AC340" s="72"/>
      <c r="AD340" s="72"/>
      <c r="AE340" s="72"/>
      <c r="AF340" s="72"/>
      <c r="AG340" s="337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273"/>
      <c r="AU340" s="72"/>
      <c r="AV340" s="72"/>
      <c r="AW340" s="72"/>
      <c r="AX340" s="72"/>
      <c r="AY340" s="72"/>
      <c r="AZ340" s="75"/>
      <c r="BA340" s="75"/>
      <c r="BB340" s="75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</row>
    <row r="341" spans="1:84" x14ac:dyDescent="0.2">
      <c r="A341" s="90"/>
      <c r="B341" s="90"/>
      <c r="C341" s="72"/>
      <c r="D341" s="90"/>
      <c r="E341" s="90"/>
      <c r="F341" s="90"/>
      <c r="G341" s="333"/>
      <c r="H341" s="333"/>
      <c r="I341" s="333"/>
      <c r="J341" s="335"/>
      <c r="K341" s="333"/>
      <c r="L341" s="335"/>
      <c r="M341" s="335"/>
      <c r="N341" s="335"/>
      <c r="O341" s="338"/>
      <c r="P341" s="72"/>
      <c r="Q341" s="72"/>
      <c r="S341" s="72"/>
      <c r="T341" s="72"/>
      <c r="U341" s="72"/>
      <c r="V341" s="72"/>
      <c r="W341" s="72"/>
      <c r="X341" s="72"/>
      <c r="Y341" s="72"/>
      <c r="Z341" s="72"/>
      <c r="AA341" s="74"/>
      <c r="AB341" s="72"/>
      <c r="AC341" s="72"/>
      <c r="AD341" s="72"/>
      <c r="AE341" s="72"/>
      <c r="AF341" s="72"/>
      <c r="AG341" s="337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273"/>
      <c r="AU341" s="72"/>
      <c r="AV341" s="72"/>
      <c r="AW341" s="72"/>
      <c r="AX341" s="72"/>
      <c r="AY341" s="72"/>
      <c r="AZ341" s="75"/>
      <c r="BA341" s="75"/>
      <c r="BB341" s="75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</row>
    <row r="342" spans="1:84" x14ac:dyDescent="0.2">
      <c r="A342" s="90"/>
      <c r="B342" s="90"/>
      <c r="C342" s="72"/>
      <c r="D342" s="90"/>
      <c r="E342" s="90"/>
      <c r="F342" s="90"/>
      <c r="G342" s="333"/>
      <c r="H342" s="333"/>
      <c r="I342" s="333"/>
      <c r="J342" s="335"/>
      <c r="K342" s="333"/>
      <c r="L342" s="335"/>
      <c r="M342" s="335"/>
      <c r="N342" s="335"/>
      <c r="O342" s="338"/>
      <c r="P342" s="72"/>
      <c r="Q342" s="72"/>
      <c r="S342" s="72"/>
      <c r="T342" s="72"/>
      <c r="U342" s="72"/>
      <c r="V342" s="72"/>
      <c r="W342" s="72"/>
      <c r="X342" s="72"/>
      <c r="Y342" s="72"/>
      <c r="Z342" s="72"/>
      <c r="AA342" s="74"/>
      <c r="AB342" s="72"/>
      <c r="AC342" s="72"/>
      <c r="AD342" s="72"/>
      <c r="AE342" s="72"/>
      <c r="AF342" s="72"/>
      <c r="AG342" s="337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273"/>
      <c r="AU342" s="72"/>
      <c r="AV342" s="72"/>
      <c r="AW342" s="72"/>
      <c r="AX342" s="72"/>
      <c r="AY342" s="72"/>
      <c r="AZ342" s="75"/>
      <c r="BA342" s="75"/>
      <c r="BB342" s="75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</row>
    <row r="343" spans="1:84" x14ac:dyDescent="0.2">
      <c r="A343" s="90"/>
      <c r="B343" s="90"/>
      <c r="C343" s="72"/>
      <c r="D343" s="90"/>
      <c r="E343" s="90"/>
      <c r="F343" s="90"/>
      <c r="G343" s="333"/>
      <c r="H343" s="333"/>
      <c r="I343" s="333"/>
      <c r="J343" s="335"/>
      <c r="K343" s="333"/>
      <c r="L343" s="335"/>
      <c r="M343" s="335"/>
      <c r="N343" s="335"/>
      <c r="O343" s="338"/>
      <c r="P343" s="72"/>
      <c r="Q343" s="72"/>
      <c r="S343" s="72"/>
      <c r="T343" s="72"/>
      <c r="U343" s="72"/>
      <c r="V343" s="72"/>
      <c r="W343" s="72"/>
      <c r="X343" s="72"/>
      <c r="Y343" s="72"/>
      <c r="Z343" s="72"/>
      <c r="AA343" s="74"/>
      <c r="AB343" s="72"/>
      <c r="AC343" s="72"/>
      <c r="AD343" s="72"/>
      <c r="AE343" s="72"/>
      <c r="AF343" s="72"/>
      <c r="AG343" s="337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273"/>
      <c r="AU343" s="72"/>
      <c r="AV343" s="72"/>
      <c r="AW343" s="72"/>
      <c r="AX343" s="72"/>
      <c r="AY343" s="72"/>
      <c r="AZ343" s="75"/>
      <c r="BA343" s="75"/>
      <c r="BB343" s="75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</row>
    <row r="344" spans="1:84" x14ac:dyDescent="0.2">
      <c r="A344" s="90"/>
      <c r="B344" s="90"/>
      <c r="C344" s="72"/>
      <c r="D344" s="90"/>
      <c r="E344" s="90"/>
      <c r="F344" s="90"/>
      <c r="G344" s="333"/>
      <c r="H344" s="333"/>
      <c r="I344" s="333"/>
      <c r="J344" s="335"/>
      <c r="K344" s="333"/>
      <c r="L344" s="335"/>
      <c r="M344" s="335"/>
      <c r="N344" s="335"/>
      <c r="O344" s="338"/>
      <c r="P344" s="72"/>
      <c r="Q344" s="72"/>
      <c r="S344" s="72"/>
      <c r="T344" s="72"/>
      <c r="U344" s="72"/>
      <c r="V344" s="72"/>
      <c r="W344" s="72"/>
      <c r="X344" s="72"/>
      <c r="Y344" s="72"/>
      <c r="Z344" s="72"/>
      <c r="AA344" s="74"/>
      <c r="AB344" s="72"/>
      <c r="AC344" s="72"/>
      <c r="AD344" s="72"/>
      <c r="AE344" s="72"/>
      <c r="AF344" s="72"/>
      <c r="AG344" s="337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273"/>
      <c r="AU344" s="72"/>
      <c r="AV344" s="72"/>
      <c r="AW344" s="72"/>
      <c r="AX344" s="72"/>
      <c r="AY344" s="72"/>
      <c r="AZ344" s="75"/>
      <c r="BA344" s="75"/>
      <c r="BB344" s="75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</row>
    <row r="345" spans="1:84" x14ac:dyDescent="0.2">
      <c r="A345" s="90"/>
      <c r="B345" s="90"/>
      <c r="C345" s="72"/>
      <c r="D345" s="90"/>
      <c r="E345" s="90"/>
      <c r="F345" s="90"/>
      <c r="G345" s="333"/>
      <c r="H345" s="333"/>
      <c r="I345" s="333"/>
      <c r="J345" s="335"/>
      <c r="K345" s="333"/>
      <c r="L345" s="335"/>
      <c r="M345" s="335"/>
      <c r="N345" s="335"/>
      <c r="O345" s="338"/>
      <c r="P345" s="72"/>
      <c r="Q345" s="72"/>
      <c r="S345" s="72"/>
      <c r="T345" s="72"/>
      <c r="U345" s="72"/>
      <c r="V345" s="72"/>
      <c r="W345" s="72"/>
      <c r="X345" s="72"/>
      <c r="Y345" s="72"/>
      <c r="Z345" s="72"/>
      <c r="AA345" s="74"/>
      <c r="AB345" s="72"/>
      <c r="AC345" s="72"/>
      <c r="AD345" s="72"/>
      <c r="AE345" s="72"/>
      <c r="AF345" s="72"/>
      <c r="AG345" s="337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273"/>
      <c r="AU345" s="72"/>
      <c r="AV345" s="72"/>
      <c r="AW345" s="72"/>
      <c r="AX345" s="72"/>
      <c r="AY345" s="72"/>
      <c r="AZ345" s="75"/>
      <c r="BA345" s="75"/>
      <c r="BB345" s="75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</row>
    <row r="346" spans="1:84" x14ac:dyDescent="0.2">
      <c r="A346" s="90"/>
      <c r="B346" s="90"/>
      <c r="C346" s="72"/>
      <c r="D346" s="90"/>
      <c r="E346" s="90"/>
      <c r="F346" s="90"/>
      <c r="G346" s="333"/>
      <c r="H346" s="333"/>
      <c r="I346" s="333"/>
      <c r="J346" s="335"/>
      <c r="K346" s="333"/>
      <c r="L346" s="335"/>
      <c r="M346" s="335"/>
      <c r="N346" s="335"/>
      <c r="O346" s="338"/>
      <c r="P346" s="72"/>
      <c r="Q346" s="72"/>
      <c r="S346" s="72"/>
      <c r="T346" s="72"/>
      <c r="U346" s="72"/>
      <c r="V346" s="72"/>
      <c r="W346" s="72"/>
      <c r="X346" s="72"/>
      <c r="Y346" s="72"/>
      <c r="Z346" s="72"/>
      <c r="AA346" s="74"/>
      <c r="AB346" s="72"/>
      <c r="AC346" s="72"/>
      <c r="AD346" s="72"/>
      <c r="AE346" s="72"/>
      <c r="AF346" s="72"/>
      <c r="AG346" s="337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273"/>
      <c r="AU346" s="72"/>
      <c r="AV346" s="72"/>
      <c r="AW346" s="72"/>
      <c r="AX346" s="72"/>
      <c r="AY346" s="72"/>
      <c r="AZ346" s="75"/>
      <c r="BA346" s="75"/>
      <c r="BB346" s="75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</row>
    <row r="347" spans="1:84" x14ac:dyDescent="0.2">
      <c r="A347" s="90"/>
      <c r="B347" s="90"/>
      <c r="C347" s="72"/>
      <c r="D347" s="90"/>
      <c r="E347" s="90"/>
      <c r="F347" s="90"/>
      <c r="G347" s="333"/>
      <c r="H347" s="333"/>
      <c r="I347" s="333"/>
      <c r="J347" s="335"/>
      <c r="K347" s="333"/>
      <c r="L347" s="335"/>
      <c r="M347" s="335"/>
      <c r="N347" s="335"/>
      <c r="O347" s="338"/>
      <c r="P347" s="72"/>
      <c r="Q347" s="72"/>
      <c r="S347" s="72"/>
      <c r="T347" s="72"/>
      <c r="U347" s="72"/>
      <c r="V347" s="72"/>
      <c r="W347" s="72"/>
      <c r="X347" s="72"/>
      <c r="Y347" s="72"/>
      <c r="Z347" s="72"/>
      <c r="AA347" s="74"/>
      <c r="AB347" s="72"/>
      <c r="AC347" s="72"/>
      <c r="AD347" s="72"/>
      <c r="AE347" s="72"/>
      <c r="AF347" s="72"/>
      <c r="AG347" s="337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273"/>
      <c r="AU347" s="72"/>
      <c r="AV347" s="72"/>
      <c r="AW347" s="72"/>
      <c r="AX347" s="72"/>
      <c r="AY347" s="72"/>
      <c r="AZ347" s="75"/>
      <c r="BA347" s="75"/>
      <c r="BB347" s="75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</row>
    <row r="348" spans="1:84" x14ac:dyDescent="0.2">
      <c r="A348" s="90"/>
      <c r="B348" s="90"/>
      <c r="C348" s="72"/>
      <c r="D348" s="90"/>
      <c r="E348" s="90"/>
      <c r="F348" s="90"/>
      <c r="G348" s="333"/>
      <c r="H348" s="333"/>
      <c r="I348" s="333"/>
      <c r="J348" s="335"/>
      <c r="K348" s="333"/>
      <c r="L348" s="335"/>
      <c r="M348" s="335"/>
      <c r="N348" s="335"/>
      <c r="O348" s="338"/>
      <c r="P348" s="72"/>
      <c r="Q348" s="72"/>
      <c r="S348" s="72"/>
      <c r="T348" s="72"/>
      <c r="U348" s="72"/>
      <c r="V348" s="72"/>
      <c r="W348" s="72"/>
      <c r="X348" s="72"/>
      <c r="Y348" s="72"/>
      <c r="Z348" s="72"/>
      <c r="AA348" s="74"/>
      <c r="AB348" s="72"/>
      <c r="AC348" s="72"/>
      <c r="AD348" s="72"/>
      <c r="AE348" s="72"/>
      <c r="AF348" s="72"/>
      <c r="AG348" s="337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273"/>
      <c r="AU348" s="72"/>
      <c r="AV348" s="72"/>
      <c r="AW348" s="72"/>
      <c r="AX348" s="72"/>
      <c r="AY348" s="72"/>
      <c r="AZ348" s="75"/>
      <c r="BA348" s="75"/>
      <c r="BB348" s="75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</row>
    <row r="349" spans="1:84" x14ac:dyDescent="0.2">
      <c r="A349" s="90"/>
      <c r="B349" s="90"/>
      <c r="C349" s="72"/>
      <c r="D349" s="90"/>
      <c r="E349" s="90"/>
      <c r="F349" s="90"/>
      <c r="G349" s="333"/>
      <c r="H349" s="333"/>
      <c r="I349" s="333"/>
      <c r="J349" s="335"/>
      <c r="K349" s="333"/>
      <c r="L349" s="335"/>
      <c r="M349" s="335"/>
      <c r="N349" s="335"/>
      <c r="O349" s="345"/>
      <c r="P349" s="72"/>
      <c r="Q349" s="72"/>
      <c r="S349" s="72"/>
      <c r="T349" s="72"/>
      <c r="U349" s="72"/>
      <c r="V349" s="72"/>
      <c r="W349" s="72"/>
      <c r="X349" s="72"/>
      <c r="Y349" s="72"/>
      <c r="Z349" s="72"/>
      <c r="AA349" s="74"/>
      <c r="AB349" s="72"/>
      <c r="AC349" s="72"/>
      <c r="AD349" s="72"/>
      <c r="AE349" s="72"/>
      <c r="AF349" s="72"/>
      <c r="AG349" s="337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273"/>
      <c r="AU349" s="72"/>
      <c r="AV349" s="72"/>
      <c r="AW349" s="72"/>
      <c r="AX349" s="72"/>
      <c r="AY349" s="72"/>
      <c r="AZ349" s="75"/>
      <c r="BA349" s="75"/>
      <c r="BB349" s="75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</row>
    <row r="350" spans="1:84" x14ac:dyDescent="0.2">
      <c r="A350" s="90"/>
      <c r="B350" s="90"/>
      <c r="C350" s="72"/>
      <c r="D350" s="90"/>
      <c r="E350" s="90"/>
      <c r="F350" s="90"/>
      <c r="G350" s="333"/>
      <c r="H350" s="333"/>
      <c r="I350" s="333"/>
      <c r="J350" s="72"/>
      <c r="K350" s="333"/>
      <c r="L350" s="72"/>
      <c r="M350" s="72"/>
      <c r="N350" s="72"/>
      <c r="O350" s="345"/>
      <c r="P350" s="72"/>
      <c r="Q350" s="72"/>
      <c r="S350" s="72"/>
      <c r="T350" s="72"/>
      <c r="U350" s="72"/>
      <c r="V350" s="72"/>
      <c r="W350" s="72"/>
      <c r="X350" s="72"/>
      <c r="Y350" s="72"/>
      <c r="Z350" s="72"/>
      <c r="AA350" s="74"/>
      <c r="AB350" s="72"/>
      <c r="AC350" s="72"/>
      <c r="AD350" s="72"/>
      <c r="AE350" s="72"/>
      <c r="AF350" s="72"/>
      <c r="AG350" s="337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273"/>
      <c r="AU350" s="72"/>
      <c r="AV350" s="72"/>
      <c r="AW350" s="72"/>
      <c r="AX350" s="72"/>
      <c r="AY350" s="72"/>
      <c r="AZ350" s="75"/>
      <c r="BA350" s="75"/>
      <c r="BB350" s="75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</row>
    <row r="351" spans="1:84" x14ac:dyDescent="0.2">
      <c r="A351" s="90"/>
      <c r="B351" s="90"/>
      <c r="C351" s="72"/>
      <c r="D351" s="90"/>
      <c r="E351" s="90"/>
      <c r="F351" s="90"/>
      <c r="G351" s="333"/>
      <c r="H351" s="333"/>
      <c r="I351" s="346"/>
      <c r="J351" s="72"/>
      <c r="K351" s="333"/>
      <c r="L351" s="72"/>
      <c r="M351" s="72"/>
      <c r="N351" s="72"/>
      <c r="O351" s="345"/>
      <c r="P351" s="72"/>
      <c r="Q351" s="72"/>
      <c r="S351" s="72"/>
      <c r="T351" s="72"/>
      <c r="U351" s="72"/>
      <c r="V351" s="72"/>
      <c r="W351" s="72"/>
      <c r="X351" s="72"/>
      <c r="Y351" s="72"/>
      <c r="Z351" s="72"/>
      <c r="AA351" s="74"/>
      <c r="AB351" s="72"/>
      <c r="AC351" s="72"/>
      <c r="AD351" s="72"/>
      <c r="AE351" s="72"/>
      <c r="AF351" s="72"/>
      <c r="AG351" s="337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273"/>
      <c r="AU351" s="72"/>
      <c r="AV351" s="72"/>
      <c r="AW351" s="72"/>
      <c r="AX351" s="72"/>
      <c r="AY351" s="72"/>
      <c r="AZ351" s="75"/>
      <c r="BA351" s="75"/>
      <c r="BB351" s="75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</row>
    <row r="352" spans="1:84" x14ac:dyDescent="0.2">
      <c r="A352" s="90"/>
      <c r="B352" s="90"/>
      <c r="C352" s="72"/>
      <c r="D352" s="90"/>
      <c r="E352" s="90"/>
      <c r="F352" s="90"/>
      <c r="G352" s="346"/>
      <c r="H352" s="346"/>
      <c r="I352" s="346"/>
      <c r="J352" s="72"/>
      <c r="K352" s="72"/>
      <c r="L352" s="72"/>
      <c r="M352" s="72"/>
      <c r="N352" s="72"/>
      <c r="O352" s="345"/>
      <c r="P352" s="72"/>
      <c r="Q352" s="72"/>
      <c r="S352" s="72"/>
      <c r="T352" s="72"/>
      <c r="U352" s="72"/>
      <c r="V352" s="72"/>
      <c r="W352" s="72"/>
      <c r="X352" s="72"/>
      <c r="Y352" s="72"/>
      <c r="Z352" s="72"/>
      <c r="AA352" s="74"/>
      <c r="AB352" s="72"/>
      <c r="AC352" s="72"/>
      <c r="AD352" s="72"/>
      <c r="AE352" s="72"/>
      <c r="AF352" s="72"/>
      <c r="AG352" s="337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273"/>
      <c r="AU352" s="72"/>
      <c r="AV352" s="72"/>
      <c r="AW352" s="72"/>
      <c r="AX352" s="72"/>
      <c r="AY352" s="72"/>
      <c r="AZ352" s="75"/>
      <c r="BA352" s="75"/>
      <c r="BB352" s="75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</row>
    <row r="353" spans="1:84" x14ac:dyDescent="0.2">
      <c r="A353" s="90"/>
      <c r="B353" s="90"/>
      <c r="C353" s="72"/>
      <c r="D353" s="90"/>
      <c r="E353" s="90"/>
      <c r="F353" s="90"/>
      <c r="G353" s="346"/>
      <c r="H353" s="346"/>
      <c r="I353" s="346"/>
      <c r="J353" s="72"/>
      <c r="K353" s="72"/>
      <c r="L353" s="72"/>
      <c r="M353" s="72"/>
      <c r="N353" s="72"/>
      <c r="O353" s="345"/>
      <c r="P353" s="72"/>
      <c r="Q353" s="72"/>
      <c r="S353" s="72"/>
      <c r="T353" s="72"/>
      <c r="U353" s="72"/>
      <c r="V353" s="72"/>
      <c r="W353" s="72"/>
      <c r="X353" s="72"/>
      <c r="Y353" s="72"/>
      <c r="Z353" s="72"/>
      <c r="AA353" s="74"/>
      <c r="AB353" s="72"/>
      <c r="AC353" s="72"/>
      <c r="AD353" s="72"/>
      <c r="AE353" s="72"/>
      <c r="AF353" s="72"/>
      <c r="AG353" s="337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273"/>
      <c r="AU353" s="72"/>
      <c r="AV353" s="72"/>
      <c r="AW353" s="72"/>
      <c r="AX353" s="72"/>
      <c r="AY353" s="72"/>
      <c r="AZ353" s="75"/>
      <c r="BA353" s="75"/>
      <c r="BB353" s="75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</row>
    <row r="354" spans="1:84" x14ac:dyDescent="0.2">
      <c r="A354" s="90"/>
      <c r="B354" s="90"/>
      <c r="C354" s="72"/>
      <c r="D354" s="90"/>
      <c r="E354" s="90"/>
      <c r="F354" s="90"/>
      <c r="G354" s="346"/>
      <c r="H354" s="346"/>
      <c r="I354" s="346"/>
      <c r="J354" s="72"/>
      <c r="K354" s="72"/>
      <c r="L354" s="72"/>
      <c r="M354" s="72"/>
      <c r="N354" s="72"/>
      <c r="O354" s="345"/>
      <c r="P354" s="72"/>
      <c r="Q354" s="72"/>
      <c r="S354" s="72"/>
      <c r="T354" s="72"/>
      <c r="U354" s="72"/>
      <c r="V354" s="72"/>
      <c r="W354" s="72"/>
      <c r="X354" s="72"/>
      <c r="Y354" s="72"/>
      <c r="Z354" s="72"/>
      <c r="AA354" s="74"/>
      <c r="AB354" s="72"/>
      <c r="AC354" s="72"/>
      <c r="AD354" s="72"/>
      <c r="AE354" s="72"/>
      <c r="AF354" s="72"/>
      <c r="AG354" s="337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273"/>
      <c r="AU354" s="72"/>
      <c r="AV354" s="72"/>
      <c r="AW354" s="72"/>
      <c r="AX354" s="72"/>
      <c r="AY354" s="72"/>
      <c r="AZ354" s="75"/>
      <c r="BA354" s="75"/>
      <c r="BB354" s="75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</row>
    <row r="355" spans="1:84" x14ac:dyDescent="0.2">
      <c r="A355" s="90"/>
      <c r="B355" s="90"/>
      <c r="C355" s="72"/>
      <c r="D355" s="90"/>
      <c r="E355" s="90"/>
      <c r="F355" s="90"/>
      <c r="G355" s="346"/>
      <c r="H355" s="346"/>
      <c r="I355" s="346"/>
      <c r="J355" s="72"/>
      <c r="K355" s="72"/>
      <c r="L355" s="72"/>
      <c r="M355" s="72"/>
      <c r="N355" s="72"/>
      <c r="O355" s="345"/>
      <c r="P355" s="72"/>
      <c r="Q355" s="72"/>
      <c r="S355" s="72"/>
      <c r="T355" s="72"/>
      <c r="U355" s="72"/>
      <c r="V355" s="72"/>
      <c r="W355" s="72"/>
      <c r="X355" s="72"/>
      <c r="Y355" s="72"/>
      <c r="Z355" s="72"/>
      <c r="AA355" s="74"/>
      <c r="AB355" s="72"/>
      <c r="AC355" s="72"/>
      <c r="AD355" s="72"/>
      <c r="AE355" s="72"/>
      <c r="AF355" s="72"/>
      <c r="AG355" s="337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273"/>
      <c r="AU355" s="72"/>
      <c r="AV355" s="72"/>
      <c r="AW355" s="72"/>
      <c r="AX355" s="72"/>
      <c r="AY355" s="72"/>
      <c r="AZ355" s="75"/>
      <c r="BA355" s="75"/>
      <c r="BB355" s="75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</row>
    <row r="356" spans="1:84" x14ac:dyDescent="0.2">
      <c r="A356" s="90"/>
      <c r="B356" s="90"/>
      <c r="C356" s="72"/>
      <c r="D356" s="90"/>
      <c r="E356" s="90"/>
      <c r="F356" s="90"/>
      <c r="G356" s="346"/>
      <c r="H356" s="346"/>
      <c r="I356" s="346"/>
      <c r="J356" s="72"/>
      <c r="K356" s="346"/>
      <c r="L356" s="72"/>
      <c r="M356" s="72"/>
      <c r="N356" s="72"/>
      <c r="O356" s="345"/>
      <c r="P356" s="72"/>
      <c r="Q356" s="72"/>
      <c r="S356" s="72"/>
      <c r="T356" s="72"/>
      <c r="U356" s="72"/>
      <c r="V356" s="72"/>
      <c r="W356" s="72"/>
      <c r="X356" s="72"/>
      <c r="Y356" s="72"/>
      <c r="Z356" s="72"/>
      <c r="AA356" s="74"/>
      <c r="AB356" s="72"/>
      <c r="AC356" s="72"/>
      <c r="AD356" s="72"/>
      <c r="AE356" s="72"/>
      <c r="AF356" s="72"/>
      <c r="AG356" s="337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273"/>
      <c r="AU356" s="72"/>
      <c r="AV356" s="72"/>
      <c r="AW356" s="72"/>
      <c r="AX356" s="72"/>
      <c r="AY356" s="72"/>
      <c r="AZ356" s="75"/>
      <c r="BA356" s="75"/>
      <c r="BB356" s="75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</row>
    <row r="357" spans="1:84" x14ac:dyDescent="0.2">
      <c r="A357" s="90"/>
      <c r="B357" s="90"/>
      <c r="C357" s="72"/>
      <c r="D357" s="90"/>
      <c r="E357" s="90"/>
      <c r="F357" s="90"/>
      <c r="G357" s="346"/>
      <c r="H357" s="346"/>
      <c r="I357" s="346"/>
      <c r="J357" s="72"/>
      <c r="K357" s="346"/>
      <c r="L357" s="72"/>
      <c r="M357" s="72"/>
      <c r="N357" s="72"/>
      <c r="O357" s="345"/>
      <c r="P357" s="72"/>
      <c r="Q357" s="72"/>
      <c r="S357" s="72"/>
      <c r="T357" s="72"/>
      <c r="U357" s="72"/>
      <c r="V357" s="72"/>
      <c r="W357" s="72"/>
      <c r="X357" s="72"/>
      <c r="Y357" s="72"/>
      <c r="Z357" s="72"/>
      <c r="AA357" s="74"/>
      <c r="AB357" s="72"/>
      <c r="AC357" s="72"/>
      <c r="AD357" s="72"/>
      <c r="AE357" s="72"/>
      <c r="AF357" s="72"/>
      <c r="AG357" s="337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273"/>
      <c r="AU357" s="72"/>
      <c r="AV357" s="72"/>
      <c r="AW357" s="72"/>
      <c r="AX357" s="72"/>
      <c r="AY357" s="72"/>
      <c r="AZ357" s="75"/>
      <c r="BA357" s="75"/>
      <c r="BB357" s="75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</row>
    <row r="358" spans="1:84" x14ac:dyDescent="0.2">
      <c r="A358" s="90"/>
      <c r="B358" s="90"/>
      <c r="C358" s="72"/>
      <c r="D358" s="90"/>
      <c r="E358" s="90"/>
      <c r="F358" s="90"/>
      <c r="G358" s="346"/>
      <c r="H358" s="346"/>
      <c r="I358" s="346"/>
      <c r="J358" s="72"/>
      <c r="K358" s="346"/>
      <c r="L358" s="72"/>
      <c r="M358" s="72"/>
      <c r="N358" s="72"/>
      <c r="O358" s="345"/>
      <c r="P358" s="72"/>
      <c r="Q358" s="72"/>
      <c r="S358" s="72"/>
      <c r="T358" s="72"/>
      <c r="U358" s="72"/>
      <c r="V358" s="72"/>
      <c r="W358" s="72"/>
      <c r="X358" s="72"/>
      <c r="Y358" s="72"/>
      <c r="Z358" s="72"/>
      <c r="AA358" s="74"/>
      <c r="AB358" s="72"/>
      <c r="AC358" s="72"/>
      <c r="AD358" s="72"/>
      <c r="AE358" s="72"/>
      <c r="AF358" s="72"/>
      <c r="AG358" s="337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273"/>
      <c r="AU358" s="72"/>
      <c r="AV358" s="72"/>
      <c r="AW358" s="72"/>
      <c r="AX358" s="72"/>
      <c r="AY358" s="72"/>
      <c r="AZ358" s="75"/>
      <c r="BA358" s="75"/>
      <c r="BB358" s="75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</row>
    <row r="359" spans="1:84" x14ac:dyDescent="0.2">
      <c r="A359" s="90"/>
      <c r="B359" s="90"/>
      <c r="C359" s="72"/>
      <c r="D359" s="90"/>
      <c r="E359" s="90"/>
      <c r="F359" s="90"/>
      <c r="G359" s="346"/>
      <c r="H359" s="346"/>
      <c r="I359" s="346"/>
      <c r="J359" s="72"/>
      <c r="K359" s="346"/>
      <c r="L359" s="72"/>
      <c r="M359" s="72"/>
      <c r="N359" s="72"/>
      <c r="O359" s="345"/>
      <c r="P359" s="72"/>
      <c r="Q359" s="72"/>
      <c r="S359" s="72"/>
      <c r="T359" s="72"/>
      <c r="U359" s="72"/>
      <c r="V359" s="72"/>
      <c r="W359" s="72"/>
      <c r="X359" s="72"/>
      <c r="Y359" s="72"/>
      <c r="Z359" s="72"/>
      <c r="AA359" s="74"/>
      <c r="AB359" s="72"/>
      <c r="AC359" s="72"/>
      <c r="AD359" s="72"/>
      <c r="AE359" s="72"/>
      <c r="AF359" s="72"/>
      <c r="AG359" s="337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273"/>
      <c r="AU359" s="72"/>
      <c r="AV359" s="72"/>
      <c r="AW359" s="72"/>
      <c r="AX359" s="72"/>
      <c r="AY359" s="72"/>
      <c r="AZ359" s="75"/>
      <c r="BA359" s="75"/>
      <c r="BB359" s="75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</row>
    <row r="360" spans="1:84" x14ac:dyDescent="0.2">
      <c r="A360" s="90"/>
      <c r="B360" s="90"/>
      <c r="C360" s="72"/>
      <c r="D360" s="90"/>
      <c r="E360" s="90"/>
      <c r="F360" s="90"/>
      <c r="G360" s="346"/>
      <c r="H360" s="346"/>
      <c r="I360" s="346"/>
      <c r="J360" s="72"/>
      <c r="K360" s="346"/>
      <c r="L360" s="72"/>
      <c r="M360" s="72"/>
      <c r="N360" s="72"/>
      <c r="O360" s="345"/>
      <c r="P360" s="72"/>
      <c r="Q360" s="72"/>
      <c r="S360" s="72"/>
      <c r="T360" s="72"/>
      <c r="U360" s="72"/>
      <c r="V360" s="72"/>
      <c r="W360" s="72"/>
      <c r="X360" s="72"/>
      <c r="Y360" s="72"/>
      <c r="Z360" s="72"/>
      <c r="AA360" s="74"/>
      <c r="AB360" s="72"/>
      <c r="AC360" s="72"/>
      <c r="AD360" s="72"/>
      <c r="AE360" s="72"/>
      <c r="AF360" s="72"/>
      <c r="AG360" s="337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273"/>
      <c r="AU360" s="72"/>
      <c r="AV360" s="72"/>
      <c r="AW360" s="72"/>
      <c r="AX360" s="72"/>
      <c r="AY360" s="72"/>
      <c r="AZ360" s="75"/>
      <c r="BA360" s="75"/>
      <c r="BB360" s="75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</row>
    <row r="361" spans="1:84" x14ac:dyDescent="0.2">
      <c r="A361" s="90"/>
      <c r="B361" s="90"/>
      <c r="C361" s="72"/>
      <c r="D361" s="90"/>
      <c r="E361" s="90"/>
      <c r="F361" s="90"/>
      <c r="G361" s="346"/>
      <c r="H361" s="346"/>
      <c r="I361" s="346"/>
      <c r="J361" s="72"/>
      <c r="K361" s="346"/>
      <c r="L361" s="72"/>
      <c r="M361" s="72"/>
      <c r="N361" s="72"/>
      <c r="O361" s="345"/>
      <c r="P361" s="72"/>
      <c r="Q361" s="72"/>
      <c r="S361" s="72"/>
      <c r="T361" s="72"/>
      <c r="U361" s="72"/>
      <c r="V361" s="72"/>
      <c r="W361" s="72"/>
      <c r="X361" s="72"/>
      <c r="Y361" s="72"/>
      <c r="Z361" s="72"/>
      <c r="AA361" s="74"/>
      <c r="AB361" s="72"/>
      <c r="AC361" s="72"/>
      <c r="AD361" s="72"/>
      <c r="AE361" s="72"/>
      <c r="AF361" s="72"/>
      <c r="AG361" s="337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273"/>
      <c r="AU361" s="72"/>
      <c r="AV361" s="72"/>
      <c r="AW361" s="72"/>
      <c r="AX361" s="72"/>
      <c r="AY361" s="72"/>
      <c r="AZ361" s="75"/>
      <c r="BA361" s="75"/>
      <c r="BB361" s="75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</row>
    <row r="362" spans="1:84" x14ac:dyDescent="0.2">
      <c r="A362" s="90"/>
      <c r="B362" s="90"/>
      <c r="C362" s="72"/>
      <c r="D362" s="90"/>
      <c r="E362" s="90"/>
      <c r="F362" s="90"/>
      <c r="G362" s="347"/>
      <c r="H362" s="347"/>
      <c r="I362" s="346"/>
      <c r="J362" s="72"/>
      <c r="K362" s="346"/>
      <c r="L362" s="72"/>
      <c r="M362" s="72"/>
      <c r="N362" s="72"/>
      <c r="O362" s="345"/>
      <c r="P362" s="72"/>
      <c r="Q362" s="72"/>
      <c r="S362" s="72"/>
      <c r="T362" s="72"/>
      <c r="U362" s="72"/>
      <c r="V362" s="72"/>
      <c r="W362" s="72"/>
      <c r="X362" s="72"/>
      <c r="Y362" s="72"/>
      <c r="Z362" s="72"/>
      <c r="AA362" s="74"/>
      <c r="AB362" s="72"/>
      <c r="AC362" s="72"/>
      <c r="AD362" s="72"/>
      <c r="AE362" s="72"/>
      <c r="AF362" s="72"/>
      <c r="AG362" s="337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273"/>
      <c r="AU362" s="72"/>
      <c r="AV362" s="72"/>
      <c r="AW362" s="72"/>
      <c r="AX362" s="72"/>
      <c r="AY362" s="72"/>
      <c r="AZ362" s="75"/>
      <c r="BA362" s="75"/>
      <c r="BB362" s="75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</row>
    <row r="363" spans="1:84" x14ac:dyDescent="0.2">
      <c r="A363" s="90"/>
      <c r="B363" s="90"/>
      <c r="C363" s="72"/>
      <c r="D363" s="90"/>
      <c r="E363" s="90"/>
      <c r="F363" s="90"/>
      <c r="G363" s="72"/>
      <c r="H363" s="72"/>
      <c r="I363" s="347"/>
      <c r="J363" s="72"/>
      <c r="K363" s="347"/>
      <c r="L363" s="72"/>
      <c r="M363" s="72"/>
      <c r="N363" s="72"/>
      <c r="O363" s="345"/>
      <c r="P363" s="72"/>
      <c r="Q363" s="72"/>
      <c r="S363" s="72"/>
      <c r="T363" s="72"/>
      <c r="U363" s="72"/>
      <c r="V363" s="72"/>
      <c r="W363" s="72"/>
      <c r="X363" s="72"/>
      <c r="Y363" s="72"/>
      <c r="Z363" s="72"/>
      <c r="AA363" s="74"/>
      <c r="AB363" s="72"/>
      <c r="AC363" s="72"/>
      <c r="AD363" s="72"/>
      <c r="AE363" s="72"/>
      <c r="AF363" s="72"/>
      <c r="AG363" s="337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273"/>
      <c r="AU363" s="72"/>
      <c r="AV363" s="72"/>
      <c r="AW363" s="72"/>
      <c r="AX363" s="72"/>
      <c r="AY363" s="72"/>
      <c r="AZ363" s="75"/>
      <c r="BA363" s="75"/>
      <c r="BB363" s="75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</row>
    <row r="364" spans="1:84" x14ac:dyDescent="0.2">
      <c r="A364" s="90"/>
      <c r="B364" s="90"/>
      <c r="C364" s="72"/>
      <c r="D364" s="90"/>
      <c r="E364" s="90"/>
      <c r="F364" s="90"/>
      <c r="G364" s="72"/>
      <c r="H364" s="72"/>
      <c r="I364" s="72"/>
      <c r="J364" s="72"/>
      <c r="K364" s="72"/>
      <c r="L364" s="72"/>
      <c r="M364" s="72"/>
      <c r="N364" s="72"/>
      <c r="O364" s="345"/>
      <c r="P364" s="72"/>
      <c r="Q364" s="72"/>
      <c r="S364" s="72"/>
      <c r="T364" s="72"/>
      <c r="U364" s="72"/>
      <c r="V364" s="72"/>
      <c r="W364" s="72"/>
      <c r="X364" s="72"/>
      <c r="Y364" s="72"/>
      <c r="Z364" s="72"/>
      <c r="AA364" s="74"/>
      <c r="AB364" s="72"/>
      <c r="AC364" s="72"/>
      <c r="AD364" s="72"/>
      <c r="AE364" s="72"/>
      <c r="AF364" s="72"/>
      <c r="AG364" s="337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273"/>
      <c r="AU364" s="72"/>
      <c r="AV364" s="72"/>
      <c r="AW364" s="72"/>
      <c r="AX364" s="72"/>
      <c r="AY364" s="72"/>
      <c r="AZ364" s="75"/>
      <c r="BA364" s="75"/>
      <c r="BB364" s="75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</row>
    <row r="365" spans="1:84" x14ac:dyDescent="0.2">
      <c r="A365" s="90"/>
      <c r="B365" s="90"/>
      <c r="C365" s="72"/>
      <c r="D365" s="90"/>
      <c r="E365" s="90"/>
      <c r="F365" s="90"/>
      <c r="G365" s="72"/>
      <c r="H365" s="72"/>
      <c r="I365" s="72"/>
      <c r="J365" s="72"/>
      <c r="K365" s="72"/>
      <c r="L365" s="72"/>
      <c r="M365" s="72"/>
      <c r="N365" s="72"/>
      <c r="O365" s="345"/>
      <c r="P365" s="72"/>
      <c r="Q365" s="72"/>
      <c r="S365" s="72"/>
      <c r="T365" s="72"/>
      <c r="U365" s="72"/>
      <c r="V365" s="72"/>
      <c r="W365" s="72"/>
      <c r="X365" s="72"/>
      <c r="Y365" s="72"/>
      <c r="Z365" s="72"/>
      <c r="AA365" s="74"/>
      <c r="AB365" s="72"/>
      <c r="AC365" s="72"/>
      <c r="AD365" s="72"/>
      <c r="AE365" s="72"/>
      <c r="AF365" s="72"/>
      <c r="AG365" s="337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273"/>
      <c r="AU365" s="72"/>
      <c r="AV365" s="72"/>
      <c r="AW365" s="72"/>
      <c r="AX365" s="72"/>
      <c r="AY365" s="72"/>
      <c r="AZ365" s="75"/>
      <c r="BA365" s="75"/>
      <c r="BB365" s="75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</row>
    <row r="366" spans="1:84" x14ac:dyDescent="0.2">
      <c r="A366" s="90"/>
      <c r="B366" s="90"/>
      <c r="C366" s="72"/>
      <c r="D366" s="90"/>
      <c r="E366" s="90"/>
      <c r="F366" s="90"/>
      <c r="G366" s="72"/>
      <c r="H366" s="72"/>
      <c r="I366" s="72"/>
      <c r="J366" s="72"/>
      <c r="K366" s="72"/>
      <c r="L366" s="72"/>
      <c r="M366" s="72"/>
      <c r="N366" s="72"/>
      <c r="O366" s="345"/>
      <c r="P366" s="72"/>
      <c r="Q366" s="72"/>
      <c r="S366" s="72"/>
      <c r="T366" s="72"/>
      <c r="U366" s="72"/>
      <c r="V366" s="72"/>
      <c r="W366" s="72"/>
      <c r="X366" s="72"/>
      <c r="Y366" s="72"/>
      <c r="Z366" s="72"/>
      <c r="AA366" s="74"/>
      <c r="AB366" s="72"/>
      <c r="AC366" s="72"/>
      <c r="AD366" s="72"/>
      <c r="AE366" s="72"/>
      <c r="AF366" s="72"/>
      <c r="AG366" s="337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273"/>
      <c r="AU366" s="72"/>
      <c r="AV366" s="72"/>
      <c r="AW366" s="72"/>
      <c r="AX366" s="72"/>
      <c r="AY366" s="72"/>
      <c r="AZ366" s="75"/>
      <c r="BA366" s="75"/>
      <c r="BB366" s="75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</row>
    <row r="367" spans="1:84" x14ac:dyDescent="0.2">
      <c r="A367" s="90"/>
      <c r="B367" s="90"/>
      <c r="C367" s="72"/>
      <c r="D367" s="90"/>
      <c r="E367" s="90"/>
      <c r="F367" s="90"/>
      <c r="G367" s="72"/>
      <c r="H367" s="72"/>
      <c r="I367" s="72"/>
      <c r="J367" s="72"/>
      <c r="K367" s="72"/>
      <c r="L367" s="72"/>
      <c r="M367" s="72"/>
      <c r="N367" s="72"/>
      <c r="O367" s="345"/>
      <c r="P367" s="72"/>
      <c r="Q367" s="72"/>
      <c r="S367" s="72"/>
      <c r="T367" s="72"/>
      <c r="U367" s="72"/>
      <c r="V367" s="72"/>
      <c r="W367" s="72"/>
      <c r="X367" s="72"/>
      <c r="Y367" s="72"/>
      <c r="Z367" s="72"/>
      <c r="AA367" s="74"/>
      <c r="AB367" s="72"/>
      <c r="AC367" s="72"/>
      <c r="AD367" s="72"/>
      <c r="AE367" s="72"/>
      <c r="AF367" s="72"/>
      <c r="AG367" s="337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273"/>
      <c r="AU367" s="72"/>
      <c r="AV367" s="72"/>
      <c r="AW367" s="72"/>
      <c r="AX367" s="72"/>
      <c r="AY367" s="72"/>
      <c r="AZ367" s="75"/>
      <c r="BA367" s="75"/>
      <c r="BB367" s="75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</row>
    <row r="368" spans="1:84" x14ac:dyDescent="0.2">
      <c r="A368" s="90"/>
      <c r="B368" s="90"/>
      <c r="C368" s="72"/>
      <c r="D368" s="90"/>
      <c r="E368" s="90"/>
      <c r="F368" s="90"/>
      <c r="G368" s="72"/>
      <c r="H368" s="72"/>
      <c r="I368" s="72"/>
      <c r="J368" s="72"/>
      <c r="K368" s="72"/>
      <c r="L368" s="72"/>
      <c r="M368" s="72"/>
      <c r="N368" s="72"/>
      <c r="O368" s="345"/>
      <c r="P368" s="72"/>
      <c r="Q368" s="72"/>
      <c r="S368" s="72"/>
      <c r="T368" s="72"/>
      <c r="U368" s="72"/>
      <c r="V368" s="72"/>
      <c r="W368" s="72"/>
      <c r="X368" s="72"/>
      <c r="Y368" s="72"/>
      <c r="Z368" s="72"/>
      <c r="AA368" s="74"/>
      <c r="AB368" s="72"/>
      <c r="AC368" s="72"/>
      <c r="AD368" s="72"/>
      <c r="AE368" s="72"/>
      <c r="AF368" s="72"/>
      <c r="AG368" s="337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273"/>
      <c r="AU368" s="72"/>
      <c r="AV368" s="72"/>
      <c r="AW368" s="72"/>
      <c r="AX368" s="72"/>
      <c r="AY368" s="72"/>
      <c r="AZ368" s="75"/>
      <c r="BA368" s="75"/>
      <c r="BB368" s="75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</row>
    <row r="369" spans="1:84" x14ac:dyDescent="0.2">
      <c r="A369" s="90"/>
      <c r="B369" s="90"/>
      <c r="C369" s="72"/>
      <c r="D369" s="90"/>
      <c r="E369" s="90"/>
      <c r="F369" s="90"/>
      <c r="G369" s="72"/>
      <c r="H369" s="72"/>
      <c r="I369" s="72"/>
      <c r="J369" s="72"/>
      <c r="K369" s="72"/>
      <c r="L369" s="72"/>
      <c r="M369" s="72"/>
      <c r="N369" s="72"/>
      <c r="O369" s="345"/>
      <c r="P369" s="72"/>
      <c r="Q369" s="72"/>
      <c r="S369" s="72"/>
      <c r="T369" s="72"/>
      <c r="U369" s="72"/>
      <c r="V369" s="72"/>
      <c r="W369" s="72"/>
      <c r="X369" s="72"/>
      <c r="Y369" s="72"/>
      <c r="Z369" s="72"/>
      <c r="AA369" s="74"/>
      <c r="AB369" s="72"/>
      <c r="AC369" s="72"/>
      <c r="AD369" s="72"/>
      <c r="AE369" s="72"/>
      <c r="AF369" s="72"/>
      <c r="AG369" s="337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273"/>
      <c r="AU369" s="72"/>
      <c r="AV369" s="72"/>
      <c r="AW369" s="72"/>
      <c r="AX369" s="72"/>
      <c r="AY369" s="72"/>
      <c r="AZ369" s="75"/>
      <c r="BA369" s="75"/>
      <c r="BB369" s="75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</row>
    <row r="370" spans="1:84" x14ac:dyDescent="0.2">
      <c r="A370" s="90"/>
      <c r="B370" s="90"/>
      <c r="C370" s="72"/>
      <c r="D370" s="90"/>
      <c r="E370" s="90"/>
      <c r="F370" s="90"/>
      <c r="G370" s="72"/>
      <c r="H370" s="72"/>
      <c r="I370" s="72"/>
      <c r="J370" s="72"/>
      <c r="K370" s="72"/>
      <c r="L370" s="72"/>
      <c r="M370" s="72"/>
      <c r="N370" s="72"/>
      <c r="O370" s="345"/>
      <c r="P370" s="72"/>
      <c r="Q370" s="72"/>
      <c r="S370" s="72"/>
      <c r="T370" s="72"/>
      <c r="U370" s="72"/>
      <c r="V370" s="72"/>
      <c r="W370" s="72"/>
      <c r="X370" s="72"/>
      <c r="Y370" s="72"/>
      <c r="Z370" s="72"/>
      <c r="AA370" s="74"/>
      <c r="AB370" s="72"/>
      <c r="AC370" s="72"/>
      <c r="AD370" s="72"/>
      <c r="AE370" s="72"/>
      <c r="AF370" s="72"/>
      <c r="AG370" s="337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273"/>
      <c r="AU370" s="72"/>
      <c r="AV370" s="72"/>
      <c r="AW370" s="72"/>
      <c r="AX370" s="72"/>
      <c r="AY370" s="72"/>
      <c r="AZ370" s="75"/>
      <c r="BA370" s="75"/>
      <c r="BB370" s="75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</row>
    <row r="371" spans="1:84" x14ac:dyDescent="0.2">
      <c r="A371" s="90"/>
      <c r="B371" s="90"/>
      <c r="C371" s="72"/>
      <c r="D371" s="90"/>
      <c r="E371" s="90"/>
      <c r="F371" s="90"/>
      <c r="G371" s="72"/>
      <c r="H371" s="72"/>
      <c r="I371" s="72"/>
      <c r="J371" s="72"/>
      <c r="K371" s="72"/>
      <c r="L371" s="72"/>
      <c r="M371" s="72"/>
      <c r="N371" s="72"/>
      <c r="O371" s="345"/>
      <c r="P371" s="72"/>
      <c r="Q371" s="72"/>
      <c r="S371" s="72"/>
      <c r="T371" s="72"/>
      <c r="U371" s="72"/>
      <c r="V371" s="72"/>
      <c r="W371" s="72"/>
      <c r="X371" s="72"/>
      <c r="Y371" s="72"/>
      <c r="Z371" s="72"/>
      <c r="AA371" s="74"/>
      <c r="AB371" s="72"/>
      <c r="AC371" s="72"/>
      <c r="AD371" s="72"/>
      <c r="AE371" s="72"/>
      <c r="AF371" s="72"/>
      <c r="AG371" s="337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273"/>
      <c r="AU371" s="72"/>
      <c r="AV371" s="72"/>
      <c r="AW371" s="72"/>
      <c r="AX371" s="72"/>
      <c r="AY371" s="72"/>
      <c r="AZ371" s="75"/>
      <c r="BA371" s="75"/>
      <c r="BB371" s="75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</row>
    <row r="372" spans="1:84" x14ac:dyDescent="0.2">
      <c r="A372" s="90"/>
      <c r="B372" s="90"/>
      <c r="C372" s="72"/>
      <c r="D372" s="90"/>
      <c r="E372" s="90"/>
      <c r="F372" s="90"/>
      <c r="G372" s="72"/>
      <c r="H372" s="72"/>
      <c r="I372" s="72"/>
      <c r="J372" s="72"/>
      <c r="K372" s="72"/>
      <c r="L372" s="72"/>
      <c r="M372" s="72"/>
      <c r="N372" s="72"/>
      <c r="O372" s="345"/>
      <c r="P372" s="72"/>
      <c r="Q372" s="72"/>
      <c r="S372" s="72"/>
      <c r="T372" s="72"/>
      <c r="U372" s="72"/>
      <c r="V372" s="72"/>
      <c r="W372" s="72"/>
      <c r="X372" s="72"/>
      <c r="Y372" s="72"/>
      <c r="Z372" s="72"/>
      <c r="AA372" s="74"/>
      <c r="AB372" s="72"/>
      <c r="AC372" s="72"/>
      <c r="AD372" s="72"/>
      <c r="AE372" s="72"/>
      <c r="AF372" s="72"/>
      <c r="AG372" s="337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273"/>
      <c r="AU372" s="72"/>
      <c r="AV372" s="72"/>
      <c r="AW372" s="72"/>
      <c r="AX372" s="72"/>
      <c r="AY372" s="72"/>
      <c r="AZ372" s="75"/>
      <c r="BA372" s="75"/>
      <c r="BB372" s="75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</row>
    <row r="373" spans="1:84" x14ac:dyDescent="0.2">
      <c r="A373" s="90"/>
      <c r="B373" s="90"/>
      <c r="C373" s="72"/>
      <c r="D373" s="90"/>
      <c r="E373" s="90"/>
      <c r="F373" s="90"/>
      <c r="G373" s="72"/>
      <c r="H373" s="72"/>
      <c r="I373" s="72"/>
      <c r="J373" s="72"/>
      <c r="K373" s="72"/>
      <c r="L373" s="72"/>
      <c r="M373" s="72"/>
      <c r="N373" s="72"/>
      <c r="O373" s="345"/>
      <c r="P373" s="72"/>
      <c r="Q373" s="72"/>
      <c r="S373" s="72"/>
      <c r="T373" s="72"/>
      <c r="U373" s="72"/>
      <c r="V373" s="72"/>
      <c r="W373" s="72"/>
      <c r="X373" s="72"/>
      <c r="Y373" s="72"/>
      <c r="Z373" s="72"/>
      <c r="AA373" s="74"/>
      <c r="AB373" s="72"/>
      <c r="AC373" s="72"/>
      <c r="AD373" s="72"/>
      <c r="AE373" s="72"/>
      <c r="AF373" s="72"/>
      <c r="AG373" s="337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273"/>
      <c r="AU373" s="72"/>
      <c r="AV373" s="72"/>
      <c r="AW373" s="72"/>
      <c r="AX373" s="72"/>
      <c r="AY373" s="72"/>
      <c r="AZ373" s="75"/>
      <c r="BA373" s="75"/>
      <c r="BB373" s="75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</row>
    <row r="374" spans="1:84" x14ac:dyDescent="0.2">
      <c r="A374" s="90"/>
      <c r="B374" s="90"/>
      <c r="C374" s="72"/>
      <c r="D374" s="90"/>
      <c r="E374" s="90"/>
      <c r="F374" s="90"/>
      <c r="G374" s="72"/>
      <c r="H374" s="72"/>
      <c r="I374" s="72"/>
      <c r="J374" s="72"/>
      <c r="K374" s="72"/>
      <c r="L374" s="72"/>
      <c r="M374" s="72"/>
      <c r="N374" s="72"/>
      <c r="O374" s="345"/>
      <c r="P374" s="72"/>
      <c r="Q374" s="72"/>
      <c r="S374" s="72"/>
      <c r="T374" s="72"/>
      <c r="U374" s="72"/>
      <c r="V374" s="72"/>
      <c r="W374" s="72"/>
      <c r="X374" s="72"/>
      <c r="Y374" s="72"/>
      <c r="Z374" s="72"/>
      <c r="AA374" s="74"/>
      <c r="AB374" s="72"/>
      <c r="AC374" s="72"/>
      <c r="AD374" s="72"/>
      <c r="AE374" s="72"/>
      <c r="AF374" s="72"/>
      <c r="AG374" s="337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273"/>
      <c r="AU374" s="72"/>
      <c r="AV374" s="72"/>
      <c r="AW374" s="72"/>
      <c r="AX374" s="72"/>
      <c r="AY374" s="72"/>
      <c r="AZ374" s="75"/>
      <c r="BA374" s="75"/>
      <c r="BB374" s="75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</row>
    <row r="375" spans="1:84" x14ac:dyDescent="0.2">
      <c r="A375" s="90"/>
      <c r="B375" s="90"/>
      <c r="C375" s="72"/>
      <c r="D375" s="90"/>
      <c r="E375" s="90"/>
      <c r="F375" s="90"/>
      <c r="G375" s="72"/>
      <c r="H375" s="72"/>
      <c r="I375" s="72"/>
      <c r="J375" s="72"/>
      <c r="K375" s="72"/>
      <c r="L375" s="72"/>
      <c r="M375" s="72"/>
      <c r="N375" s="72"/>
      <c r="O375" s="345"/>
      <c r="P375" s="72"/>
      <c r="Q375" s="72"/>
      <c r="S375" s="72"/>
      <c r="T375" s="72"/>
      <c r="U375" s="72"/>
      <c r="V375" s="72"/>
      <c r="W375" s="72"/>
      <c r="X375" s="72"/>
      <c r="Y375" s="72"/>
      <c r="Z375" s="72"/>
      <c r="AA375" s="74"/>
      <c r="AB375" s="72"/>
      <c r="AC375" s="72"/>
      <c r="AD375" s="72"/>
      <c r="AE375" s="72"/>
      <c r="AF375" s="72"/>
      <c r="AG375" s="337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273"/>
      <c r="AU375" s="72"/>
      <c r="AV375" s="72"/>
      <c r="AW375" s="72"/>
      <c r="AX375" s="72"/>
      <c r="AY375" s="72"/>
      <c r="AZ375" s="75"/>
      <c r="BA375" s="75"/>
      <c r="BB375" s="75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</row>
    <row r="376" spans="1:84" x14ac:dyDescent="0.2">
      <c r="A376" s="90"/>
      <c r="B376" s="90"/>
      <c r="C376" s="72"/>
      <c r="D376" s="90"/>
      <c r="E376" s="90"/>
      <c r="F376" s="90"/>
      <c r="G376" s="72"/>
      <c r="H376" s="72"/>
      <c r="I376" s="72"/>
      <c r="J376" s="72"/>
      <c r="K376" s="72"/>
      <c r="L376" s="72"/>
      <c r="M376" s="72"/>
      <c r="N376" s="72"/>
      <c r="O376" s="345"/>
      <c r="P376" s="72"/>
      <c r="Q376" s="72"/>
      <c r="S376" s="72"/>
      <c r="T376" s="72"/>
      <c r="U376" s="72"/>
      <c r="V376" s="72"/>
      <c r="W376" s="72"/>
      <c r="X376" s="72"/>
      <c r="Y376" s="72"/>
      <c r="Z376" s="72"/>
      <c r="AA376" s="74"/>
      <c r="AB376" s="72"/>
      <c r="AC376" s="72"/>
      <c r="AD376" s="72"/>
      <c r="AE376" s="72"/>
      <c r="AF376" s="72"/>
      <c r="AG376" s="337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273"/>
      <c r="AU376" s="72"/>
      <c r="AV376" s="72"/>
      <c r="AW376" s="72"/>
      <c r="AX376" s="72"/>
      <c r="AY376" s="72"/>
      <c r="AZ376" s="75"/>
      <c r="BA376" s="75"/>
      <c r="BB376" s="75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</row>
    <row r="377" spans="1:84" x14ac:dyDescent="0.2">
      <c r="A377" s="90"/>
      <c r="B377" s="90"/>
      <c r="C377" s="72"/>
      <c r="D377" s="90"/>
      <c r="E377" s="90"/>
      <c r="F377" s="90"/>
      <c r="G377" s="72"/>
      <c r="H377" s="72"/>
      <c r="I377" s="72"/>
      <c r="J377" s="72"/>
      <c r="K377" s="72"/>
      <c r="L377" s="72"/>
      <c r="M377" s="72"/>
      <c r="N377" s="72"/>
      <c r="O377" s="345"/>
      <c r="P377" s="72"/>
      <c r="Q377" s="72"/>
      <c r="S377" s="72"/>
      <c r="T377" s="72"/>
      <c r="U377" s="72"/>
      <c r="V377" s="72"/>
      <c r="W377" s="72"/>
      <c r="X377" s="72"/>
      <c r="Y377" s="72"/>
      <c r="Z377" s="72"/>
      <c r="AA377" s="74"/>
      <c r="AB377" s="72"/>
      <c r="AC377" s="72"/>
      <c r="AD377" s="72"/>
      <c r="AE377" s="72"/>
      <c r="AF377" s="72"/>
      <c r="AG377" s="337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273"/>
      <c r="AU377" s="72"/>
      <c r="AV377" s="72"/>
      <c r="AW377" s="72"/>
      <c r="AX377" s="72"/>
      <c r="AY377" s="72"/>
      <c r="AZ377" s="75"/>
      <c r="BA377" s="75"/>
      <c r="BB377" s="75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</row>
    <row r="378" spans="1:84" x14ac:dyDescent="0.2">
      <c r="A378" s="90"/>
      <c r="B378" s="90"/>
      <c r="C378" s="72"/>
      <c r="D378" s="90"/>
      <c r="E378" s="90"/>
      <c r="F378" s="90"/>
      <c r="G378" s="72"/>
      <c r="H378" s="72"/>
      <c r="I378" s="72"/>
      <c r="J378" s="72"/>
      <c r="K378" s="72"/>
      <c r="L378" s="72"/>
      <c r="M378" s="72"/>
      <c r="N378" s="72"/>
      <c r="O378" s="345"/>
      <c r="P378" s="72"/>
      <c r="Q378" s="72"/>
      <c r="S378" s="72"/>
      <c r="T378" s="72"/>
      <c r="U378" s="72"/>
      <c r="V378" s="72"/>
      <c r="W378" s="72"/>
      <c r="X378" s="72"/>
      <c r="Y378" s="72"/>
      <c r="Z378" s="72"/>
      <c r="AA378" s="74"/>
      <c r="AB378" s="72"/>
      <c r="AC378" s="72"/>
      <c r="AD378" s="72"/>
      <c r="AE378" s="72"/>
      <c r="AF378" s="72"/>
      <c r="AG378" s="337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273"/>
      <c r="AU378" s="72"/>
      <c r="AV378" s="72"/>
      <c r="AW378" s="72"/>
      <c r="AX378" s="72"/>
      <c r="AY378" s="72"/>
      <c r="AZ378" s="75"/>
      <c r="BA378" s="75"/>
      <c r="BB378" s="75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</row>
    <row r="379" spans="1:84" x14ac:dyDescent="0.2">
      <c r="A379" s="90"/>
      <c r="B379" s="90"/>
      <c r="C379" s="72"/>
      <c r="D379" s="90"/>
      <c r="E379" s="90"/>
      <c r="F379" s="90"/>
      <c r="G379" s="72"/>
      <c r="H379" s="72"/>
      <c r="I379" s="72"/>
      <c r="J379" s="72"/>
      <c r="K379" s="72"/>
      <c r="L379" s="72"/>
      <c r="M379" s="72"/>
      <c r="N379" s="72"/>
      <c r="O379" s="345"/>
      <c r="P379" s="72"/>
      <c r="Q379" s="72"/>
      <c r="S379" s="72"/>
      <c r="T379" s="72"/>
      <c r="U379" s="72"/>
      <c r="V379" s="72"/>
      <c r="W379" s="72"/>
      <c r="X379" s="72"/>
      <c r="Y379" s="72"/>
      <c r="Z379" s="72"/>
      <c r="AA379" s="74"/>
      <c r="AB379" s="72"/>
      <c r="AC379" s="72"/>
      <c r="AD379" s="72"/>
      <c r="AE379" s="72"/>
      <c r="AF379" s="72"/>
      <c r="AG379" s="337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273"/>
      <c r="AU379" s="72"/>
      <c r="AV379" s="72"/>
      <c r="AW379" s="72"/>
      <c r="AX379" s="72"/>
      <c r="AY379" s="72"/>
      <c r="AZ379" s="75"/>
      <c r="BA379" s="75"/>
      <c r="BB379" s="75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</row>
    <row r="380" spans="1:84" x14ac:dyDescent="0.2">
      <c r="A380" s="90"/>
      <c r="B380" s="90"/>
      <c r="C380" s="72"/>
      <c r="D380" s="90"/>
      <c r="E380" s="90"/>
      <c r="F380" s="90"/>
      <c r="G380" s="72"/>
      <c r="H380" s="72"/>
      <c r="I380" s="72"/>
      <c r="J380" s="72"/>
      <c r="K380" s="72"/>
      <c r="L380" s="72"/>
      <c r="M380" s="72"/>
      <c r="N380" s="72"/>
      <c r="O380" s="345"/>
      <c r="P380" s="72"/>
      <c r="Q380" s="72"/>
      <c r="S380" s="72"/>
      <c r="T380" s="72"/>
      <c r="U380" s="72"/>
      <c r="V380" s="72"/>
      <c r="W380" s="72"/>
      <c r="X380" s="72"/>
      <c r="Y380" s="72"/>
      <c r="Z380" s="72"/>
      <c r="AA380" s="74"/>
      <c r="AB380" s="72"/>
      <c r="AC380" s="72"/>
      <c r="AD380" s="72"/>
      <c r="AE380" s="72"/>
      <c r="AF380" s="72"/>
      <c r="AG380" s="337"/>
      <c r="AH380" s="72"/>
      <c r="AI380" s="72"/>
      <c r="AJ380" s="72"/>
      <c r="AK380" s="72"/>
      <c r="AL380" s="72"/>
      <c r="AM380" s="72"/>
      <c r="AO380" s="72"/>
      <c r="AP380" s="72"/>
      <c r="AQ380" s="72"/>
      <c r="AR380" s="72"/>
      <c r="AS380" s="72"/>
      <c r="AT380" s="273"/>
      <c r="AU380" s="72"/>
      <c r="AV380" s="72"/>
      <c r="AW380" s="72"/>
      <c r="AX380" s="72"/>
      <c r="AY380" s="72"/>
      <c r="AZ380" s="75"/>
      <c r="BA380" s="75"/>
      <c r="BB380" s="75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</row>
    <row r="381" spans="1:84" x14ac:dyDescent="0.2">
      <c r="A381" s="90"/>
      <c r="B381" s="90"/>
      <c r="C381" s="72"/>
      <c r="D381" s="90"/>
      <c r="E381" s="90"/>
      <c r="F381" s="90"/>
      <c r="G381" s="72"/>
      <c r="H381" s="72"/>
      <c r="I381" s="72"/>
      <c r="J381" s="72"/>
      <c r="K381" s="72"/>
      <c r="L381" s="72"/>
      <c r="M381" s="72"/>
      <c r="N381" s="72"/>
      <c r="O381" s="345"/>
      <c r="P381" s="72"/>
      <c r="Q381" s="72"/>
      <c r="S381" s="72"/>
      <c r="T381" s="72"/>
      <c r="U381" s="72"/>
      <c r="V381" s="72"/>
      <c r="W381" s="72"/>
      <c r="X381" s="72"/>
      <c r="Y381" s="72"/>
      <c r="Z381" s="72"/>
      <c r="AA381" s="74"/>
      <c r="AB381" s="72"/>
      <c r="AC381" s="72"/>
      <c r="AD381" s="72"/>
      <c r="AE381" s="72"/>
      <c r="AF381" s="72"/>
      <c r="AG381" s="337"/>
      <c r="AH381" s="72"/>
      <c r="AI381" s="72"/>
      <c r="AJ381" s="72"/>
      <c r="AK381" s="72"/>
      <c r="AL381" s="72"/>
      <c r="AM381" s="72"/>
      <c r="AO381" s="72"/>
      <c r="AP381" s="72"/>
      <c r="AQ381" s="72"/>
      <c r="AR381" s="72"/>
      <c r="AS381" s="72"/>
      <c r="AT381" s="273"/>
      <c r="AU381" s="72"/>
      <c r="AV381" s="72"/>
      <c r="AW381" s="72"/>
      <c r="AX381" s="72"/>
      <c r="AY381" s="72"/>
      <c r="AZ381" s="75"/>
      <c r="BA381" s="75"/>
      <c r="BB381" s="75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</row>
    <row r="382" spans="1:84" x14ac:dyDescent="0.2">
      <c r="A382" s="90"/>
      <c r="B382" s="90"/>
      <c r="C382" s="72"/>
      <c r="D382" s="90"/>
      <c r="E382" s="90"/>
      <c r="F382" s="90"/>
      <c r="G382" s="72"/>
      <c r="H382" s="72"/>
      <c r="I382" s="72"/>
      <c r="J382" s="72"/>
      <c r="K382" s="72"/>
      <c r="L382" s="72"/>
      <c r="M382" s="72"/>
      <c r="N382" s="72"/>
      <c r="O382" s="345"/>
      <c r="P382" s="72"/>
      <c r="Q382" s="72"/>
      <c r="S382" s="72"/>
      <c r="T382" s="72"/>
      <c r="U382" s="72"/>
      <c r="V382" s="72"/>
      <c r="W382" s="72"/>
      <c r="X382" s="72"/>
      <c r="Y382" s="72"/>
      <c r="Z382" s="72"/>
      <c r="AA382" s="74"/>
      <c r="AB382" s="72"/>
      <c r="AC382" s="72"/>
      <c r="AD382" s="72"/>
      <c r="AE382" s="72"/>
      <c r="AF382" s="72"/>
      <c r="AG382" s="337"/>
      <c r="AH382" s="72"/>
      <c r="AI382" s="72"/>
      <c r="AJ382" s="72"/>
      <c r="AK382" s="72"/>
      <c r="AL382" s="72"/>
      <c r="AM382" s="72"/>
      <c r="AO382" s="72"/>
      <c r="AP382" s="72"/>
      <c r="AQ382" s="72"/>
      <c r="AR382" s="72"/>
      <c r="AS382" s="72"/>
      <c r="AT382" s="273"/>
      <c r="AU382" s="72"/>
      <c r="AV382" s="72"/>
      <c r="AW382" s="72"/>
      <c r="AX382" s="72"/>
      <c r="AY382" s="72"/>
      <c r="AZ382" s="75"/>
      <c r="BA382" s="75"/>
      <c r="BB382" s="75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</row>
    <row r="383" spans="1:84" x14ac:dyDescent="0.2">
      <c r="O383" s="348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28"/>
  <sheetViews>
    <sheetView workbookViewId="0">
      <selection activeCell="F32" sqref="F32"/>
    </sheetView>
  </sheetViews>
  <sheetFormatPr defaultRowHeight="12.75" x14ac:dyDescent="0.2"/>
  <cols>
    <col min="1" max="1" width="28.140625" customWidth="1"/>
    <col min="6" max="6" width="9.140625" style="17"/>
  </cols>
  <sheetData>
    <row r="1" spans="1:6" ht="15.75" x14ac:dyDescent="0.25">
      <c r="A1" s="4" t="s">
        <v>30</v>
      </c>
    </row>
    <row r="4" spans="1:6" x14ac:dyDescent="0.2">
      <c r="A4" s="2" t="s">
        <v>31</v>
      </c>
      <c r="F4" s="51"/>
    </row>
    <row r="5" spans="1:6" x14ac:dyDescent="0.2">
      <c r="A5" t="s">
        <v>34</v>
      </c>
      <c r="B5" s="49">
        <f>0.011212*277.37</f>
        <v>3.1098724400000002</v>
      </c>
      <c r="C5" t="s">
        <v>38</v>
      </c>
      <c r="F5" s="50"/>
    </row>
    <row r="6" spans="1:6" x14ac:dyDescent="0.2">
      <c r="A6" t="s">
        <v>35</v>
      </c>
      <c r="B6" s="49">
        <v>0.88402800000000004</v>
      </c>
      <c r="C6" t="s">
        <v>38</v>
      </c>
      <c r="F6" s="50"/>
    </row>
    <row r="7" spans="1:6" x14ac:dyDescent="0.2">
      <c r="A7" t="s">
        <v>44</v>
      </c>
      <c r="B7" s="49">
        <f>0.000013*277.37</f>
        <v>3.6058099999999997E-3</v>
      </c>
      <c r="C7" t="s">
        <v>38</v>
      </c>
      <c r="F7" s="50"/>
    </row>
    <row r="8" spans="1:6" x14ac:dyDescent="0.2">
      <c r="A8" t="s">
        <v>123</v>
      </c>
      <c r="B8" s="49">
        <f>0.000382*277.37+0.029064</f>
        <v>0.13501934000000002</v>
      </c>
      <c r="C8" t="s">
        <v>38</v>
      </c>
      <c r="F8" s="50"/>
    </row>
    <row r="9" spans="1:6" x14ac:dyDescent="0.2">
      <c r="A9" t="s">
        <v>36</v>
      </c>
      <c r="B9" s="49">
        <v>2.2000000000000001E-3</v>
      </c>
      <c r="C9" t="s">
        <v>38</v>
      </c>
      <c r="F9" s="50"/>
    </row>
    <row r="10" spans="1:6" x14ac:dyDescent="0.2">
      <c r="A10" t="s">
        <v>37</v>
      </c>
      <c r="B10" s="49">
        <v>7.0000000000000001E-3</v>
      </c>
      <c r="C10" t="s">
        <v>38</v>
      </c>
      <c r="F10" s="50"/>
    </row>
    <row r="11" spans="1:6" x14ac:dyDescent="0.2">
      <c r="A11" t="s">
        <v>39</v>
      </c>
    </row>
    <row r="12" spans="1:6" x14ac:dyDescent="0.2">
      <c r="A12" t="s">
        <v>124</v>
      </c>
    </row>
    <row r="14" spans="1:6" x14ac:dyDescent="0.2">
      <c r="A14" s="2" t="s">
        <v>32</v>
      </c>
    </row>
    <row r="15" spans="1:6" x14ac:dyDescent="0.2">
      <c r="A15" t="s">
        <v>34</v>
      </c>
      <c r="B15" s="49">
        <f>0.011212*612.46</f>
        <v>6.8669015199999999</v>
      </c>
      <c r="C15" t="s">
        <v>38</v>
      </c>
      <c r="F15" s="50"/>
    </row>
    <row r="16" spans="1:6" x14ac:dyDescent="0.2">
      <c r="A16" t="s">
        <v>35</v>
      </c>
      <c r="B16" s="49">
        <v>0.88402800000000004</v>
      </c>
      <c r="C16" t="s">
        <v>38</v>
      </c>
      <c r="F16" s="50"/>
    </row>
    <row r="17" spans="1:6" x14ac:dyDescent="0.2">
      <c r="A17" t="s">
        <v>44</v>
      </c>
      <c r="B17" s="49">
        <f>0.000013*612.46</f>
        <v>7.9619800000000004E-3</v>
      </c>
      <c r="C17" t="s">
        <v>38</v>
      </c>
      <c r="F17" s="50"/>
    </row>
    <row r="18" spans="1:6" x14ac:dyDescent="0.2">
      <c r="A18" t="s">
        <v>122</v>
      </c>
      <c r="B18" s="49">
        <f>0.000382*612.46+0.029064</f>
        <v>0.26302372000000002</v>
      </c>
      <c r="C18" t="s">
        <v>38</v>
      </c>
      <c r="F18" s="50"/>
    </row>
    <row r="19" spans="1:6" x14ac:dyDescent="0.2">
      <c r="A19" t="s">
        <v>36</v>
      </c>
      <c r="B19" s="49">
        <v>2.2000000000000001E-3</v>
      </c>
      <c r="C19" t="s">
        <v>38</v>
      </c>
      <c r="F19" s="50"/>
    </row>
    <row r="20" spans="1:6" x14ac:dyDescent="0.2">
      <c r="A20" t="s">
        <v>37</v>
      </c>
      <c r="B20" s="49">
        <v>7.0000000000000001E-3</v>
      </c>
      <c r="C20" t="s">
        <v>38</v>
      </c>
      <c r="F20" s="50"/>
    </row>
    <row r="22" spans="1:6" x14ac:dyDescent="0.2">
      <c r="A22" s="2" t="s">
        <v>33</v>
      </c>
    </row>
    <row r="23" spans="1:6" x14ac:dyDescent="0.2">
      <c r="A23" t="s">
        <v>34</v>
      </c>
      <c r="B23" s="49">
        <f>0.011212*335.09</f>
        <v>3.7570290799999997</v>
      </c>
      <c r="C23" t="s">
        <v>38</v>
      </c>
      <c r="F23" s="50"/>
    </row>
    <row r="24" spans="1:6" x14ac:dyDescent="0.2">
      <c r="A24" t="s">
        <v>35</v>
      </c>
      <c r="B24" s="49">
        <v>0.88402800000000004</v>
      </c>
      <c r="C24" t="s">
        <v>38</v>
      </c>
      <c r="F24" s="50"/>
    </row>
    <row r="25" spans="1:6" x14ac:dyDescent="0.2">
      <c r="A25" t="s">
        <v>44</v>
      </c>
      <c r="B25" s="49">
        <f>0.000013*335.09</f>
        <v>4.3561699999999995E-3</v>
      </c>
      <c r="C25" t="s">
        <v>38</v>
      </c>
      <c r="F25" s="50"/>
    </row>
    <row r="26" spans="1:6" x14ac:dyDescent="0.2">
      <c r="A26" t="s">
        <v>122</v>
      </c>
      <c r="B26" s="49">
        <f>0.000382*335.09+0.029064</f>
        <v>0.15706838000000001</v>
      </c>
      <c r="C26" t="s">
        <v>38</v>
      </c>
      <c r="F26" s="50"/>
    </row>
    <row r="27" spans="1:6" x14ac:dyDescent="0.2">
      <c r="A27" t="s">
        <v>36</v>
      </c>
      <c r="B27" s="49">
        <v>2.2000000000000001E-3</v>
      </c>
      <c r="C27" t="s">
        <v>38</v>
      </c>
      <c r="F27" s="50"/>
    </row>
    <row r="28" spans="1:6" x14ac:dyDescent="0.2">
      <c r="A28" t="s">
        <v>37</v>
      </c>
      <c r="B28" s="49">
        <v>7.0000000000000001E-3</v>
      </c>
      <c r="C28" t="s">
        <v>38</v>
      </c>
      <c r="F28" s="50"/>
    </row>
  </sheetData>
  <phoneticPr fontId="0" type="noConversion"/>
  <pageMargins left="0.75" right="0.75" top="1" bottom="1" header="0.5" footer="0.5"/>
  <pageSetup orientation="portrait" horizontalDpi="0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L78"/>
  <sheetViews>
    <sheetView topLeftCell="A49" zoomScale="90" workbookViewId="0">
      <selection activeCell="C65" sqref="C65"/>
    </sheetView>
  </sheetViews>
  <sheetFormatPr defaultRowHeight="12.75" x14ac:dyDescent="0.2"/>
  <cols>
    <col min="1" max="1" width="28" customWidth="1"/>
    <col min="2" max="2" width="9" customWidth="1"/>
    <col min="3" max="3" width="11.28515625" bestFit="1" customWidth="1"/>
    <col min="5" max="5" width="9.140625" style="1"/>
    <col min="6" max="6" width="11.42578125" bestFit="1" customWidth="1"/>
  </cols>
  <sheetData>
    <row r="1" spans="1:12" ht="15.75" x14ac:dyDescent="0.25">
      <c r="A1" s="4" t="s">
        <v>67</v>
      </c>
    </row>
    <row r="2" spans="1:12" ht="15.75" x14ac:dyDescent="0.25">
      <c r="A2" s="4"/>
    </row>
    <row r="3" spans="1:12" s="382" customFormat="1" ht="14.25" x14ac:dyDescent="0.2">
      <c r="A3" s="382" t="s">
        <v>289</v>
      </c>
      <c r="B3" s="382">
        <f>SummerSum!T4</f>
        <v>4.0406567026484366</v>
      </c>
      <c r="C3" s="382" t="s">
        <v>53</v>
      </c>
      <c r="E3" s="384"/>
    </row>
    <row r="4" spans="1:12" s="382" customFormat="1" ht="14.25" x14ac:dyDescent="0.2">
      <c r="A4" s="382" t="s">
        <v>288</v>
      </c>
      <c r="B4" s="382">
        <f>WinterSum!T4</f>
        <v>4.8967887061129094</v>
      </c>
      <c r="C4" s="382" t="s">
        <v>53</v>
      </c>
      <c r="E4" s="384"/>
    </row>
    <row r="5" spans="1:12" x14ac:dyDescent="0.2">
      <c r="A5" t="s">
        <v>291</v>
      </c>
      <c r="B5" s="383">
        <v>0.14000000000000001</v>
      </c>
    </row>
    <row r="7" spans="1:12" x14ac:dyDescent="0.2">
      <c r="E7" s="1" t="s">
        <v>290</v>
      </c>
      <c r="F7" s="14"/>
      <c r="G7" s="15"/>
    </row>
    <row r="8" spans="1:12" x14ac:dyDescent="0.2">
      <c r="A8" s="2" t="s">
        <v>83</v>
      </c>
      <c r="B8" s="9" t="s">
        <v>53</v>
      </c>
      <c r="C8" s="2" t="s">
        <v>74</v>
      </c>
      <c r="E8" s="9" t="s">
        <v>53</v>
      </c>
      <c r="F8" s="2" t="s">
        <v>74</v>
      </c>
      <c r="G8" s="9"/>
    </row>
    <row r="9" spans="1:12" x14ac:dyDescent="0.2">
      <c r="A9" t="s">
        <v>68</v>
      </c>
      <c r="B9" s="13">
        <f>5.59657*12/365</f>
        <v>0.18399682191780822</v>
      </c>
      <c r="C9" s="10">
        <f>B9*1.055056/Summary!$B$4</f>
        <v>0.12796096199564402</v>
      </c>
    </row>
    <row r="10" spans="1:12" x14ac:dyDescent="0.2">
      <c r="A10" t="s">
        <v>69</v>
      </c>
      <c r="B10" s="13">
        <v>7.9699999999999997E-3</v>
      </c>
      <c r="C10" s="10">
        <f>B10*1.055056/Summary!$B$4</f>
        <v>5.5427526218950213E-3</v>
      </c>
      <c r="F10" s="2"/>
      <c r="G10" s="16"/>
      <c r="J10" s="2"/>
    </row>
    <row r="11" spans="1:12" x14ac:dyDescent="0.2">
      <c r="A11" t="s">
        <v>80</v>
      </c>
      <c r="B11" s="13">
        <v>0.15359999999999999</v>
      </c>
      <c r="C11" s="10">
        <f>B11*1.055056/Summary!$B$4</f>
        <v>0.10682143070553013</v>
      </c>
      <c r="D11">
        <f>$B$5*($B$4+'Nova&amp;ANG&amp;GLGT$'!$B$9)/('TCPL$'!$B$25+'TCPL$'!$B$26)*('TCPL$'!B9+'TCPL$'!B10)+0.04*'TCPL$'!B9+'TCPL$'!B10</f>
        <v>0.1353593792923044</v>
      </c>
      <c r="E11" s="1">
        <f>IF(D11&lt;0.8*(B9+B10),0.8*(B9+B10),IF(D11&gt;1.2*(B9+B10),1.2*(B9+B10),D11))</f>
        <v>0.15357345753424659</v>
      </c>
      <c r="F11" s="10">
        <f>E11*1.055056/Summary!$B$4</f>
        <v>0.10680297169403123</v>
      </c>
      <c r="G11" s="23"/>
      <c r="H11" s="19"/>
      <c r="J11" s="17"/>
      <c r="K11" s="18"/>
      <c r="L11" s="19"/>
    </row>
    <row r="12" spans="1:12" x14ac:dyDescent="0.2">
      <c r="B12" s="13"/>
      <c r="F12" s="17"/>
      <c r="G12" s="20"/>
      <c r="H12" s="1"/>
      <c r="K12" s="20"/>
      <c r="L12" s="1"/>
    </row>
    <row r="13" spans="1:12" x14ac:dyDescent="0.2">
      <c r="B13" s="13"/>
      <c r="G13" s="1"/>
      <c r="H13" s="1"/>
      <c r="K13" s="1"/>
      <c r="L13" s="1"/>
    </row>
    <row r="14" spans="1:12" x14ac:dyDescent="0.2">
      <c r="A14" s="2" t="s">
        <v>66</v>
      </c>
      <c r="B14" s="358"/>
      <c r="G14" s="1"/>
      <c r="H14" s="1"/>
      <c r="K14" s="1"/>
      <c r="L14" s="1"/>
    </row>
    <row r="15" spans="1:12" x14ac:dyDescent="0.2">
      <c r="A15" t="s">
        <v>68</v>
      </c>
      <c r="B15" s="358">
        <f>11.87942*12/365</f>
        <v>0.39055627397260279</v>
      </c>
      <c r="C15" s="10">
        <f>B15*1.055056/Summary!$B$4</f>
        <v>0.27161315076025022</v>
      </c>
      <c r="F15" s="16"/>
      <c r="G15" s="24"/>
      <c r="H15" s="23"/>
      <c r="I15" s="16"/>
      <c r="J15" s="16"/>
      <c r="K15" s="23"/>
      <c r="L15" s="23"/>
    </row>
    <row r="16" spans="1:12" x14ac:dyDescent="0.2">
      <c r="A16" t="s">
        <v>69</v>
      </c>
      <c r="B16" s="358">
        <v>1.6379999999999999E-2</v>
      </c>
      <c r="C16" s="10">
        <f>B16*1.055056/Summary!$B$4</f>
        <v>1.1391504133831925E-2</v>
      </c>
      <c r="F16" s="16"/>
      <c r="G16" s="26"/>
      <c r="H16" s="23"/>
      <c r="I16" s="16"/>
      <c r="J16" s="16"/>
      <c r="K16" s="23"/>
      <c r="L16" s="23"/>
    </row>
    <row r="17" spans="1:12" x14ac:dyDescent="0.2">
      <c r="A17" t="s">
        <v>70</v>
      </c>
      <c r="B17" s="358">
        <f>0.1199*12/365</f>
        <v>3.9419178082191787E-3</v>
      </c>
      <c r="C17" s="10">
        <f>B17*1.055056/Summary!$B$4</f>
        <v>2.741414713525913E-3</v>
      </c>
      <c r="F17" s="27"/>
      <c r="G17" s="28"/>
      <c r="H17" s="23"/>
      <c r="I17" s="16"/>
      <c r="J17" s="16"/>
      <c r="K17" s="26"/>
      <c r="L17" s="23"/>
    </row>
    <row r="18" spans="1:12" x14ac:dyDescent="0.2">
      <c r="A18" t="s">
        <v>71</v>
      </c>
      <c r="B18" s="358">
        <f>0.16118*12/365</f>
        <v>5.2990684931506849E-3</v>
      </c>
      <c r="C18" s="10">
        <f>B18*1.055056/Summary!$B$4</f>
        <v>3.6852479026364187E-3</v>
      </c>
      <c r="F18" s="27"/>
      <c r="G18" s="29"/>
      <c r="H18" s="23"/>
      <c r="I18" s="16"/>
      <c r="J18" s="27"/>
      <c r="K18" s="28"/>
      <c r="L18" s="23"/>
    </row>
    <row r="19" spans="1:12" x14ac:dyDescent="0.2">
      <c r="A19" t="s">
        <v>80</v>
      </c>
      <c r="B19" s="358">
        <v>0.3256</v>
      </c>
      <c r="C19" s="10">
        <f>B19*1.055056/Summary!$B$4</f>
        <v>0.22643917863099358</v>
      </c>
      <c r="D19">
        <f>$B$5*($B$4+'Nova&amp;ANG&amp;GLGT$'!$B$9)/('TCPL$'!$B$25+'TCPL$'!$B$26)*('TCPL$'!B15+'TCPL$'!B16)+0.04*'TCPL$'!B15+'TCPL$'!B16</f>
        <v>0.28644392801310192</v>
      </c>
      <c r="E19" s="1">
        <f>IF(D19&lt;0.8*(B15+B16),0.8*(B15+B16),IF(D19&gt;1.2*(B15+B16),1.2*(B15+B16),D19))</f>
        <v>0.32554901917808227</v>
      </c>
      <c r="F19" s="10">
        <f>E19*1.055056/Summary!$B$4</f>
        <v>0.22640372391526573</v>
      </c>
      <c r="G19" s="23"/>
      <c r="H19" s="16"/>
      <c r="I19" s="16"/>
      <c r="J19" s="27"/>
      <c r="K19" s="29"/>
      <c r="L19" s="23"/>
    </row>
    <row r="20" spans="1:12" x14ac:dyDescent="0.2">
      <c r="A20" t="s">
        <v>81</v>
      </c>
      <c r="B20" s="34">
        <f>B17</f>
        <v>3.9419178082191787E-3</v>
      </c>
      <c r="C20" s="10">
        <f>B20*1.055056/Summary!$B$4</f>
        <v>2.741414713525913E-3</v>
      </c>
      <c r="F20" s="16"/>
      <c r="G20" s="16"/>
      <c r="H20" s="16"/>
      <c r="I20" s="16"/>
      <c r="J20" s="16"/>
      <c r="K20" s="16"/>
      <c r="L20" s="16"/>
    </row>
    <row r="21" spans="1:12" x14ac:dyDescent="0.2">
      <c r="A21" t="s">
        <v>82</v>
      </c>
      <c r="B21" s="34">
        <f>B18</f>
        <v>5.2990684931506849E-3</v>
      </c>
      <c r="C21" s="10">
        <f>B21*1.055056/Summary!$B$4</f>
        <v>3.6852479026364187E-3</v>
      </c>
      <c r="F21" s="16"/>
      <c r="G21" s="16"/>
      <c r="H21" s="16"/>
      <c r="I21" s="16"/>
      <c r="J21" s="16"/>
      <c r="K21" s="16"/>
      <c r="L21" s="16"/>
    </row>
    <row r="22" spans="1:12" x14ac:dyDescent="0.2">
      <c r="B22" s="358"/>
      <c r="F22" s="27"/>
      <c r="G22" s="16"/>
      <c r="H22" s="16"/>
      <c r="I22" s="16"/>
      <c r="J22" s="27"/>
      <c r="K22" s="16"/>
      <c r="L22" s="16"/>
    </row>
    <row r="23" spans="1:12" x14ac:dyDescent="0.2">
      <c r="B23" s="358"/>
      <c r="F23" s="30"/>
      <c r="G23" s="18"/>
      <c r="H23" s="21"/>
      <c r="I23" s="16"/>
      <c r="J23" s="30"/>
      <c r="K23" s="18"/>
      <c r="L23" s="21"/>
    </row>
    <row r="24" spans="1:12" x14ac:dyDescent="0.2">
      <c r="A24" s="2" t="s">
        <v>318</v>
      </c>
      <c r="B24" s="358"/>
      <c r="F24" s="30"/>
      <c r="G24" s="22"/>
      <c r="H24" s="23"/>
      <c r="I24" s="16"/>
      <c r="J24" s="30"/>
      <c r="K24" s="22"/>
      <c r="L24" s="23"/>
    </row>
    <row r="25" spans="1:12" x14ac:dyDescent="0.2">
      <c r="A25" t="s">
        <v>68</v>
      </c>
      <c r="B25" s="358">
        <f>32.99445*12/365</f>
        <v>1.0847490410958904</v>
      </c>
      <c r="C25" s="10">
        <f>B25*1.055056/Summary!$B$4</f>
        <v>0.75439091488486287</v>
      </c>
      <c r="F25" s="16"/>
      <c r="G25" s="23"/>
      <c r="H25" s="23"/>
      <c r="I25" s="16"/>
      <c r="J25" s="16"/>
      <c r="K25" s="23"/>
      <c r="L25" s="23"/>
    </row>
    <row r="26" spans="1:12" x14ac:dyDescent="0.2">
      <c r="A26" t="s">
        <v>69</v>
      </c>
      <c r="B26" s="358">
        <v>4.7570000000000001E-2</v>
      </c>
      <c r="C26" s="10">
        <f>B26*1.055056/Summary!$B$4</f>
        <v>3.3082652725664512E-2</v>
      </c>
      <c r="F26" s="16"/>
      <c r="G26" s="23"/>
      <c r="H26" s="23"/>
      <c r="I26" s="16"/>
      <c r="J26" s="16"/>
      <c r="K26" s="23"/>
      <c r="L26" s="23"/>
    </row>
    <row r="27" spans="1:12" x14ac:dyDescent="0.2">
      <c r="A27" t="s">
        <v>126</v>
      </c>
      <c r="B27" s="358">
        <f>0.11165*12/365</f>
        <v>3.6706849315068491E-3</v>
      </c>
      <c r="C27" s="10">
        <f>B27*1.055056/Summary!$B$4</f>
        <v>2.5527852607603678E-3</v>
      </c>
      <c r="F27" s="16"/>
      <c r="G27" s="23"/>
      <c r="H27" s="23"/>
      <c r="I27" s="387"/>
      <c r="J27" s="16"/>
      <c r="K27" s="23"/>
      <c r="L27" s="23"/>
    </row>
    <row r="28" spans="1:12" x14ac:dyDescent="0.2">
      <c r="A28" t="s">
        <v>80</v>
      </c>
      <c r="B28" s="358">
        <v>0.90590000000000004</v>
      </c>
      <c r="C28" s="10">
        <f>B28*1.055056/Summary!$B$4</f>
        <v>0.63000998747486825</v>
      </c>
      <c r="D28">
        <f>$B$5*($B$4+'Nova&amp;ANG&amp;GLGT$'!$B$9)/('TCPL$'!$B$25+'TCPL$'!$B$26)*('TCPL$'!B25+'TCPL$'!B26)+0.04*'TCPL$'!B25+'TCPL$'!B26</f>
        <v>0.79895571971242352</v>
      </c>
      <c r="E28" s="1">
        <f>IF(D28&lt;0.8*(B25+B26),0.8*(B25+B26),IF(D28&gt;1.2*(B25+B26),1.2*(B25+B26),D28))</f>
        <v>0.90585523287671244</v>
      </c>
      <c r="F28" s="10">
        <f>E28*1.055056/Summary!$B$4</f>
        <v>0.62997885408842191</v>
      </c>
      <c r="G28" s="23"/>
      <c r="H28" s="23"/>
      <c r="I28" s="16"/>
      <c r="J28" s="16"/>
      <c r="K28" s="24"/>
      <c r="L28" s="23"/>
    </row>
    <row r="29" spans="1:12" x14ac:dyDescent="0.2">
      <c r="A29" t="s">
        <v>88</v>
      </c>
      <c r="B29" s="34">
        <f>B27</f>
        <v>3.6706849315068491E-3</v>
      </c>
      <c r="C29" s="10">
        <f>B29*1.055056/Summary!$B$4</f>
        <v>2.5527852607603678E-3</v>
      </c>
      <c r="F29" s="16"/>
      <c r="G29" s="24"/>
      <c r="H29" s="23"/>
      <c r="I29" s="16"/>
      <c r="J29" s="16"/>
      <c r="K29" s="24"/>
      <c r="L29" s="23"/>
    </row>
    <row r="30" spans="1:12" x14ac:dyDescent="0.2">
      <c r="A30" t="s">
        <v>85</v>
      </c>
      <c r="B30" s="358"/>
      <c r="C30" s="1">
        <v>0.02</v>
      </c>
      <c r="F30" s="16"/>
      <c r="G30" s="26"/>
      <c r="H30" s="23"/>
      <c r="I30" s="16"/>
      <c r="J30" s="16"/>
      <c r="K30" s="26"/>
      <c r="L30" s="23"/>
    </row>
    <row r="31" spans="1:12" x14ac:dyDescent="0.2">
      <c r="B31" s="358"/>
      <c r="F31" s="27"/>
      <c r="G31" s="28"/>
      <c r="H31" s="23"/>
      <c r="I31" s="16"/>
      <c r="J31" s="27"/>
      <c r="K31" s="28"/>
      <c r="L31" s="23"/>
    </row>
    <row r="32" spans="1:12" x14ac:dyDescent="0.2">
      <c r="B32" s="358"/>
      <c r="F32" s="27"/>
      <c r="G32" s="29"/>
      <c r="H32" s="23"/>
      <c r="I32" s="16"/>
      <c r="J32" s="27"/>
      <c r="K32" s="29"/>
      <c r="L32" s="23"/>
    </row>
    <row r="33" spans="1:12" x14ac:dyDescent="0.2">
      <c r="A33" s="2" t="s">
        <v>86</v>
      </c>
      <c r="B33" s="358"/>
      <c r="F33" s="16"/>
      <c r="G33" s="16"/>
      <c r="H33" s="16"/>
      <c r="I33" s="16"/>
      <c r="J33" s="16"/>
      <c r="K33" s="16"/>
      <c r="L33" s="16"/>
    </row>
    <row r="34" spans="1:12" x14ac:dyDescent="0.2">
      <c r="A34" t="s">
        <v>68</v>
      </c>
      <c r="B34" s="358">
        <f>33.24926*12/365</f>
        <v>1.0931263561643836</v>
      </c>
      <c r="C34" s="10">
        <f>B34*1.055056/Summary!$B$4</f>
        <v>0.76021693559506742</v>
      </c>
      <c r="F34" s="16"/>
      <c r="G34" s="16"/>
      <c r="H34" s="16"/>
      <c r="I34" s="16"/>
      <c r="J34" s="16"/>
      <c r="K34" s="16"/>
      <c r="L34" s="16"/>
    </row>
    <row r="35" spans="1:12" x14ac:dyDescent="0.2">
      <c r="A35" t="s">
        <v>69</v>
      </c>
      <c r="B35" s="358">
        <v>4.8219999999999999E-2</v>
      </c>
      <c r="C35" s="10">
        <f>B35*1.055056/Summary!$B$4</f>
        <v>3.3534696540499107E-2</v>
      </c>
      <c r="F35" s="27"/>
      <c r="G35" s="16"/>
      <c r="H35" s="16"/>
      <c r="I35" s="16"/>
      <c r="J35" s="27"/>
      <c r="K35" s="16"/>
      <c r="L35" s="16"/>
    </row>
    <row r="36" spans="1:12" x14ac:dyDescent="0.2">
      <c r="A36" t="s">
        <v>87</v>
      </c>
      <c r="B36" s="358">
        <f>0.09995*12/365</f>
        <v>3.2860273972602741E-3</v>
      </c>
      <c r="C36" s="10">
        <f>B36*1.055056/Summary!$B$4</f>
        <v>2.2852744004746872E-3</v>
      </c>
      <c r="F36" s="30"/>
      <c r="G36" s="18"/>
      <c r="H36" s="21"/>
      <c r="I36" s="16"/>
      <c r="J36" s="30"/>
      <c r="K36" s="18"/>
      <c r="L36" s="21"/>
    </row>
    <row r="37" spans="1:12" x14ac:dyDescent="0.2">
      <c r="A37" t="s">
        <v>80</v>
      </c>
      <c r="B37" s="358">
        <v>0.91310000000000002</v>
      </c>
      <c r="C37" s="10">
        <f>B37*1.055056/Summary!$B$4</f>
        <v>0.63501724203918997</v>
      </c>
      <c r="D37">
        <f>$B$5*($B$4+'Nova&amp;ANG&amp;GLGT$'!$B$9)/('TCPL$'!$B$25+'TCPL$'!$B$26)*('TCPL$'!B34+'TCPL$'!B35)+0.04*'TCPL$'!B34+'TCPL$'!B35</f>
        <v>0.80558524691643618</v>
      </c>
      <c r="E37" s="1">
        <f>IF(D37&lt;0.8*(B34+B35),0.8*(B34+B35),IF(D37&gt;1.2*(B34+B35),1.2*(B34+B35),D37))</f>
        <v>0.91307708493150685</v>
      </c>
      <c r="F37" s="10">
        <f>E37*1.055056/Summary!$B$4</f>
        <v>0.63500130570845326</v>
      </c>
      <c r="G37" s="23"/>
      <c r="H37" s="23"/>
      <c r="I37" s="16"/>
      <c r="J37" s="30"/>
      <c r="K37" s="22"/>
      <c r="L37" s="23"/>
    </row>
    <row r="38" spans="1:12" x14ac:dyDescent="0.2">
      <c r="A38" t="s">
        <v>88</v>
      </c>
      <c r="B38" s="34">
        <f>B36</f>
        <v>3.2860273972602741E-3</v>
      </c>
      <c r="C38" s="10">
        <f>B38*1.055056/Summary!$B$4</f>
        <v>2.2852744004746872E-3</v>
      </c>
      <c r="F38" s="16"/>
      <c r="G38" s="23"/>
      <c r="H38" s="23"/>
      <c r="I38" s="16"/>
      <c r="J38" s="16"/>
      <c r="K38" s="23"/>
      <c r="L38" s="23"/>
    </row>
    <row r="39" spans="1:12" x14ac:dyDescent="0.2">
      <c r="B39" s="358"/>
      <c r="F39" s="16"/>
      <c r="G39" s="23"/>
      <c r="H39" s="23"/>
      <c r="I39" s="16"/>
      <c r="J39" s="16"/>
      <c r="K39" s="23"/>
      <c r="L39" s="23"/>
    </row>
    <row r="40" spans="1:12" x14ac:dyDescent="0.2">
      <c r="B40" s="358"/>
      <c r="F40" s="16"/>
      <c r="G40" s="24"/>
      <c r="H40" s="23"/>
      <c r="I40" s="16"/>
      <c r="J40" s="16"/>
      <c r="K40" s="25"/>
      <c r="L40" s="23"/>
    </row>
    <row r="41" spans="1:12" x14ac:dyDescent="0.2">
      <c r="A41" s="2" t="s">
        <v>89</v>
      </c>
      <c r="B41" s="358"/>
      <c r="F41" s="16"/>
      <c r="G41" s="26"/>
      <c r="H41" s="23"/>
      <c r="I41" s="16"/>
      <c r="J41" s="16"/>
      <c r="K41" s="26"/>
      <c r="L41" s="23"/>
    </row>
    <row r="42" spans="1:12" x14ac:dyDescent="0.2">
      <c r="A42" t="s">
        <v>68</v>
      </c>
      <c r="B42" s="358">
        <f>33.32208*12/365</f>
        <v>1.0955204383561643</v>
      </c>
      <c r="C42" s="10">
        <f>B42*1.055056/Summary!$B$4</f>
        <v>0.76188190489814467</v>
      </c>
      <c r="F42" s="27"/>
      <c r="G42" s="28"/>
      <c r="H42" s="23"/>
      <c r="I42" s="16"/>
      <c r="J42" s="27"/>
      <c r="K42" s="28"/>
      <c r="L42" s="23"/>
    </row>
    <row r="43" spans="1:12" x14ac:dyDescent="0.2">
      <c r="A43" t="s">
        <v>69</v>
      </c>
      <c r="B43" s="358">
        <v>4.8340000000000001E-2</v>
      </c>
      <c r="C43" s="10">
        <f>B43*1.055056/Summary!$B$4</f>
        <v>3.3618150783237807E-2</v>
      </c>
      <c r="F43" s="27"/>
      <c r="G43" s="29"/>
      <c r="H43" s="23"/>
      <c r="I43" s="16"/>
      <c r="J43" s="27"/>
      <c r="K43" s="29"/>
      <c r="L43" s="23"/>
    </row>
    <row r="44" spans="1:12" x14ac:dyDescent="0.2">
      <c r="A44" t="s">
        <v>87</v>
      </c>
      <c r="B44" s="358">
        <f>0.77351*12/365</f>
        <v>2.5430465753424659E-2</v>
      </c>
      <c r="C44" s="10">
        <f>B44*1.055056/Summary!$B$4</f>
        <v>1.7685668849536523E-2</v>
      </c>
      <c r="F44" s="16"/>
      <c r="G44" s="16"/>
      <c r="H44" s="16"/>
      <c r="I44" s="16"/>
      <c r="J44" s="16"/>
      <c r="K44" s="16"/>
      <c r="L44" s="16"/>
    </row>
    <row r="45" spans="1:12" x14ac:dyDescent="0.2">
      <c r="A45" t="s">
        <v>80</v>
      </c>
      <c r="B45" s="358">
        <v>0.91510000000000002</v>
      </c>
      <c r="C45" s="10">
        <f>B45*1.055056/Summary!$B$4</f>
        <v>0.63640814608483487</v>
      </c>
      <c r="D45">
        <f>$B$5*($B$4+'Nova&amp;ANG&amp;GLGT$'!$B$9)/('TCPL$'!$B$25+'TCPL$'!$B$26)*('TCPL$'!B42+'TCPL$'!B43)+0.04*'TCPL$'!B42+'TCPL$'!B43</f>
        <v>0.8073729695747579</v>
      </c>
      <c r="E45" s="1">
        <f>IF(D45&lt;0.8*(B42+B43),0.8*(B42+B43),IF(D45&gt;1.2*(B42+B43),1.2*(B42+B43),D45))</f>
        <v>0.91508835068493155</v>
      </c>
      <c r="F45" s="10">
        <f>E45*1.055056/Summary!$B$4</f>
        <v>0.63640004454510601</v>
      </c>
      <c r="G45" s="23"/>
      <c r="H45" s="16"/>
      <c r="I45" s="16"/>
      <c r="J45" s="16"/>
      <c r="K45" s="16"/>
      <c r="L45" s="16"/>
    </row>
    <row r="46" spans="1:12" x14ac:dyDescent="0.2">
      <c r="A46" t="s">
        <v>88</v>
      </c>
      <c r="B46" s="34">
        <f>B44</f>
        <v>2.5430465753424659E-2</v>
      </c>
      <c r="C46" s="10">
        <f>B46*1.055056/Summary!$B$4</f>
        <v>1.7685668849536523E-2</v>
      </c>
      <c r="F46" s="27"/>
      <c r="G46" s="16"/>
      <c r="H46" s="16"/>
      <c r="I46" s="16"/>
      <c r="J46" s="27"/>
      <c r="K46" s="16"/>
      <c r="L46" s="16"/>
    </row>
    <row r="47" spans="1:12" x14ac:dyDescent="0.2">
      <c r="B47" s="358"/>
      <c r="F47" s="30"/>
      <c r="G47" s="18"/>
      <c r="H47" s="21"/>
      <c r="I47" s="16"/>
      <c r="J47" s="30"/>
      <c r="K47" s="18"/>
      <c r="L47" s="21"/>
    </row>
    <row r="48" spans="1:12" x14ac:dyDescent="0.2">
      <c r="B48" s="358"/>
      <c r="F48" s="30"/>
      <c r="G48" s="22"/>
      <c r="H48" s="23"/>
      <c r="I48" s="16"/>
      <c r="J48" s="30"/>
      <c r="K48" s="22"/>
      <c r="L48" s="23"/>
    </row>
    <row r="49" spans="1:12" x14ac:dyDescent="0.2">
      <c r="A49" s="2" t="s">
        <v>90</v>
      </c>
      <c r="B49" s="358"/>
      <c r="F49" s="16"/>
      <c r="G49" s="23"/>
      <c r="H49" s="23"/>
      <c r="I49" s="16"/>
      <c r="J49" s="16"/>
      <c r="K49" s="23"/>
      <c r="L49" s="23"/>
    </row>
    <row r="50" spans="1:12" x14ac:dyDescent="0.2">
      <c r="A50" t="s">
        <v>68</v>
      </c>
      <c r="B50" s="358">
        <f>33.27492*12/365</f>
        <v>1.0939699726027396</v>
      </c>
      <c r="C50" s="10">
        <f>B50*1.055056/Summary!$B$4</f>
        <v>0.76080363035360854</v>
      </c>
      <c r="F50" s="16"/>
      <c r="G50" s="23"/>
      <c r="H50" s="23"/>
      <c r="I50" s="16"/>
      <c r="J50" s="16"/>
      <c r="K50" s="23"/>
      <c r="L50" s="23"/>
    </row>
    <row r="51" spans="1:12" x14ac:dyDescent="0.2">
      <c r="A51" t="s">
        <v>69</v>
      </c>
      <c r="B51" s="358">
        <v>4.8259999999999997E-2</v>
      </c>
      <c r="C51" s="10">
        <f>B51*1.055056/Summary!$B$4</f>
        <v>3.3562514621412007E-2</v>
      </c>
      <c r="F51" s="16"/>
      <c r="G51" s="25"/>
      <c r="H51" s="23"/>
      <c r="I51" s="16"/>
      <c r="J51" s="16"/>
      <c r="K51" s="25"/>
      <c r="L51" s="23"/>
    </row>
    <row r="52" spans="1:12" x14ac:dyDescent="0.2">
      <c r="A52" t="s">
        <v>87</v>
      </c>
      <c r="B52" s="358">
        <f>0.83454*12/365</f>
        <v>2.7436931506849314E-2</v>
      </c>
      <c r="C52" s="10">
        <f>B52*1.055056/Summary!$B$4</f>
        <v>1.9081069516479691E-2</v>
      </c>
      <c r="F52" s="16"/>
      <c r="G52" s="26"/>
      <c r="H52" s="23"/>
      <c r="I52" s="16"/>
      <c r="J52" s="16"/>
      <c r="K52" s="26"/>
      <c r="L52" s="23"/>
    </row>
    <row r="53" spans="1:12" x14ac:dyDescent="0.2">
      <c r="A53" t="s">
        <v>80</v>
      </c>
      <c r="B53" s="358">
        <v>0.91379999999999995</v>
      </c>
      <c r="C53" s="10">
        <f>B53*1.055056/Summary!$B$4</f>
        <v>0.63550405845516555</v>
      </c>
      <c r="D53">
        <f>$B$5*($B$4+'Nova&amp;ANG&amp;GLGT$'!$B$9)/('TCPL$'!$B$25+'TCPL$'!$B$26)*('TCPL$'!B50+'TCPL$'!B51)+0.04*'TCPL$'!B50+'TCPL$'!B51</f>
        <v>0.80621148311337809</v>
      </c>
      <c r="E53" s="1">
        <f>IF(D53&lt;0.8*(B50+B51),0.8*(B50+B51),IF(D53&gt;1.2*(B50+B51),1.2*(B50+B51),D53))</f>
        <v>0.91378397808219169</v>
      </c>
      <c r="F53" s="10">
        <f>E53*1.055056/Summary!$B$4</f>
        <v>0.63549291598001634</v>
      </c>
      <c r="G53" s="23"/>
      <c r="H53" s="23"/>
      <c r="I53" s="16"/>
      <c r="J53" s="27"/>
      <c r="K53" s="28"/>
      <c r="L53" s="23"/>
    </row>
    <row r="54" spans="1:12" x14ac:dyDescent="0.2">
      <c r="A54" t="s">
        <v>88</v>
      </c>
      <c r="B54" s="34">
        <f>B52</f>
        <v>2.7436931506849314E-2</v>
      </c>
      <c r="C54" s="10">
        <f>B54*1.055056/Summary!$B$4</f>
        <v>1.9081069516479691E-2</v>
      </c>
      <c r="F54" s="27"/>
      <c r="G54" s="29"/>
      <c r="H54" s="23"/>
      <c r="I54" s="16"/>
      <c r="J54" s="27"/>
      <c r="K54" s="29"/>
      <c r="L54" s="23"/>
    </row>
    <row r="55" spans="1:12" x14ac:dyDescent="0.2">
      <c r="B55" s="359"/>
      <c r="F55" s="16"/>
      <c r="G55" s="16"/>
      <c r="H55" s="16"/>
      <c r="I55" s="16"/>
      <c r="J55" s="16"/>
      <c r="K55" s="16"/>
      <c r="L55" s="16"/>
    </row>
    <row r="56" spans="1:12" x14ac:dyDescent="0.2">
      <c r="B56" s="359"/>
      <c r="F56" s="16"/>
      <c r="G56" s="16"/>
      <c r="H56" s="16"/>
      <c r="I56" s="16"/>
      <c r="J56" s="16"/>
      <c r="K56" s="16"/>
      <c r="L56" s="16"/>
    </row>
    <row r="57" spans="1:12" x14ac:dyDescent="0.2">
      <c r="A57" s="2" t="s">
        <v>127</v>
      </c>
      <c r="B57" s="358"/>
      <c r="F57" s="27"/>
      <c r="G57" s="16"/>
      <c r="H57" s="16"/>
      <c r="I57" s="16"/>
      <c r="J57" s="27"/>
      <c r="K57" s="16"/>
      <c r="L57" s="16"/>
    </row>
    <row r="58" spans="1:12" x14ac:dyDescent="0.2">
      <c r="A58" t="s">
        <v>68</v>
      </c>
      <c r="B58" s="358">
        <f>36.02381*12/365</f>
        <v>1.1843444383561643</v>
      </c>
      <c r="C58" s="10">
        <f>B58*1.055056/Summary!$B$4</f>
        <v>0.8236547353733269</v>
      </c>
      <c r="F58" s="30"/>
      <c r="G58" s="18"/>
      <c r="H58" s="21"/>
      <c r="I58" s="16"/>
      <c r="J58" s="30"/>
      <c r="K58" s="18"/>
      <c r="L58" s="21"/>
    </row>
    <row r="59" spans="1:12" x14ac:dyDescent="0.2">
      <c r="A59" t="s">
        <v>69</v>
      </c>
      <c r="B59" s="358">
        <v>5.2359999999999997E-2</v>
      </c>
      <c r="C59" s="10">
        <f>B59*1.055056/Summary!$B$4</f>
        <v>3.6413867914984098E-2</v>
      </c>
      <c r="F59" s="30"/>
      <c r="G59" s="22"/>
      <c r="H59" s="23"/>
      <c r="I59" s="16"/>
      <c r="J59" s="30"/>
      <c r="K59" s="22"/>
      <c r="L59" s="23"/>
    </row>
    <row r="60" spans="1:12" x14ac:dyDescent="0.2">
      <c r="A60" t="s">
        <v>87</v>
      </c>
      <c r="B60" s="358">
        <f>0*12/365</f>
        <v>0</v>
      </c>
      <c r="C60" s="10">
        <f>B60*1.055056/Summary!$B$4</f>
        <v>0</v>
      </c>
      <c r="F60" s="16"/>
      <c r="G60" s="23"/>
      <c r="H60" s="23"/>
      <c r="I60" s="16"/>
      <c r="J60" s="16"/>
      <c r="K60" s="23"/>
      <c r="L60" s="23"/>
    </row>
    <row r="61" spans="1:12" x14ac:dyDescent="0.2">
      <c r="A61" t="s">
        <v>80</v>
      </c>
      <c r="B61" s="358">
        <v>0.98939999999999995</v>
      </c>
      <c r="C61" s="10">
        <f>B61*1.055056/Summary!$B$4</f>
        <v>0.68808023138054375</v>
      </c>
      <c r="D61">
        <f>$B$5*($B$4+'Nova&amp;ANG&amp;GLGT$'!$B$9)/('TCPL$'!$B$25+'TCPL$'!$B$26)*('TCPL$'!B58+'TCPL$'!B59)+0.04*'TCPL$'!B58+'TCPL$'!B59</f>
        <v>0.87299772926762653</v>
      </c>
      <c r="E61" s="1">
        <f>IF(D61&lt;0.8*(B58+B59),0.8*(B58+B59),IF(D61&gt;1.2*(B58+B59),1.2*(B58+B59),D61))</f>
        <v>0.98936355068493143</v>
      </c>
      <c r="F61" s="10">
        <f>E61*1.055056/Summary!$B$4</f>
        <v>0.68805488263064885</v>
      </c>
      <c r="G61" s="23"/>
      <c r="H61" s="23"/>
      <c r="I61" s="16"/>
      <c r="J61" s="16"/>
      <c r="K61" s="23"/>
      <c r="L61" s="23"/>
    </row>
    <row r="62" spans="1:12" x14ac:dyDescent="0.2">
      <c r="A62" t="s">
        <v>88</v>
      </c>
      <c r="B62" s="34">
        <f>B60</f>
        <v>0</v>
      </c>
      <c r="C62" s="10">
        <f>B62*1.055056/Summary!$B$4</f>
        <v>0</v>
      </c>
      <c r="F62" s="16"/>
      <c r="G62" s="25"/>
      <c r="H62" s="23"/>
      <c r="I62" s="16"/>
      <c r="J62" s="16"/>
      <c r="K62" s="25"/>
      <c r="L62" s="23"/>
    </row>
    <row r="63" spans="1:12" x14ac:dyDescent="0.2">
      <c r="B63" s="359"/>
      <c r="F63" s="16"/>
      <c r="G63" s="26"/>
      <c r="H63" s="23"/>
      <c r="I63" s="16"/>
      <c r="J63" s="16"/>
      <c r="K63" s="26"/>
      <c r="L63" s="1"/>
    </row>
    <row r="64" spans="1:12" x14ac:dyDescent="0.2">
      <c r="B64" s="359"/>
      <c r="F64" s="27"/>
      <c r="G64" s="28"/>
      <c r="H64" s="23"/>
      <c r="I64" s="16"/>
      <c r="J64" s="27"/>
      <c r="K64" s="28"/>
      <c r="L64" s="1"/>
    </row>
    <row r="65" spans="1:12" x14ac:dyDescent="0.2">
      <c r="A65" s="2" t="s">
        <v>129</v>
      </c>
      <c r="B65" s="358"/>
      <c r="F65" s="27"/>
      <c r="G65" s="29"/>
      <c r="H65" s="23"/>
      <c r="I65" s="16"/>
      <c r="J65" s="27"/>
      <c r="K65" s="29"/>
      <c r="L65" s="1"/>
    </row>
    <row r="66" spans="1:12" x14ac:dyDescent="0.2">
      <c r="A66" t="s">
        <v>68</v>
      </c>
      <c r="B66" s="358">
        <f>28.69853*12/365</f>
        <v>0.94351331506849312</v>
      </c>
      <c r="C66" s="10">
        <f>B66*1.055056/Summary!$B$4</f>
        <v>0.65616824352431025</v>
      </c>
      <c r="F66" s="16"/>
      <c r="G66" s="16"/>
      <c r="H66" s="16"/>
      <c r="I66" s="16"/>
      <c r="J66" s="16"/>
      <c r="K66" s="16"/>
    </row>
    <row r="67" spans="1:12" x14ac:dyDescent="0.2">
      <c r="A67" t="s">
        <v>69</v>
      </c>
      <c r="B67" s="358">
        <v>4.1439999999999998E-2</v>
      </c>
      <c r="C67" s="10">
        <f>B67*1.055056/Summary!$B$4</f>
        <v>2.8819531825762818E-2</v>
      </c>
      <c r="F67" s="16"/>
      <c r="G67" s="16"/>
      <c r="H67" s="16"/>
      <c r="I67" s="16"/>
      <c r="J67" s="16"/>
      <c r="K67" s="16"/>
    </row>
    <row r="68" spans="1:12" x14ac:dyDescent="0.2">
      <c r="A68" t="s">
        <v>87</v>
      </c>
      <c r="B68" s="358">
        <f>0*12/365</f>
        <v>0</v>
      </c>
      <c r="C68" s="10">
        <f>B68*1.055056/Summary!$B$4</f>
        <v>0</v>
      </c>
      <c r="F68" s="27"/>
      <c r="G68" s="16"/>
      <c r="H68" s="16"/>
      <c r="I68" s="16"/>
      <c r="J68" s="27"/>
      <c r="K68" s="16"/>
    </row>
    <row r="69" spans="1:12" x14ac:dyDescent="0.2">
      <c r="A69" t="s">
        <v>80</v>
      </c>
      <c r="B69" s="358">
        <v>0.78800000000000003</v>
      </c>
      <c r="C69" s="10">
        <f>B69*1.055056/Summary!$B$4</f>
        <v>0.54801619398409995</v>
      </c>
      <c r="D69">
        <f>$B$5*($B$4+'Nova&amp;ANG&amp;GLGT$'!$B$9)/('TCPL$'!$B$25+'TCPL$'!$B$26)*('TCPL$'!B66+'TCPL$'!B67)+0.04*'TCPL$'!B66+'TCPL$'!B67</f>
        <v>0.69503414245564688</v>
      </c>
      <c r="E69" s="1">
        <f>IF(D69&lt;0.8*(B66+B67),0.8*(B66+B67),IF(D69&gt;1.2*(B66+B67),1.2*(B66+B67),D69))</f>
        <v>0.78796265205479454</v>
      </c>
      <c r="F69" s="10">
        <f>E69*1.055056/Summary!$B$4</f>
        <v>0.5479902202800585</v>
      </c>
      <c r="G69" s="23"/>
      <c r="H69" s="21"/>
      <c r="I69" s="16"/>
      <c r="J69" s="30"/>
      <c r="K69" s="18"/>
      <c r="L69" s="21"/>
    </row>
    <row r="70" spans="1:12" x14ac:dyDescent="0.2">
      <c r="A70" t="s">
        <v>88</v>
      </c>
      <c r="B70" s="34">
        <f>B68</f>
        <v>0</v>
      </c>
      <c r="C70" s="10">
        <f>B70*1.055056/Summary!$B$4</f>
        <v>0</v>
      </c>
      <c r="F70" s="30"/>
      <c r="G70" s="22"/>
      <c r="H70" s="23"/>
      <c r="I70" s="16"/>
      <c r="J70" s="30"/>
      <c r="K70" s="22"/>
      <c r="L70" s="23"/>
    </row>
    <row r="71" spans="1:12" x14ac:dyDescent="0.2">
      <c r="B71" s="359"/>
      <c r="F71" s="16"/>
      <c r="G71" s="23"/>
      <c r="H71" s="23"/>
      <c r="I71" s="16"/>
      <c r="J71" s="16"/>
      <c r="K71" s="23"/>
      <c r="L71" s="23"/>
    </row>
    <row r="72" spans="1:12" x14ac:dyDescent="0.2">
      <c r="B72" s="359"/>
      <c r="F72" s="16"/>
      <c r="G72" s="23"/>
      <c r="H72" s="23"/>
      <c r="I72" s="16"/>
      <c r="J72" s="16"/>
      <c r="K72" s="23"/>
      <c r="L72" s="23"/>
    </row>
    <row r="73" spans="1:12" x14ac:dyDescent="0.2">
      <c r="A73" s="2" t="s">
        <v>147</v>
      </c>
      <c r="B73" s="13"/>
      <c r="F73" s="16"/>
      <c r="G73" s="25"/>
      <c r="H73" s="23"/>
      <c r="I73" s="16"/>
      <c r="J73" s="16"/>
      <c r="K73" s="25"/>
      <c r="L73" s="23"/>
    </row>
    <row r="74" spans="1:12" x14ac:dyDescent="0.2">
      <c r="A74" t="s">
        <v>68</v>
      </c>
      <c r="B74" s="13">
        <f>32.99445*12/365</f>
        <v>1.0847490410958904</v>
      </c>
      <c r="C74" s="10">
        <f>B74*1.055056/Summary!$B$4</f>
        <v>0.75439091488486287</v>
      </c>
      <c r="F74" s="16"/>
      <c r="G74" s="26"/>
      <c r="H74" s="23"/>
      <c r="I74" s="16"/>
      <c r="J74" s="16"/>
      <c r="K74" s="26"/>
      <c r="L74" s="1"/>
    </row>
    <row r="75" spans="1:12" x14ac:dyDescent="0.2">
      <c r="A75" t="s">
        <v>69</v>
      </c>
      <c r="B75" s="13">
        <v>4.7570000000000001E-2</v>
      </c>
      <c r="C75" s="10">
        <f>B75*1.055056/Summary!$B$4</f>
        <v>3.3082652725664512E-2</v>
      </c>
      <c r="F75" s="27"/>
      <c r="G75" s="28"/>
      <c r="H75" s="23"/>
      <c r="I75" s="16"/>
      <c r="J75" s="27"/>
      <c r="K75" s="28"/>
      <c r="L75" s="1"/>
    </row>
    <row r="76" spans="1:12" x14ac:dyDescent="0.2">
      <c r="A76" t="s">
        <v>87</v>
      </c>
      <c r="B76" s="13">
        <f>0*12/365</f>
        <v>0</v>
      </c>
      <c r="C76" s="10">
        <f>B76*1.055056/Summary!$B$4</f>
        <v>0</v>
      </c>
      <c r="F76" s="27"/>
      <c r="G76" s="29"/>
      <c r="H76" s="23"/>
      <c r="I76" s="16"/>
      <c r="J76" s="27"/>
      <c r="K76" s="29"/>
      <c r="L76" s="1"/>
    </row>
    <row r="77" spans="1:12" x14ac:dyDescent="0.2">
      <c r="A77" t="s">
        <v>80</v>
      </c>
      <c r="B77" s="13">
        <v>0.90590000000000004</v>
      </c>
      <c r="C77" s="10">
        <f>B77*1.055056/Summary!$B$4</f>
        <v>0.63000998747486825</v>
      </c>
      <c r="D77">
        <f>$B$5*($B$4+'Nova&amp;ANG&amp;GLGT$'!$B$9)/('TCPL$'!$B$25+'TCPL$'!$B$26)*('TCPL$'!B74+'TCPL$'!B75)+0.04*'TCPL$'!B74+'TCPL$'!B75</f>
        <v>0.79895571971242352</v>
      </c>
      <c r="E77" s="1">
        <f>IF(D77&lt;0.8*(B74+B75),0.8*(B74+B75),IF(D77&gt;1.2*(B74+B75),1.2*(B74+B75),D77))</f>
        <v>0.90585523287671244</v>
      </c>
      <c r="F77" s="10">
        <f>E77*1.055056/Summary!$B$4</f>
        <v>0.62997885408842191</v>
      </c>
      <c r="G77" s="23"/>
      <c r="H77" s="16"/>
      <c r="I77" s="16"/>
      <c r="J77" s="16"/>
      <c r="K77" s="16"/>
    </row>
    <row r="78" spans="1:12" x14ac:dyDescent="0.2">
      <c r="A78" t="s">
        <v>88</v>
      </c>
      <c r="B78" s="357">
        <f>B76</f>
        <v>0</v>
      </c>
      <c r="C78" s="10">
        <f>B78*1.055056/Summary!$B$4</f>
        <v>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workbookViewId="0">
      <selection activeCell="B31" sqref="B31"/>
    </sheetView>
  </sheetViews>
  <sheetFormatPr defaultRowHeight="12.75" x14ac:dyDescent="0.2"/>
  <cols>
    <col min="1" max="1" width="38.42578125" bestFit="1" customWidth="1"/>
  </cols>
  <sheetData>
    <row r="1" spans="1:2" ht="18" x14ac:dyDescent="0.25">
      <c r="A1" s="43" t="s">
        <v>75</v>
      </c>
    </row>
    <row r="2" spans="1:2" ht="15" x14ac:dyDescent="0.25">
      <c r="A2" s="35" t="s">
        <v>100</v>
      </c>
      <c r="B2" s="2" t="s">
        <v>320</v>
      </c>
    </row>
    <row r="3" spans="1:2" x14ac:dyDescent="0.2">
      <c r="A3" s="16" t="s">
        <v>106</v>
      </c>
      <c r="B3" t="s">
        <v>321</v>
      </c>
    </row>
    <row r="4" spans="1:2" x14ac:dyDescent="0.2">
      <c r="A4" s="16" t="s">
        <v>121</v>
      </c>
      <c r="B4" t="s">
        <v>322</v>
      </c>
    </row>
    <row r="5" spans="1:2" x14ac:dyDescent="0.2">
      <c r="A5" s="16" t="s">
        <v>134</v>
      </c>
      <c r="B5" t="s">
        <v>323</v>
      </c>
    </row>
    <row r="6" spans="1:2" x14ac:dyDescent="0.2">
      <c r="A6" s="16" t="s">
        <v>109</v>
      </c>
      <c r="B6" t="s">
        <v>324</v>
      </c>
    </row>
    <row r="7" spans="1:2" x14ac:dyDescent="0.2">
      <c r="A7" s="16" t="s">
        <v>83</v>
      </c>
      <c r="B7" t="s">
        <v>325</v>
      </c>
    </row>
    <row r="8" spans="1:2" x14ac:dyDescent="0.2">
      <c r="A8" s="16" t="s">
        <v>113</v>
      </c>
      <c r="B8" t="s">
        <v>346</v>
      </c>
    </row>
    <row r="9" spans="1:2" x14ac:dyDescent="0.2">
      <c r="A9" s="16" t="s">
        <v>84</v>
      </c>
      <c r="B9" t="s">
        <v>347</v>
      </c>
    </row>
    <row r="10" spans="1:2" x14ac:dyDescent="0.2">
      <c r="A10" s="362" t="s">
        <v>86</v>
      </c>
      <c r="B10" t="s">
        <v>348</v>
      </c>
    </row>
    <row r="11" spans="1:2" x14ac:dyDescent="0.2">
      <c r="A11" s="16" t="s">
        <v>114</v>
      </c>
      <c r="B11" t="s">
        <v>349</v>
      </c>
    </row>
    <row r="12" spans="1:2" x14ac:dyDescent="0.2">
      <c r="A12" s="16" t="s">
        <v>90</v>
      </c>
      <c r="B12" t="s">
        <v>350</v>
      </c>
    </row>
    <row r="13" spans="1:2" x14ac:dyDescent="0.2">
      <c r="A13" s="16" t="s">
        <v>127</v>
      </c>
      <c r="B13" t="s">
        <v>351</v>
      </c>
    </row>
    <row r="14" spans="1:2" x14ac:dyDescent="0.2">
      <c r="A14" s="362" t="s">
        <v>130</v>
      </c>
      <c r="B14" t="s">
        <v>352</v>
      </c>
    </row>
    <row r="15" spans="1:2" x14ac:dyDescent="0.2">
      <c r="A15" s="16" t="s">
        <v>119</v>
      </c>
    </row>
    <row r="16" spans="1:2" x14ac:dyDescent="0.2">
      <c r="A16" s="16" t="s">
        <v>120</v>
      </c>
    </row>
    <row r="17" spans="1:8" x14ac:dyDescent="0.2">
      <c r="A17" s="16" t="s">
        <v>147</v>
      </c>
      <c r="B17" t="s">
        <v>353</v>
      </c>
    </row>
    <row r="18" spans="1:8" x14ac:dyDescent="0.2">
      <c r="A18" s="362" t="s">
        <v>152</v>
      </c>
    </row>
    <row r="19" spans="1:8" x14ac:dyDescent="0.2">
      <c r="A19" s="16" t="s">
        <v>157</v>
      </c>
    </row>
    <row r="20" spans="1:8" x14ac:dyDescent="0.2">
      <c r="A20" s="16" t="s">
        <v>159</v>
      </c>
    </row>
    <row r="21" spans="1:8" x14ac:dyDescent="0.2">
      <c r="A21" s="16" t="s">
        <v>161</v>
      </c>
    </row>
    <row r="22" spans="1:8" x14ac:dyDescent="0.2">
      <c r="A22" s="16"/>
    </row>
    <row r="23" spans="1:8" x14ac:dyDescent="0.2">
      <c r="A23" s="16" t="s">
        <v>173</v>
      </c>
    </row>
    <row r="24" spans="1:8" x14ac:dyDescent="0.2">
      <c r="A24" s="362" t="s">
        <v>262</v>
      </c>
      <c r="B24" t="s">
        <v>354</v>
      </c>
    </row>
    <row r="25" spans="1:8" x14ac:dyDescent="0.2">
      <c r="A25" s="16" t="s">
        <v>111</v>
      </c>
      <c r="B25" t="s">
        <v>355</v>
      </c>
    </row>
    <row r="26" spans="1:8" x14ac:dyDescent="0.2">
      <c r="A26" s="362" t="s">
        <v>107</v>
      </c>
      <c r="B26" t="s">
        <v>356</v>
      </c>
      <c r="H26" t="s">
        <v>357</v>
      </c>
    </row>
    <row r="27" spans="1:8" x14ac:dyDescent="0.2">
      <c r="A27" s="16" t="s">
        <v>108</v>
      </c>
      <c r="B27" t="s">
        <v>358</v>
      </c>
    </row>
    <row r="28" spans="1:8" x14ac:dyDescent="0.2">
      <c r="A28" s="16" t="s">
        <v>144</v>
      </c>
      <c r="B28" t="s">
        <v>359</v>
      </c>
    </row>
    <row r="29" spans="1:8" x14ac:dyDescent="0.2">
      <c r="A29" s="16" t="s">
        <v>145</v>
      </c>
      <c r="B29" t="s">
        <v>360</v>
      </c>
    </row>
    <row r="30" spans="1:8" x14ac:dyDescent="0.2">
      <c r="A30" s="16" t="s">
        <v>112</v>
      </c>
      <c r="B30" t="s">
        <v>361</v>
      </c>
    </row>
  </sheetData>
  <phoneticPr fontId="0" type="noConversion"/>
  <pageMargins left="0.75" right="0.75" top="1" bottom="1" header="0.5" footer="0.5"/>
  <pageSetup scale="58" orientation="landscape" horizontalDpi="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X40"/>
  <sheetViews>
    <sheetView topLeftCell="A13" workbookViewId="0">
      <pane xSplit="3" topLeftCell="P1" activePane="topRight" state="frozen"/>
      <selection pane="topRight" activeCell="A41" sqref="A41"/>
    </sheetView>
  </sheetViews>
  <sheetFormatPr defaultRowHeight="12.75" x14ac:dyDescent="0.2"/>
  <cols>
    <col min="1" max="1" width="23.140625" customWidth="1"/>
    <col min="6" max="6" width="10" customWidth="1"/>
    <col min="7" max="7" width="12" customWidth="1"/>
    <col min="8" max="8" width="9.28515625" customWidth="1"/>
    <col min="10" max="11" width="9.28515625" customWidth="1"/>
    <col min="14" max="17" width="9.28515625" customWidth="1"/>
    <col min="18" max="18" width="9.28515625" bestFit="1" customWidth="1"/>
  </cols>
  <sheetData>
    <row r="1" spans="1:24" x14ac:dyDescent="0.2">
      <c r="X1" s="388"/>
    </row>
    <row r="3" spans="1:24" x14ac:dyDescent="0.2">
      <c r="C3">
        <f>C8+C12</f>
        <v>1.3085562721748323E-2</v>
      </c>
    </row>
    <row r="4" spans="1:24" x14ac:dyDescent="0.2">
      <c r="A4" t="s">
        <v>54</v>
      </c>
      <c r="B4" s="7">
        <v>13</v>
      </c>
      <c r="C4">
        <f>1+C14</f>
        <v>1.0109999999999999</v>
      </c>
    </row>
    <row r="5" spans="1:24" x14ac:dyDescent="0.2">
      <c r="A5" s="1"/>
      <c r="B5" s="1">
        <f ca="1">HLOOKUP(DATE(YEAR(TODAY()),MONTH(TODAY()),1),H6:AE7,2)</f>
        <v>13</v>
      </c>
      <c r="C5">
        <f>C4*C3+C4</f>
        <v>1.0242295039116875</v>
      </c>
    </row>
    <row r="6" spans="1:24" x14ac:dyDescent="0.2">
      <c r="H6" s="6">
        <v>36708</v>
      </c>
      <c r="I6" s="6">
        <v>36739</v>
      </c>
      <c r="J6" s="6">
        <v>36770</v>
      </c>
      <c r="K6" s="6">
        <v>36800</v>
      </c>
      <c r="L6" s="6">
        <v>36831</v>
      </c>
      <c r="M6" s="6">
        <v>36861</v>
      </c>
      <c r="N6" s="6">
        <v>36892</v>
      </c>
      <c r="O6" s="6">
        <v>36923</v>
      </c>
      <c r="P6" s="6">
        <v>36951</v>
      </c>
      <c r="Q6" s="6">
        <v>36982</v>
      </c>
      <c r="R6" s="6">
        <v>37012</v>
      </c>
      <c r="S6" s="6">
        <v>37043</v>
      </c>
      <c r="T6" s="6">
        <v>37073</v>
      </c>
    </row>
    <row r="7" spans="1:24" x14ac:dyDescent="0.2">
      <c r="B7" s="1" t="s">
        <v>65</v>
      </c>
      <c r="C7" s="6" t="s">
        <v>285</v>
      </c>
      <c r="D7" s="6" t="s">
        <v>311</v>
      </c>
      <c r="E7" s="6" t="s">
        <v>310</v>
      </c>
      <c r="F7" s="6" t="s">
        <v>286</v>
      </c>
      <c r="G7" s="6" t="s">
        <v>287</v>
      </c>
      <c r="H7" s="1">
        <v>1</v>
      </c>
      <c r="I7" s="1">
        <f>H7+1</f>
        <v>2</v>
      </c>
      <c r="J7" s="1">
        <v>3</v>
      </c>
      <c r="K7" s="1">
        <v>4</v>
      </c>
      <c r="L7" s="1">
        <v>5</v>
      </c>
      <c r="M7" s="1">
        <v>6</v>
      </c>
      <c r="N7" s="1">
        <v>7</v>
      </c>
      <c r="O7" s="1">
        <v>8</v>
      </c>
      <c r="P7" s="1">
        <v>9</v>
      </c>
      <c r="Q7" s="1">
        <v>10</v>
      </c>
      <c r="R7" s="1">
        <v>11</v>
      </c>
      <c r="S7" s="1">
        <v>12</v>
      </c>
      <c r="T7" s="1">
        <v>13</v>
      </c>
    </row>
    <row r="8" spans="1:24" x14ac:dyDescent="0.2">
      <c r="A8" s="16" t="s">
        <v>60</v>
      </c>
      <c r="B8" s="5">
        <f>VALUE(INDEX(H8:AM8,1,$B$4))</f>
        <v>6.0000000000000001E-3</v>
      </c>
      <c r="C8" s="39">
        <f t="shared" ref="C8:C13" si="0">1/(1-VALUE(B8))-1</f>
        <v>6.0362173038228661E-3</v>
      </c>
      <c r="D8" s="380">
        <f>AVERAGE(Q8:W8)</f>
        <v>6.5000000000000006E-3</v>
      </c>
      <c r="E8" s="39">
        <f>1/(1-VALUE(D8))-1</f>
        <v>6.542526421741357E-3</v>
      </c>
      <c r="F8" s="380">
        <f>AVERAGE(L8:P8)</f>
        <v>7.3999999999999995E-3</v>
      </c>
      <c r="G8" s="39">
        <f>1/(1-VALUE(F8))-1</f>
        <v>7.4551682450130219E-3</v>
      </c>
      <c r="H8" s="8">
        <v>7.0000000000000001E-3</v>
      </c>
      <c r="I8" s="8">
        <v>7.0000000000000001E-3</v>
      </c>
      <c r="J8" s="8">
        <v>6.0000000000000001E-3</v>
      </c>
      <c r="K8" s="8">
        <v>7.0000000000000001E-3</v>
      </c>
      <c r="L8" s="8">
        <v>7.0000000000000001E-3</v>
      </c>
      <c r="M8" s="46">
        <v>8.0000000000000002E-3</v>
      </c>
      <c r="N8" s="46">
        <v>8.0000000000000002E-3</v>
      </c>
      <c r="O8" s="47">
        <v>7.0000000000000001E-3</v>
      </c>
      <c r="P8" s="47">
        <v>7.0000000000000001E-3</v>
      </c>
      <c r="Q8" s="47">
        <v>7.0000000000000001E-3</v>
      </c>
      <c r="R8" s="47">
        <v>7.0000000000000001E-3</v>
      </c>
      <c r="S8" s="47">
        <v>6.0000000000000001E-3</v>
      </c>
      <c r="T8" s="389">
        <v>6.0000000000000001E-3</v>
      </c>
    </row>
    <row r="9" spans="1:24" x14ac:dyDescent="0.2">
      <c r="A9" s="16" t="s">
        <v>61</v>
      </c>
      <c r="B9" s="5">
        <f t="shared" ref="B9:B31" si="1">VALUE(INDEX(H9:AM9,1,$B$4))</f>
        <v>3.5999999999999999E-3</v>
      </c>
      <c r="C9" s="39">
        <f t="shared" si="0"/>
        <v>3.6130068245685543E-3</v>
      </c>
      <c r="D9" s="380">
        <f t="shared" ref="D9:D36" si="2">AVERAGE(Q9:W9)</f>
        <v>4.725E-3</v>
      </c>
      <c r="E9" s="39">
        <f t="shared" ref="E9:G13" si="3">1/(1-VALUE(D9))-1</f>
        <v>4.7474316143778506E-3</v>
      </c>
      <c r="F9" s="380">
        <f t="shared" ref="F9:F35" si="4">AVERAGE(L9:P9)</f>
        <v>7.7200000000000003E-3</v>
      </c>
      <c r="G9" s="39">
        <f t="shared" si="3"/>
        <v>7.7800620792518593E-3</v>
      </c>
      <c r="H9" s="8">
        <v>5.8999999999999999E-3</v>
      </c>
      <c r="I9" s="8">
        <v>5.8999999999999999E-3</v>
      </c>
      <c r="J9" s="8">
        <v>5.0000000000000001E-3</v>
      </c>
      <c r="K9" s="8">
        <v>6.3E-3</v>
      </c>
      <c r="L9" s="8">
        <v>6.7000000000000002E-3</v>
      </c>
      <c r="M9" s="46">
        <v>9.4000000000000004E-3</v>
      </c>
      <c r="N9" s="46">
        <v>8.5000000000000006E-3</v>
      </c>
      <c r="O9" s="47">
        <v>7.1999999999999998E-3</v>
      </c>
      <c r="P9" s="47">
        <v>6.7999999999999996E-3</v>
      </c>
      <c r="Q9" s="47">
        <v>7.4000000000000003E-3</v>
      </c>
      <c r="R9" s="47">
        <v>4.3E-3</v>
      </c>
      <c r="S9" s="47">
        <v>3.5999999999999999E-3</v>
      </c>
      <c r="T9" s="389">
        <v>3.5999999999999999E-3</v>
      </c>
    </row>
    <row r="10" spans="1:24" x14ac:dyDescent="0.2">
      <c r="A10" s="16" t="s">
        <v>62</v>
      </c>
      <c r="B10" s="5">
        <f t="shared" si="1"/>
        <v>9.1999999999999998E-3</v>
      </c>
      <c r="C10" s="39">
        <f t="shared" si="0"/>
        <v>9.28542591844983E-3</v>
      </c>
      <c r="D10" s="380">
        <f t="shared" si="2"/>
        <v>1.2074999999999999E-2</v>
      </c>
      <c r="E10" s="39">
        <f t="shared" si="3"/>
        <v>1.2222587747045432E-2</v>
      </c>
      <c r="F10" s="380">
        <f t="shared" si="4"/>
        <v>1.9779999999999999E-2</v>
      </c>
      <c r="G10" s="39">
        <f t="shared" si="3"/>
        <v>2.0179143457591087E-2</v>
      </c>
      <c r="H10" s="8">
        <v>1.5100000000000001E-2</v>
      </c>
      <c r="I10" s="8">
        <v>1.5100000000000001E-2</v>
      </c>
      <c r="J10" s="8">
        <v>1.2500000000000001E-2</v>
      </c>
      <c r="K10" s="8">
        <v>1.6E-2</v>
      </c>
      <c r="L10" s="8">
        <v>1.72E-2</v>
      </c>
      <c r="M10" s="46">
        <v>2.4199999999999999E-2</v>
      </c>
      <c r="N10" s="46">
        <v>2.18E-2</v>
      </c>
      <c r="O10" s="47">
        <v>1.84E-2</v>
      </c>
      <c r="P10" s="47">
        <v>1.7299999999999999E-2</v>
      </c>
      <c r="Q10" s="47">
        <v>1.9E-2</v>
      </c>
      <c r="R10" s="47">
        <v>1.09E-2</v>
      </c>
      <c r="S10" s="47">
        <v>9.1999999999999998E-3</v>
      </c>
      <c r="T10" s="389">
        <v>9.1999999999999998E-3</v>
      </c>
    </row>
    <row r="11" spans="1:24" x14ac:dyDescent="0.2">
      <c r="A11" s="16" t="s">
        <v>63</v>
      </c>
      <c r="B11" s="5">
        <f t="shared" si="1"/>
        <v>1.6E-2</v>
      </c>
      <c r="C11" s="39">
        <f t="shared" si="0"/>
        <v>1.6260162601626105E-2</v>
      </c>
      <c r="D11" s="380">
        <f t="shared" si="2"/>
        <v>2.1000000000000001E-2</v>
      </c>
      <c r="E11" s="39">
        <f t="shared" si="3"/>
        <v>2.1450459652706755E-2</v>
      </c>
      <c r="F11" s="380">
        <f t="shared" si="4"/>
        <v>3.44E-2</v>
      </c>
      <c r="G11" s="39">
        <f t="shared" si="3"/>
        <v>3.5625517812758911E-2</v>
      </c>
      <c r="H11" s="8">
        <v>2.64E-2</v>
      </c>
      <c r="I11" s="8">
        <v>2.64E-2</v>
      </c>
      <c r="J11" s="8">
        <v>2.1999999999999999E-2</v>
      </c>
      <c r="K11" s="8">
        <v>2.8000000000000001E-2</v>
      </c>
      <c r="L11" s="8">
        <v>0.03</v>
      </c>
      <c r="M11" s="46">
        <v>4.2000000000000003E-2</v>
      </c>
      <c r="N11" s="46">
        <v>3.7999999999999999E-2</v>
      </c>
      <c r="O11" s="47">
        <v>3.2000000000000001E-2</v>
      </c>
      <c r="P11" s="47">
        <v>0.03</v>
      </c>
      <c r="Q11" s="47">
        <v>3.3000000000000002E-2</v>
      </c>
      <c r="R11" s="47">
        <v>1.9E-2</v>
      </c>
      <c r="S11" s="47">
        <v>1.6E-2</v>
      </c>
      <c r="T11" s="389">
        <v>1.6E-2</v>
      </c>
    </row>
    <row r="12" spans="1:24" x14ac:dyDescent="0.2">
      <c r="A12" s="16" t="s">
        <v>92</v>
      </c>
      <c r="B12" s="5">
        <f t="shared" si="1"/>
        <v>7.0000000000000001E-3</v>
      </c>
      <c r="C12" s="39">
        <f t="shared" si="0"/>
        <v>7.0493454179254567E-3</v>
      </c>
      <c r="D12" s="380">
        <f t="shared" si="2"/>
        <v>7.0000000000000001E-3</v>
      </c>
      <c r="E12" s="39">
        <f t="shared" si="3"/>
        <v>7.0493454179254567E-3</v>
      </c>
      <c r="F12" s="380">
        <f t="shared" si="4"/>
        <v>9.5400000000000016E-3</v>
      </c>
      <c r="G12" s="39">
        <f t="shared" si="3"/>
        <v>9.6318882135573158E-3</v>
      </c>
      <c r="H12" s="8">
        <v>9.9000000000000008E-3</v>
      </c>
      <c r="I12" s="8">
        <v>9.9000000000000008E-3</v>
      </c>
      <c r="J12" s="8">
        <v>9.9000000000000008E-3</v>
      </c>
      <c r="K12" s="8">
        <v>9.9000000000000008E-3</v>
      </c>
      <c r="L12" s="8">
        <v>9.9000000000000008E-3</v>
      </c>
      <c r="M12" s="46">
        <v>9.9000000000000008E-3</v>
      </c>
      <c r="N12" s="46">
        <v>9.9000000000000008E-3</v>
      </c>
      <c r="O12" s="47">
        <v>8.9999999999999993E-3</v>
      </c>
      <c r="P12" s="47">
        <v>8.9999999999999993E-3</v>
      </c>
      <c r="Q12" s="47">
        <v>7.0000000000000001E-3</v>
      </c>
      <c r="R12" s="47">
        <v>7.0000000000000001E-3</v>
      </c>
      <c r="S12" s="47">
        <v>7.0000000000000001E-3</v>
      </c>
      <c r="T12" s="389">
        <v>7.0000000000000001E-3</v>
      </c>
    </row>
    <row r="13" spans="1:24" x14ac:dyDescent="0.2">
      <c r="A13" s="16" t="s">
        <v>55</v>
      </c>
      <c r="B13" s="5">
        <f t="shared" si="1"/>
        <v>1.49E-2</v>
      </c>
      <c r="C13" s="39">
        <f t="shared" si="0"/>
        <v>1.5125367982945948E-2</v>
      </c>
      <c r="D13" s="380">
        <f t="shared" si="2"/>
        <v>1.49E-2</v>
      </c>
      <c r="E13" s="39">
        <f t="shared" si="3"/>
        <v>1.5125367982945948E-2</v>
      </c>
      <c r="F13" s="380">
        <f t="shared" si="4"/>
        <v>1.21E-2</v>
      </c>
      <c r="G13" s="39">
        <f t="shared" si="3"/>
        <v>1.2248203259439316E-2</v>
      </c>
      <c r="H13" s="8">
        <v>1.21E-2</v>
      </c>
      <c r="I13" s="8">
        <v>1.21E-2</v>
      </c>
      <c r="J13" s="8">
        <v>1.21E-2</v>
      </c>
      <c r="K13" s="8">
        <v>1.21E-2</v>
      </c>
      <c r="L13" s="8">
        <v>1.21E-2</v>
      </c>
      <c r="M13" s="46">
        <v>1.21E-2</v>
      </c>
      <c r="N13" s="46">
        <v>1.21E-2</v>
      </c>
      <c r="O13" s="47">
        <v>1.21E-2</v>
      </c>
      <c r="P13" s="47">
        <v>1.21E-2</v>
      </c>
      <c r="Q13" s="47">
        <v>1.49E-2</v>
      </c>
      <c r="R13" s="47">
        <v>1.49E-2</v>
      </c>
      <c r="S13" s="47">
        <v>1.49E-2</v>
      </c>
      <c r="T13" s="389">
        <v>1.49E-2</v>
      </c>
    </row>
    <row r="14" spans="1:24" x14ac:dyDescent="0.2">
      <c r="A14" s="16" t="s">
        <v>91</v>
      </c>
      <c r="B14" s="5">
        <f t="shared" si="1"/>
        <v>1.0999999999999999E-2</v>
      </c>
      <c r="C14" s="39">
        <f>VALUE(B14)</f>
        <v>1.0999999999999999E-2</v>
      </c>
      <c r="D14" s="380">
        <f t="shared" si="2"/>
        <v>1.09E-2</v>
      </c>
      <c r="E14" s="39">
        <f>VALUE(D14)</f>
        <v>1.09E-2</v>
      </c>
      <c r="F14" s="380">
        <f t="shared" si="4"/>
        <v>1.1300000000000001E-2</v>
      </c>
      <c r="G14" s="39">
        <f>VALUE(F14)</f>
        <v>1.1300000000000001E-2</v>
      </c>
      <c r="H14" s="8">
        <v>1.2E-2</v>
      </c>
      <c r="I14" s="8">
        <v>1.2E-2</v>
      </c>
      <c r="J14" s="8">
        <v>1.2E-2</v>
      </c>
      <c r="K14" s="8">
        <v>1.2E-2</v>
      </c>
      <c r="L14" s="8">
        <v>1.1900000000000001E-2</v>
      </c>
      <c r="M14" s="46">
        <v>1.12E-2</v>
      </c>
      <c r="N14" s="46">
        <v>1.15E-2</v>
      </c>
      <c r="O14" s="47">
        <v>1.0999999999999999E-2</v>
      </c>
      <c r="P14" s="47">
        <v>1.09E-2</v>
      </c>
      <c r="Q14" s="47">
        <v>1.06E-2</v>
      </c>
      <c r="R14" s="47">
        <v>1.0999999999999999E-2</v>
      </c>
      <c r="S14" s="47">
        <v>1.0999999999999999E-2</v>
      </c>
      <c r="T14" s="389">
        <v>1.0999999999999999E-2</v>
      </c>
    </row>
    <row r="15" spans="1:24" x14ac:dyDescent="0.2">
      <c r="A15" s="16" t="s">
        <v>56</v>
      </c>
      <c r="B15" s="5">
        <f t="shared" si="1"/>
        <v>1.2999999999999999E-2</v>
      </c>
      <c r="C15" s="39">
        <f>VALUE(B15)</f>
        <v>1.2999999999999999E-2</v>
      </c>
      <c r="D15" s="380">
        <f t="shared" si="2"/>
        <v>1.0749999999999999E-2</v>
      </c>
      <c r="E15" s="39">
        <f>VALUE(D15)</f>
        <v>1.0749999999999999E-2</v>
      </c>
      <c r="F15" s="380">
        <f t="shared" si="4"/>
        <v>1.3802E-2</v>
      </c>
      <c r="G15" s="39">
        <f>VALUE(F15)</f>
        <v>1.3802E-2</v>
      </c>
      <c r="H15" s="8">
        <v>7.0000000000000001E-3</v>
      </c>
      <c r="I15" s="45">
        <v>8.0000000000000002E-3</v>
      </c>
      <c r="J15" s="32">
        <v>8.9999999999999993E-3</v>
      </c>
      <c r="K15" s="45">
        <v>1.0999999999999999E-2</v>
      </c>
      <c r="L15" s="8">
        <v>1.2999999999999999E-2</v>
      </c>
      <c r="M15" s="46">
        <v>1.4005E-2</v>
      </c>
      <c r="N15" s="46">
        <v>1.4E-2</v>
      </c>
      <c r="O15" s="47">
        <v>1.4005E-2</v>
      </c>
      <c r="P15" s="47">
        <v>1.4E-2</v>
      </c>
      <c r="Q15" s="47">
        <v>8.9999999999999993E-3</v>
      </c>
      <c r="R15" s="47">
        <v>8.9999999999999993E-3</v>
      </c>
      <c r="S15" s="47">
        <v>1.2E-2</v>
      </c>
      <c r="T15" s="389">
        <v>1.2999999999999999E-2</v>
      </c>
    </row>
    <row r="16" spans="1:24" x14ac:dyDescent="0.2">
      <c r="A16" s="16" t="s">
        <v>57</v>
      </c>
      <c r="B16" s="5">
        <f t="shared" si="1"/>
        <v>1.0263E-2</v>
      </c>
      <c r="C16" s="39">
        <f>1/(1-VALUE(B16))-1</f>
        <v>1.036942137153618E-2</v>
      </c>
      <c r="D16" s="380">
        <f t="shared" si="2"/>
        <v>1.178825E-2</v>
      </c>
      <c r="E16" s="39">
        <f>1/(1-VALUE(D16))-1</f>
        <v>1.1928870507763145E-2</v>
      </c>
      <c r="F16" s="380">
        <f t="shared" si="4"/>
        <v>1.4367544000000001E-2</v>
      </c>
      <c r="G16" s="39">
        <f>1/(1-VALUE(F16))-1</f>
        <v>1.4576979392813216E-2</v>
      </c>
      <c r="H16" s="8">
        <v>1.1900000000000001E-2</v>
      </c>
      <c r="I16" s="8">
        <v>1.1900000000000001E-2</v>
      </c>
      <c r="J16" s="8">
        <v>1.3036000000000001E-2</v>
      </c>
      <c r="K16" s="8">
        <v>1.3036000000000001E-2</v>
      </c>
      <c r="L16" s="8">
        <v>1.3036000000000001E-2</v>
      </c>
      <c r="M16" s="46">
        <v>1.3036000000000001E-2</v>
      </c>
      <c r="N16" s="46">
        <v>1.4146000000000001E-2</v>
      </c>
      <c r="O16" s="47">
        <v>1.6087000000000001E-2</v>
      </c>
      <c r="P16" s="47">
        <f>277.37*0.000056</f>
        <v>1.553272E-2</v>
      </c>
      <c r="Q16" s="47">
        <v>1.4146000000000001E-2</v>
      </c>
      <c r="R16" s="47">
        <v>1.1927E-2</v>
      </c>
      <c r="S16" s="47">
        <v>1.0817E-2</v>
      </c>
      <c r="T16" s="389">
        <v>1.0263E-2</v>
      </c>
    </row>
    <row r="17" spans="1:20" x14ac:dyDescent="0.2">
      <c r="A17" s="16" t="s">
        <v>58</v>
      </c>
      <c r="B17" s="5">
        <f t="shared" si="1"/>
        <v>2.2660999999999997E-2</v>
      </c>
      <c r="C17" s="39">
        <f>1/(1-VALUE(B17))-1</f>
        <v>2.3186427636674667E-2</v>
      </c>
      <c r="D17" s="380">
        <f t="shared" si="2"/>
        <v>2.6029500000000001E-2</v>
      </c>
      <c r="E17" s="39">
        <f>1/(1-VALUE(D17))-1</f>
        <v>2.6725142085925579E-2</v>
      </c>
      <c r="F17" s="380">
        <f t="shared" si="4"/>
        <v>3.1725552000000004E-2</v>
      </c>
      <c r="G17" s="39">
        <f>1/(1-VALUE(F17))-1</f>
        <v>3.2765041012421836E-2</v>
      </c>
      <c r="H17" s="8">
        <v>2.63E-2</v>
      </c>
      <c r="I17" s="8">
        <v>2.63E-2</v>
      </c>
      <c r="J17" s="8">
        <v>2.8785999999999999E-2</v>
      </c>
      <c r="K17" s="8">
        <v>2.8785999999999999E-2</v>
      </c>
      <c r="L17" s="8">
        <v>2.8785999999999999E-2</v>
      </c>
      <c r="M17" s="46">
        <v>2.8785999999999999E-2</v>
      </c>
      <c r="N17" s="46">
        <v>3.1234999999999999E-2</v>
      </c>
      <c r="O17" s="47">
        <v>3.5522999999999999E-2</v>
      </c>
      <c r="P17" s="47">
        <f>612.46*0.000056</f>
        <v>3.4297760000000004E-2</v>
      </c>
      <c r="Q17" s="47">
        <v>3.1234999999999999E-2</v>
      </c>
      <c r="R17" s="47">
        <v>2.6335999999999998E-2</v>
      </c>
      <c r="S17" s="47">
        <v>2.3886000000000001E-2</v>
      </c>
      <c r="T17" s="389">
        <v>2.2660999999999997E-2</v>
      </c>
    </row>
    <row r="18" spans="1:20" x14ac:dyDescent="0.2">
      <c r="A18" s="16" t="s">
        <v>59</v>
      </c>
      <c r="B18" s="5">
        <f t="shared" si="1"/>
        <v>1.2397999999999999E-2</v>
      </c>
      <c r="C18" s="39">
        <f>1/(1-VALUE(B18))-1</f>
        <v>1.2553640029080659E-2</v>
      </c>
      <c r="D18" s="380">
        <f t="shared" si="2"/>
        <v>1.4241499999999999E-2</v>
      </c>
      <c r="E18" s="39">
        <f>1/(1-VALUE(D18))-1</f>
        <v>1.4447250518255794E-2</v>
      </c>
      <c r="F18" s="380">
        <f t="shared" si="4"/>
        <v>1.7347588000000001E-2</v>
      </c>
      <c r="G18" s="39">
        <f>1/(1-VALUE(F18))-1</f>
        <v>1.7653839534869098E-2</v>
      </c>
      <c r="H18" s="8">
        <v>1.44E-2</v>
      </c>
      <c r="I18" s="8">
        <v>1.44E-2</v>
      </c>
      <c r="J18" s="8">
        <v>1.5748999999999999E-2</v>
      </c>
      <c r="K18" s="8">
        <v>1.5748999999999999E-2</v>
      </c>
      <c r="L18" s="8">
        <v>1.54749E-2</v>
      </c>
      <c r="M18" s="46">
        <v>1.5748999999999999E-2</v>
      </c>
      <c r="N18" s="46">
        <v>1.7090000000000001E-2</v>
      </c>
      <c r="O18" s="47">
        <v>1.9435000000000001E-2</v>
      </c>
      <c r="P18" s="47">
        <f>339.09*0.000056</f>
        <v>1.8989039999999999E-2</v>
      </c>
      <c r="Q18" s="47">
        <v>1.7090000000000001E-2</v>
      </c>
      <c r="R18" s="47">
        <v>1.4409E-2</v>
      </c>
      <c r="S18" s="47">
        <v>1.3069000000000001E-2</v>
      </c>
      <c r="T18" s="389">
        <v>1.2397999999999999E-2</v>
      </c>
    </row>
    <row r="19" spans="1:20" x14ac:dyDescent="0.2">
      <c r="A19" s="16" t="s">
        <v>64</v>
      </c>
      <c r="B19" s="5">
        <f t="shared" si="1"/>
        <v>6.4999999999999997E-3</v>
      </c>
      <c r="C19" s="39">
        <f t="shared" ref="C19:C28" si="5">VALUE(B19)</f>
        <v>6.4999999999999997E-3</v>
      </c>
      <c r="D19" s="380">
        <f t="shared" si="2"/>
        <v>7.4999999999999997E-3</v>
      </c>
      <c r="E19" s="39">
        <f t="shared" ref="E19:E28" si="6">VALUE(D19)</f>
        <v>7.4999999999999997E-3</v>
      </c>
      <c r="F19" s="380">
        <f t="shared" si="4"/>
        <v>7.7999999999999996E-3</v>
      </c>
      <c r="G19" s="39">
        <f t="shared" ref="G19:G28" si="7">VALUE(F19)</f>
        <v>7.7999999999999996E-3</v>
      </c>
      <c r="H19" s="8">
        <v>5.4999999999999997E-3</v>
      </c>
      <c r="I19" s="8">
        <v>6.0000000000000001E-3</v>
      </c>
      <c r="J19" s="8">
        <v>7.0000000000000001E-3</v>
      </c>
      <c r="K19" s="8">
        <v>6.4999999999999997E-3</v>
      </c>
      <c r="L19" s="8">
        <v>7.0000000000000001E-3</v>
      </c>
      <c r="M19" s="46">
        <v>7.0000000000000001E-3</v>
      </c>
      <c r="N19" s="46">
        <v>8.0000000000000002E-3</v>
      </c>
      <c r="O19" s="47">
        <v>8.0000000000000002E-3</v>
      </c>
      <c r="P19" s="47">
        <v>8.9999999999999993E-3</v>
      </c>
      <c r="Q19" s="47">
        <v>8.9999999999999993E-3</v>
      </c>
      <c r="R19" s="47">
        <v>7.4999999999999997E-3</v>
      </c>
      <c r="S19" s="47">
        <v>7.0000000000000001E-3</v>
      </c>
      <c r="T19" s="389">
        <v>6.4999999999999997E-3</v>
      </c>
    </row>
    <row r="20" spans="1:20" x14ac:dyDescent="0.2">
      <c r="A20" s="16" t="s">
        <v>93</v>
      </c>
      <c r="B20" s="5">
        <f t="shared" si="1"/>
        <v>4.7000000000000002E-3</v>
      </c>
      <c r="C20" s="39">
        <f t="shared" si="5"/>
        <v>4.7000000000000002E-3</v>
      </c>
      <c r="D20" s="380">
        <f t="shared" si="2"/>
        <v>6.3999999999999994E-3</v>
      </c>
      <c r="E20" s="39">
        <f t="shared" si="6"/>
        <v>6.3999999999999994E-3</v>
      </c>
      <c r="F20" s="380">
        <f t="shared" si="4"/>
        <v>6.8799999999999998E-3</v>
      </c>
      <c r="G20" s="39">
        <f t="shared" si="7"/>
        <v>6.8799999999999998E-3</v>
      </c>
      <c r="H20" s="8">
        <v>8.5000000000000006E-3</v>
      </c>
      <c r="I20" s="8">
        <v>8.2000000000000007E-3</v>
      </c>
      <c r="J20" s="8">
        <v>7.4000000000000003E-3</v>
      </c>
      <c r="K20" s="8">
        <v>6.8999999999999999E-3</v>
      </c>
      <c r="L20" s="8">
        <v>7.6E-3</v>
      </c>
      <c r="M20" s="8">
        <v>7.4999999999999997E-3</v>
      </c>
      <c r="N20" s="46">
        <v>4.5999999999999999E-3</v>
      </c>
      <c r="O20" s="47">
        <v>3.8999999999999998E-3</v>
      </c>
      <c r="P20" s="47">
        <v>1.0800000000000001E-2</v>
      </c>
      <c r="Q20" s="47">
        <v>8.0999999999999996E-3</v>
      </c>
      <c r="R20" s="47">
        <v>7.0000000000000001E-3</v>
      </c>
      <c r="S20" s="47">
        <v>5.7999999999999996E-3</v>
      </c>
      <c r="T20" s="390">
        <v>4.7000000000000002E-3</v>
      </c>
    </row>
    <row r="21" spans="1:20" x14ac:dyDescent="0.2">
      <c r="A21" s="16" t="s">
        <v>99</v>
      </c>
      <c r="B21" s="5">
        <f t="shared" si="1"/>
        <v>1.32E-2</v>
      </c>
      <c r="C21" s="39">
        <f t="shared" si="5"/>
        <v>1.32E-2</v>
      </c>
      <c r="D21" s="380">
        <f t="shared" si="2"/>
        <v>1.465E-2</v>
      </c>
      <c r="E21" s="39">
        <f t="shared" si="6"/>
        <v>1.465E-2</v>
      </c>
      <c r="F21" s="380">
        <f t="shared" si="4"/>
        <v>2.03804E-2</v>
      </c>
      <c r="G21" s="39">
        <f t="shared" si="7"/>
        <v>2.03804E-2</v>
      </c>
      <c r="H21" s="8">
        <f>(0.0239+0.0002)</f>
        <v>2.41E-2</v>
      </c>
      <c r="I21" s="8">
        <f>(0.0242+0.0002)</f>
        <v>2.4399999999999998E-2</v>
      </c>
      <c r="J21" s="8">
        <f>(0.0245+0.002)</f>
        <v>2.6500000000000003E-2</v>
      </c>
      <c r="K21" s="8">
        <f>0.0234+0.0002</f>
        <v>2.3599999999999999E-2</v>
      </c>
      <c r="L21" s="8">
        <f>0.0233+0.0002</f>
        <v>2.35E-2</v>
      </c>
      <c r="M21" s="8">
        <f>0.02+0.0002%</f>
        <v>2.0001999999999999E-2</v>
      </c>
      <c r="N21" s="46">
        <f>0.0002+1.75%</f>
        <v>1.77E-2</v>
      </c>
      <c r="O21" s="47">
        <f>0.0002+1.87%</f>
        <v>1.89E-2</v>
      </c>
      <c r="P21" s="47">
        <f>0.0002+2.16%</f>
        <v>2.18E-2</v>
      </c>
      <c r="Q21" s="47">
        <f>0.0002+0.0159</f>
        <v>1.61E-2</v>
      </c>
      <c r="R21" s="47">
        <f>0.0009+0.0144</f>
        <v>1.5299999999999999E-2</v>
      </c>
      <c r="S21" s="47">
        <f>0.0131+0.0009</f>
        <v>1.4E-2</v>
      </c>
      <c r="T21" s="390">
        <f>0.0123+0.0009</f>
        <v>1.32E-2</v>
      </c>
    </row>
    <row r="22" spans="1:20" x14ac:dyDescent="0.2">
      <c r="A22" s="16" t="s">
        <v>98</v>
      </c>
      <c r="B22" s="5">
        <f t="shared" si="1"/>
        <v>1.32E-2</v>
      </c>
      <c r="C22" s="39">
        <f t="shared" si="5"/>
        <v>1.32E-2</v>
      </c>
      <c r="D22" s="380">
        <f t="shared" si="2"/>
        <v>1.465E-2</v>
      </c>
      <c r="E22" s="39">
        <f t="shared" si="6"/>
        <v>1.465E-2</v>
      </c>
      <c r="F22" s="380">
        <f t="shared" si="4"/>
        <v>2.03804E-2</v>
      </c>
      <c r="G22" s="39">
        <f t="shared" si="7"/>
        <v>2.03804E-2</v>
      </c>
      <c r="H22" s="8">
        <f>(0.0239+0.0002)</f>
        <v>2.41E-2</v>
      </c>
      <c r="I22" s="8">
        <f>(0.0242+0.0002)</f>
        <v>2.4399999999999998E-2</v>
      </c>
      <c r="J22" s="8">
        <f>(0.0245+0.002)</f>
        <v>2.6500000000000003E-2</v>
      </c>
      <c r="K22" s="8">
        <f>0.0234+0.0002</f>
        <v>2.3599999999999999E-2</v>
      </c>
      <c r="L22" s="8">
        <f>0.0233+0.0002</f>
        <v>2.35E-2</v>
      </c>
      <c r="M22" s="8">
        <f>0.02+0.0002%</f>
        <v>2.0001999999999999E-2</v>
      </c>
      <c r="N22" s="46">
        <f>0.0002+1.75%</f>
        <v>1.77E-2</v>
      </c>
      <c r="O22" s="47">
        <f>0.0002+1.87%</f>
        <v>1.89E-2</v>
      </c>
      <c r="P22" s="47">
        <f>0.0002+2.16%</f>
        <v>2.18E-2</v>
      </c>
      <c r="Q22" s="47">
        <f>0.0002+0.0159</f>
        <v>1.61E-2</v>
      </c>
      <c r="R22" s="47">
        <f>0.0009+0.0144</f>
        <v>1.5299999999999999E-2</v>
      </c>
      <c r="S22" s="47">
        <f>0.0131+0.0009</f>
        <v>1.4E-2</v>
      </c>
      <c r="T22" s="390">
        <f>0.0123+0.0009</f>
        <v>1.32E-2</v>
      </c>
    </row>
    <row r="23" spans="1:20" x14ac:dyDescent="0.2">
      <c r="A23" s="16" t="s">
        <v>94</v>
      </c>
      <c r="B23" s="5">
        <f t="shared" si="1"/>
        <v>4.0300000000000002E-2</v>
      </c>
      <c r="C23" s="39">
        <f t="shared" si="5"/>
        <v>4.0300000000000002E-2</v>
      </c>
      <c r="D23" s="380">
        <f t="shared" si="2"/>
        <v>4.1825000000000001E-2</v>
      </c>
      <c r="E23" s="39">
        <f t="shared" si="6"/>
        <v>4.1825000000000001E-2</v>
      </c>
      <c r="F23" s="380">
        <f t="shared" si="4"/>
        <v>5.9439999999999993E-2</v>
      </c>
      <c r="G23" s="39">
        <f t="shared" si="7"/>
        <v>5.9439999999999993E-2</v>
      </c>
      <c r="H23" s="8">
        <v>6.6199999999999995E-2</v>
      </c>
      <c r="I23" s="8">
        <v>6.8400000000000002E-2</v>
      </c>
      <c r="J23" s="8">
        <v>7.1300000000000002E-2</v>
      </c>
      <c r="K23" s="8">
        <v>6.8699999999999997E-2</v>
      </c>
      <c r="L23" s="8">
        <v>6.6299999999999998E-2</v>
      </c>
      <c r="M23" s="8">
        <v>5.7000000000000002E-2</v>
      </c>
      <c r="N23" s="46">
        <v>5.2900000000000003E-2</v>
      </c>
      <c r="O23" s="47">
        <v>5.9299999999999999E-2</v>
      </c>
      <c r="P23" s="47">
        <v>6.1699999999999998E-2</v>
      </c>
      <c r="Q23" s="47">
        <v>4.5100000000000001E-2</v>
      </c>
      <c r="R23" s="47">
        <v>4.1700000000000001E-2</v>
      </c>
      <c r="S23" s="47">
        <v>4.02E-2</v>
      </c>
      <c r="T23" s="390">
        <v>4.0300000000000002E-2</v>
      </c>
    </row>
    <row r="24" spans="1:20" x14ac:dyDescent="0.2">
      <c r="A24" s="16" t="s">
        <v>95</v>
      </c>
      <c r="B24" s="5">
        <f t="shared" si="1"/>
        <v>4.1799999999999997E-2</v>
      </c>
      <c r="C24" s="39">
        <f t="shared" si="5"/>
        <v>4.1799999999999997E-2</v>
      </c>
      <c r="D24" s="380">
        <f t="shared" si="2"/>
        <v>4.3150000000000001E-2</v>
      </c>
      <c r="E24" s="39">
        <f t="shared" si="6"/>
        <v>4.3150000000000001E-2</v>
      </c>
      <c r="F24" s="380">
        <f t="shared" si="4"/>
        <v>6.1960000000000001E-2</v>
      </c>
      <c r="G24" s="39">
        <f t="shared" si="7"/>
        <v>6.1960000000000001E-2</v>
      </c>
      <c r="H24" s="8">
        <f>0.068+0.001</f>
        <v>6.9000000000000006E-2</v>
      </c>
      <c r="I24" s="8">
        <v>7.0300000000000001E-2</v>
      </c>
      <c r="J24" s="8">
        <f>0.0733+0.001</f>
        <v>7.4300000000000005E-2</v>
      </c>
      <c r="K24" s="8">
        <f>0.0706+0.001</f>
        <v>7.1599999999999997E-2</v>
      </c>
      <c r="L24" s="8">
        <f>0.0682+0.001</f>
        <v>6.9199999999999998E-2</v>
      </c>
      <c r="M24" s="8">
        <f>0.0586+0.001</f>
        <v>5.96E-2</v>
      </c>
      <c r="N24" s="46">
        <f>0.001+0.0544</f>
        <v>5.5399999999999998E-2</v>
      </c>
      <c r="O24" s="47">
        <f>0.001+0.0611</f>
        <v>6.2100000000000002E-2</v>
      </c>
      <c r="P24" s="47">
        <f>0.001+0.0625</f>
        <v>6.3500000000000001E-2</v>
      </c>
      <c r="Q24" s="47">
        <f>0.001+0.0457</f>
        <v>4.6699999999999998E-2</v>
      </c>
      <c r="R24" s="47">
        <f>0.001+0.0423</f>
        <v>4.3299999999999998E-2</v>
      </c>
      <c r="S24" s="47">
        <v>4.0800000000000003E-2</v>
      </c>
      <c r="T24" s="390">
        <v>4.1799999999999997E-2</v>
      </c>
    </row>
    <row r="25" spans="1:20" x14ac:dyDescent="0.2">
      <c r="A25" s="16" t="s">
        <v>96</v>
      </c>
      <c r="B25" s="5">
        <f t="shared" si="1"/>
        <v>4.5900000000000003E-2</v>
      </c>
      <c r="C25" s="39">
        <f t="shared" si="5"/>
        <v>4.5900000000000003E-2</v>
      </c>
      <c r="D25" s="380">
        <f t="shared" si="2"/>
        <v>4.7500000000000001E-2</v>
      </c>
      <c r="E25" s="39">
        <f t="shared" si="6"/>
        <v>4.7500000000000001E-2</v>
      </c>
      <c r="F25" s="380">
        <f t="shared" si="4"/>
        <v>6.6640000000000005E-2</v>
      </c>
      <c r="G25" s="39">
        <f t="shared" si="7"/>
        <v>6.6640000000000005E-2</v>
      </c>
      <c r="H25" s="8">
        <f>0.0683+0.0054</f>
        <v>7.3700000000000002E-2</v>
      </c>
      <c r="I25" s="8">
        <f>0.0706+0.0054</f>
        <v>7.5999999999999998E-2</v>
      </c>
      <c r="J25" s="8">
        <f>0.0054+0.0737</f>
        <v>7.9100000000000004E-2</v>
      </c>
      <c r="K25" s="8">
        <f>0.071+0.0054</f>
        <v>7.6399999999999996E-2</v>
      </c>
      <c r="L25" s="8">
        <f>0.0685+0.0054</f>
        <v>7.3900000000000007E-2</v>
      </c>
      <c r="M25" s="8">
        <f>0.0589+0.0054</f>
        <v>6.4299999999999996E-2</v>
      </c>
      <c r="N25" s="46">
        <f>0.0547+0.0054</f>
        <v>6.0100000000000001E-2</v>
      </c>
      <c r="O25" s="47">
        <f>0.0614+0.0054</f>
        <v>6.6799999999999998E-2</v>
      </c>
      <c r="P25" s="47">
        <f>0.0627+0.0054</f>
        <v>6.8100000000000008E-2</v>
      </c>
      <c r="Q25" s="47">
        <f>0.0458+0.005</f>
        <v>5.0799999999999998E-2</v>
      </c>
      <c r="R25" s="47">
        <f>0.005+0.0424</f>
        <v>4.7399999999999998E-2</v>
      </c>
      <c r="S25" s="47">
        <f>0.0409+0.005</f>
        <v>4.5899999999999996E-2</v>
      </c>
      <c r="T25" s="32">
        <v>4.5900000000000003E-2</v>
      </c>
    </row>
    <row r="26" spans="1:20" x14ac:dyDescent="0.2">
      <c r="A26" s="16" t="s">
        <v>97</v>
      </c>
      <c r="B26" s="5">
        <f t="shared" si="1"/>
        <v>4.5699999999999998E-2</v>
      </c>
      <c r="C26" s="39">
        <f t="shared" si="5"/>
        <v>4.5699999999999998E-2</v>
      </c>
      <c r="D26" s="380">
        <f t="shared" si="2"/>
        <v>4.7199999999999999E-2</v>
      </c>
      <c r="E26" s="39">
        <f t="shared" si="6"/>
        <v>4.7199999999999999E-2</v>
      </c>
      <c r="F26" s="380">
        <f t="shared" si="4"/>
        <v>6.5620000000000012E-2</v>
      </c>
      <c r="G26" s="39">
        <f t="shared" si="7"/>
        <v>6.5620000000000012E-2</v>
      </c>
      <c r="H26" s="8">
        <f>0.0681+0.0046</f>
        <v>7.2699999999999987E-2</v>
      </c>
      <c r="I26" s="8">
        <f>0.0703+0.0046</f>
        <v>7.4899999999999994E-2</v>
      </c>
      <c r="J26" s="8">
        <f>0.0734+0.0046</f>
        <v>7.8000000000000014E-2</v>
      </c>
      <c r="K26" s="8">
        <f>0.0707+0.0046</f>
        <v>7.5300000000000006E-2</v>
      </c>
      <c r="L26" s="8">
        <f>0.0682+0.0046</f>
        <v>7.2800000000000004E-2</v>
      </c>
      <c r="M26" s="8">
        <f>0.0587+0.0046</f>
        <v>6.3299999999999995E-2</v>
      </c>
      <c r="N26" s="46">
        <f>0.0545+0.0046</f>
        <v>5.91E-2</v>
      </c>
      <c r="O26" s="47">
        <f>0.0611+0.0046</f>
        <v>6.5700000000000008E-2</v>
      </c>
      <c r="P26" s="47">
        <f>0.0626+0.0046</f>
        <v>6.720000000000001E-2</v>
      </c>
      <c r="Q26" s="47">
        <f>0.0458+0.0046</f>
        <v>5.04E-2</v>
      </c>
      <c r="R26" s="47">
        <f>0.0048+0.0423</f>
        <v>4.7099999999999996E-2</v>
      </c>
      <c r="S26" s="47">
        <f>0.0408+0.0048</f>
        <v>4.5600000000000002E-2</v>
      </c>
      <c r="T26" s="390">
        <v>4.5699999999999998E-2</v>
      </c>
    </row>
    <row r="27" spans="1:20" x14ac:dyDescent="0.2">
      <c r="A27" s="16" t="s">
        <v>128</v>
      </c>
      <c r="B27" s="5">
        <f>VALUE(INDEX(H27:AM27,1,$B$4))</f>
        <v>4.4600000000000001E-2</v>
      </c>
      <c r="C27" s="39">
        <f t="shared" si="5"/>
        <v>4.4600000000000001E-2</v>
      </c>
      <c r="D27" s="380">
        <f t="shared" si="2"/>
        <v>4.6124999999999999E-2</v>
      </c>
      <c r="E27" s="39">
        <f t="shared" si="6"/>
        <v>4.6124999999999999E-2</v>
      </c>
      <c r="F27" s="380">
        <f t="shared" si="4"/>
        <v>6.5679999999999988E-2</v>
      </c>
      <c r="G27" s="39">
        <f t="shared" si="7"/>
        <v>6.5679999999999988E-2</v>
      </c>
      <c r="H27" s="8">
        <v>7.2900000000000006E-2</v>
      </c>
      <c r="I27" s="8">
        <v>7.2900000000000006E-2</v>
      </c>
      <c r="J27" s="8">
        <v>7.9000000000000001E-2</v>
      </c>
      <c r="K27" s="8">
        <v>7.5899999999999995E-2</v>
      </c>
      <c r="L27" s="8">
        <v>7.3200000000000001E-2</v>
      </c>
      <c r="M27" s="8">
        <v>6.2899999999999998E-2</v>
      </c>
      <c r="N27" s="46">
        <v>5.8599999999999999E-2</v>
      </c>
      <c r="O27" s="47">
        <v>6.5799999999999997E-2</v>
      </c>
      <c r="P27" s="47">
        <v>6.7900000000000002E-2</v>
      </c>
      <c r="Q27" s="47">
        <v>4.9599999999999998E-2</v>
      </c>
      <c r="R27" s="47">
        <v>4.5900000000000003E-2</v>
      </c>
      <c r="S27" s="47">
        <v>4.4400000000000002E-2</v>
      </c>
      <c r="T27" s="389">
        <v>4.4600000000000001E-2</v>
      </c>
    </row>
    <row r="28" spans="1:20" x14ac:dyDescent="0.2">
      <c r="A28" s="16" t="s">
        <v>132</v>
      </c>
      <c r="B28" s="5">
        <f>VALUE(INDEX(H28:AM28,1,$B$4))</f>
        <v>3.4799999999999998E-2</v>
      </c>
      <c r="C28" s="39">
        <f t="shared" si="5"/>
        <v>3.4799999999999998E-2</v>
      </c>
      <c r="D28" s="380">
        <f t="shared" si="2"/>
        <v>3.6349999999999993E-2</v>
      </c>
      <c r="E28" s="39">
        <f t="shared" si="6"/>
        <v>3.6349999999999993E-2</v>
      </c>
      <c r="F28" s="380">
        <f t="shared" si="4"/>
        <v>5.2380000000000003E-2</v>
      </c>
      <c r="G28" s="39">
        <f t="shared" si="7"/>
        <v>5.2380000000000003E-2</v>
      </c>
      <c r="H28" s="8">
        <v>5.8700000000000002E-2</v>
      </c>
      <c r="I28" s="8">
        <v>5.8700000000000002E-2</v>
      </c>
      <c r="J28" s="8">
        <v>6.3E-2</v>
      </c>
      <c r="K28" s="8">
        <v>6.0699999999999997E-2</v>
      </c>
      <c r="L28" s="8">
        <v>5.8700000000000002E-2</v>
      </c>
      <c r="M28" s="8">
        <v>5.0599999999999999E-2</v>
      </c>
      <c r="N28" s="46">
        <v>4.6699999999999998E-2</v>
      </c>
      <c r="O28" s="47">
        <v>5.21E-2</v>
      </c>
      <c r="P28" s="47">
        <v>5.3800000000000001E-2</v>
      </c>
      <c r="Q28" s="47">
        <v>3.9399999999999998E-2</v>
      </c>
      <c r="R28" s="47">
        <v>3.6299999999999999E-2</v>
      </c>
      <c r="S28" s="47">
        <v>3.49E-2</v>
      </c>
      <c r="T28" s="389">
        <v>3.4799999999999998E-2</v>
      </c>
    </row>
    <row r="29" spans="1:20" x14ac:dyDescent="0.2">
      <c r="A29" s="16" t="s">
        <v>116</v>
      </c>
      <c r="B29" s="5">
        <f t="shared" si="1"/>
        <v>2.6000000000000002E-2</v>
      </c>
      <c r="C29" s="39">
        <f>1/(1-VALUE(B29))-1</f>
        <v>2.6694045174538106E-2</v>
      </c>
      <c r="D29" s="380">
        <f t="shared" si="2"/>
        <v>2.2749999999999999E-2</v>
      </c>
      <c r="E29" s="39">
        <f>1/(1-VALUE(D29))-1</f>
        <v>2.3279611153747881E-2</v>
      </c>
      <c r="F29" s="380">
        <f t="shared" si="4"/>
        <v>2.8799999999999999E-2</v>
      </c>
      <c r="G29" s="39">
        <f>1/(1-VALUE(F29))-1</f>
        <v>2.9654036243822235E-2</v>
      </c>
      <c r="H29" s="8">
        <v>2.1999999999999999E-2</v>
      </c>
      <c r="I29" s="8">
        <v>2.1999999999999999E-2</v>
      </c>
      <c r="J29" s="8">
        <v>2.4E-2</v>
      </c>
      <c r="K29" s="8">
        <v>2.5000000000000001E-2</v>
      </c>
      <c r="L29" s="8">
        <v>2.1000000000000001E-2</v>
      </c>
      <c r="M29" s="8">
        <v>3.5999999999999997E-2</v>
      </c>
      <c r="N29" s="46">
        <v>0.03</v>
      </c>
      <c r="O29" s="47">
        <v>0.03</v>
      </c>
      <c r="P29" s="47">
        <v>2.7E-2</v>
      </c>
      <c r="Q29" s="47">
        <v>2.1000000000000001E-2</v>
      </c>
      <c r="R29" s="47">
        <v>2.5000000000000001E-2</v>
      </c>
      <c r="S29" s="47">
        <v>1.9E-2</v>
      </c>
      <c r="T29" s="389">
        <v>2.6000000000000002E-2</v>
      </c>
    </row>
    <row r="30" spans="1:20" x14ac:dyDescent="0.2">
      <c r="A30" s="16" t="s">
        <v>117</v>
      </c>
      <c r="B30" s="5">
        <f t="shared" si="1"/>
        <v>3.1E-2</v>
      </c>
      <c r="C30" s="39">
        <f>1/(1-VALUE(B30))-1</f>
        <v>3.1991744066047545E-2</v>
      </c>
      <c r="D30" s="380">
        <f t="shared" si="2"/>
        <v>2.6750000000000003E-2</v>
      </c>
      <c r="E30" s="39">
        <f>1/(1-VALUE(D30))-1</f>
        <v>2.7485229899820274E-2</v>
      </c>
      <c r="F30" s="380">
        <f t="shared" si="4"/>
        <v>3.4000000000000002E-2</v>
      </c>
      <c r="G30" s="39">
        <f>1/(1-VALUE(F30))-1</f>
        <v>3.5196687370600444E-2</v>
      </c>
      <c r="H30" s="8">
        <v>2.5999999999999999E-2</v>
      </c>
      <c r="I30" s="8">
        <v>2.5999999999999999E-2</v>
      </c>
      <c r="J30" s="8">
        <v>2.9000000000000001E-2</v>
      </c>
      <c r="K30" s="8">
        <v>2.9000000000000001E-2</v>
      </c>
      <c r="L30" s="8">
        <v>2.5000000000000001E-2</v>
      </c>
      <c r="M30" s="8">
        <v>4.2000000000000003E-2</v>
      </c>
      <c r="N30" s="46">
        <v>3.5999999999999997E-2</v>
      </c>
      <c r="O30" s="47">
        <v>3.5999999999999997E-2</v>
      </c>
      <c r="P30" s="47">
        <v>3.1E-2</v>
      </c>
      <c r="Q30" s="47">
        <v>2.5000000000000001E-2</v>
      </c>
      <c r="R30" s="47">
        <v>2.9000000000000001E-2</v>
      </c>
      <c r="S30" s="47">
        <v>2.1999999999999999E-2</v>
      </c>
      <c r="T30" s="389">
        <v>3.1E-2</v>
      </c>
    </row>
    <row r="31" spans="1:20" x14ac:dyDescent="0.2">
      <c r="A31" s="16" t="s">
        <v>118</v>
      </c>
      <c r="B31" s="5">
        <f t="shared" si="1"/>
        <v>3.9E-2</v>
      </c>
      <c r="C31" s="39">
        <f>1/(1-VALUE(B31))-1</f>
        <v>4.058272632674309E-2</v>
      </c>
      <c r="D31" s="380">
        <f t="shared" si="2"/>
        <v>3.3750000000000002E-2</v>
      </c>
      <c r="E31" s="39">
        <f>1/(1-VALUE(D31))-1</f>
        <v>3.4928848641655907E-2</v>
      </c>
      <c r="F31" s="380">
        <f t="shared" si="4"/>
        <v>4.2799999999999998E-2</v>
      </c>
      <c r="G31" s="39">
        <f>1/(1-VALUE(F31))-1</f>
        <v>4.4713748432929412E-2</v>
      </c>
      <c r="H31" s="8">
        <v>3.3000000000000002E-2</v>
      </c>
      <c r="I31" s="8">
        <v>3.3000000000000002E-2</v>
      </c>
      <c r="J31" s="8">
        <v>3.5999999999999997E-2</v>
      </c>
      <c r="K31" s="8">
        <v>3.5999999999999997E-2</v>
      </c>
      <c r="L31" s="8">
        <v>3.2000000000000001E-2</v>
      </c>
      <c r="M31" s="8">
        <v>5.2999999999999999E-2</v>
      </c>
      <c r="N31" s="46">
        <v>4.4999999999999998E-2</v>
      </c>
      <c r="O31" s="47">
        <v>4.4999999999999998E-2</v>
      </c>
      <c r="P31" s="47">
        <v>3.9E-2</v>
      </c>
      <c r="Q31" s="47">
        <v>3.1E-2</v>
      </c>
      <c r="R31" s="47">
        <v>3.6999999999999998E-2</v>
      </c>
      <c r="S31" s="47">
        <v>2.8000000000000001E-2</v>
      </c>
      <c r="T31" s="389">
        <v>3.9E-2</v>
      </c>
    </row>
    <row r="32" spans="1:20" x14ac:dyDescent="0.2">
      <c r="A32" s="16" t="s">
        <v>148</v>
      </c>
      <c r="B32" s="5">
        <f t="shared" ref="B32:B39" si="8">VALUE(INDEX(H32:AM32,1,$B$4))</f>
        <v>4.0300000000000002E-2</v>
      </c>
      <c r="C32" s="39">
        <f>VALUE(B32)</f>
        <v>4.0300000000000002E-2</v>
      </c>
      <c r="D32" s="380">
        <f t="shared" si="2"/>
        <v>4.1825000000000001E-2</v>
      </c>
      <c r="E32" s="39">
        <f>VALUE(D32)</f>
        <v>4.1825000000000001E-2</v>
      </c>
      <c r="F32" s="380">
        <f t="shared" si="4"/>
        <v>5.9439999999999993E-2</v>
      </c>
      <c r="G32" s="39">
        <f>VALUE(F32)</f>
        <v>5.9439999999999993E-2</v>
      </c>
      <c r="H32" s="8">
        <v>6.6199999999999995E-2</v>
      </c>
      <c r="I32" s="8">
        <v>6.8400000000000002E-2</v>
      </c>
      <c r="J32" s="8">
        <v>7.1300000000000002E-2</v>
      </c>
      <c r="K32" s="8">
        <v>6.8699999999999997E-2</v>
      </c>
      <c r="L32" s="8">
        <v>6.6299999999999998E-2</v>
      </c>
      <c r="M32" s="8">
        <v>5.7000000000000002E-2</v>
      </c>
      <c r="N32" s="46">
        <v>5.2900000000000003E-2</v>
      </c>
      <c r="O32" s="47">
        <v>5.9299999999999999E-2</v>
      </c>
      <c r="P32" s="47">
        <v>6.1699999999999998E-2</v>
      </c>
      <c r="Q32" s="47">
        <v>4.5100000000000001E-2</v>
      </c>
      <c r="R32" s="47">
        <v>4.1700000000000001E-2</v>
      </c>
      <c r="S32" s="47">
        <v>4.02E-2</v>
      </c>
      <c r="T32" s="389">
        <v>4.0300000000000002E-2</v>
      </c>
    </row>
    <row r="33" spans="1:20" x14ac:dyDescent="0.2">
      <c r="A33" s="16" t="s">
        <v>153</v>
      </c>
      <c r="B33" s="5">
        <f t="shared" si="8"/>
        <v>2.5007000000000001E-2</v>
      </c>
      <c r="C33" s="39">
        <f>VALUE(B33)</f>
        <v>2.5007000000000001E-2</v>
      </c>
      <c r="D33" s="380">
        <f t="shared" si="2"/>
        <v>2.6829200000000001E-2</v>
      </c>
      <c r="E33" s="39">
        <f>VALUE(D33)</f>
        <v>2.6829200000000001E-2</v>
      </c>
      <c r="F33" s="380">
        <f t="shared" si="4"/>
        <v>3.2641999999999997E-2</v>
      </c>
      <c r="G33" s="39">
        <f>VALUE(F33)</f>
        <v>3.2641999999999997E-2</v>
      </c>
      <c r="H33" s="8"/>
      <c r="I33" s="8">
        <v>3.79262E-2</v>
      </c>
      <c r="J33" s="8">
        <v>4.2599999999999999E-2</v>
      </c>
      <c r="K33" s="8">
        <v>3.9138399999999997E-2</v>
      </c>
      <c r="L33" s="8">
        <v>3.4667099999999999E-2</v>
      </c>
      <c r="M33" s="8">
        <v>3.5100800000000001E-2</v>
      </c>
      <c r="N33" s="46">
        <v>3.0397500000000001E-2</v>
      </c>
      <c r="O33" s="47">
        <v>3.1522300000000003E-2</v>
      </c>
      <c r="P33" s="47">
        <v>3.1522300000000003E-2</v>
      </c>
      <c r="Q33" s="47">
        <v>3.6343199999999999E-2</v>
      </c>
      <c r="R33" s="47">
        <v>2.5678200000000002E-2</v>
      </c>
      <c r="S33" s="47">
        <v>2.0288400000000002E-2</v>
      </c>
      <c r="T33" s="389">
        <v>2.5007000000000001E-2</v>
      </c>
    </row>
    <row r="34" spans="1:20" x14ac:dyDescent="0.2">
      <c r="A34" s="16" t="s">
        <v>160</v>
      </c>
      <c r="B34" s="5">
        <f t="shared" si="8"/>
        <v>1.2636400000000001E-2</v>
      </c>
      <c r="C34" s="39">
        <f>VALUE(B34)</f>
        <v>1.2636400000000001E-2</v>
      </c>
      <c r="D34" s="380">
        <f t="shared" si="2"/>
        <v>1.3449049999999999E-2</v>
      </c>
      <c r="E34" s="39">
        <f>VALUE(D34)</f>
        <v>1.3449049999999999E-2</v>
      </c>
      <c r="F34" s="380">
        <f t="shared" si="4"/>
        <v>1.7346159999999999E-2</v>
      </c>
      <c r="G34" s="39">
        <f>VALUE(F34)</f>
        <v>1.7346159999999999E-2</v>
      </c>
      <c r="H34" s="8"/>
      <c r="I34" s="8"/>
      <c r="J34" s="8"/>
      <c r="K34" s="8">
        <v>2.0121199999999999E-2</v>
      </c>
      <c r="L34" s="8">
        <v>1.82732E-2</v>
      </c>
      <c r="M34" s="8">
        <v>1.80734E-2</v>
      </c>
      <c r="N34" s="46">
        <v>1.6432599999999999E-2</v>
      </c>
      <c r="O34" s="47">
        <v>1.6975799999999999E-2</v>
      </c>
      <c r="P34" s="47">
        <v>1.6975799999999999E-2</v>
      </c>
      <c r="Q34" s="47">
        <v>1.86185E-2</v>
      </c>
      <c r="R34" s="47">
        <v>1.26923E-2</v>
      </c>
      <c r="S34" s="47">
        <v>9.8490000000000001E-3</v>
      </c>
      <c r="T34" s="389">
        <v>1.2636400000000001E-2</v>
      </c>
    </row>
    <row r="35" spans="1:20" x14ac:dyDescent="0.2">
      <c r="A35" s="16" t="s">
        <v>162</v>
      </c>
      <c r="B35" s="5">
        <f>VALUE(INDEX(H35:AM35,1,$B$4))</f>
        <v>6.1403999999999999E-3</v>
      </c>
      <c r="C35" s="39">
        <f>VALUE(B35)</f>
        <v>6.1403999999999999E-3</v>
      </c>
      <c r="D35" s="380">
        <f t="shared" si="2"/>
        <v>6.4395750000000003E-3</v>
      </c>
      <c r="E35" s="39">
        <f>VALUE(D35)</f>
        <v>6.4395750000000003E-3</v>
      </c>
      <c r="F35" s="380">
        <f t="shared" si="4"/>
        <v>8.4776000000000001E-3</v>
      </c>
      <c r="G35" s="39">
        <f>VALUE(F35)</f>
        <v>8.4776000000000001E-3</v>
      </c>
      <c r="H35" s="8"/>
      <c r="I35" s="8"/>
      <c r="J35" s="8"/>
      <c r="K35" s="8">
        <v>1.02378E-2</v>
      </c>
      <c r="L35" s="8">
        <v>9.2350000000000002E-3</v>
      </c>
      <c r="M35" s="8">
        <v>8.7338999999999993E-3</v>
      </c>
      <c r="N35" s="46">
        <v>7.9074999999999996E-3</v>
      </c>
      <c r="O35" s="47">
        <v>8.2558000000000006E-3</v>
      </c>
      <c r="P35" s="47">
        <v>8.2558000000000006E-3</v>
      </c>
      <c r="Q35" s="47">
        <v>9.3933000000000003E-3</v>
      </c>
      <c r="R35" s="47">
        <v>5.8691999999999998E-3</v>
      </c>
      <c r="S35" s="47">
        <v>4.3553999999999997E-3</v>
      </c>
      <c r="T35" s="389">
        <v>6.1403999999999999E-3</v>
      </c>
    </row>
    <row r="36" spans="1:20" x14ac:dyDescent="0.2">
      <c r="A36" s="16" t="s">
        <v>172</v>
      </c>
      <c r="B36" s="5">
        <f>VALUE(INDEX(H36:AM36,1,$B$4))</f>
        <v>3.3399999999999999E-2</v>
      </c>
      <c r="C36" s="39">
        <f>VALUE(B36)</f>
        <v>3.3399999999999999E-2</v>
      </c>
      <c r="D36" s="380">
        <f t="shared" si="2"/>
        <v>4.8199999999999993E-2</v>
      </c>
      <c r="E36" s="39">
        <f>VALUE(D36)</f>
        <v>4.8199999999999993E-2</v>
      </c>
      <c r="F36" s="380">
        <f>AVERAGE(O36:P36)</f>
        <v>5.6349999999999997E-2</v>
      </c>
      <c r="G36" s="39">
        <f>VALUE(F36)</f>
        <v>5.6349999999999997E-2</v>
      </c>
      <c r="H36" s="8"/>
      <c r="I36" s="8">
        <v>4.4999999999999998E-2</v>
      </c>
      <c r="J36" s="8"/>
      <c r="K36" s="8"/>
      <c r="L36" s="8">
        <v>4.3999999999999997E-2</v>
      </c>
      <c r="M36" s="8">
        <v>4.3999999999999997E-2</v>
      </c>
      <c r="N36" s="46">
        <v>4.3999999999999997E-2</v>
      </c>
      <c r="O36" s="47">
        <v>5.2900000000000003E-2</v>
      </c>
      <c r="P36" s="47">
        <v>5.9799999999999999E-2</v>
      </c>
      <c r="Q36" s="47">
        <v>5.6099999999999997E-2</v>
      </c>
      <c r="R36" s="47">
        <v>5.3400000000000003E-2</v>
      </c>
      <c r="S36" s="47">
        <f>0.0274+0.0225</f>
        <v>4.99E-2</v>
      </c>
      <c r="T36" s="389">
        <v>3.3399999999999999E-2</v>
      </c>
    </row>
    <row r="37" spans="1:20" x14ac:dyDescent="0.2">
      <c r="A37" s="16" t="s">
        <v>139</v>
      </c>
      <c r="B37" s="1">
        <f t="shared" si="8"/>
        <v>37.9</v>
      </c>
      <c r="F37" s="381"/>
      <c r="H37" s="1">
        <v>37.799999999999997</v>
      </c>
      <c r="I37" s="1">
        <v>38</v>
      </c>
      <c r="J37" s="1">
        <v>38</v>
      </c>
      <c r="K37" s="1">
        <v>37.9</v>
      </c>
      <c r="L37" s="1">
        <v>37.9</v>
      </c>
      <c r="M37" s="1">
        <v>38</v>
      </c>
      <c r="N37">
        <v>38</v>
      </c>
      <c r="O37" s="50">
        <v>38.15</v>
      </c>
      <c r="P37" s="50">
        <v>38.15</v>
      </c>
      <c r="Q37" s="50">
        <v>38.200000000000003</v>
      </c>
      <c r="R37" s="1">
        <v>38.200000000000003</v>
      </c>
      <c r="S37" s="1">
        <v>38.200000000000003</v>
      </c>
      <c r="T37" s="391">
        <v>37.9</v>
      </c>
    </row>
    <row r="38" spans="1:20" x14ac:dyDescent="0.2">
      <c r="A38" s="16" t="s">
        <v>141</v>
      </c>
      <c r="B38" s="1">
        <f t="shared" si="8"/>
        <v>39.22</v>
      </c>
      <c r="F38" s="381"/>
      <c r="H38" s="1">
        <v>39.200000000000003</v>
      </c>
      <c r="I38" s="1">
        <v>39.200000000000003</v>
      </c>
      <c r="J38" s="1">
        <v>39.200000000000003</v>
      </c>
      <c r="K38" s="1">
        <v>39.200000000000003</v>
      </c>
      <c r="L38" s="1">
        <v>39.200000000000003</v>
      </c>
      <c r="M38" s="1">
        <v>39.200000000000003</v>
      </c>
      <c r="N38" s="1">
        <v>39.11</v>
      </c>
      <c r="O38" s="50">
        <v>39</v>
      </c>
      <c r="P38" s="377">
        <v>39.200000000000003</v>
      </c>
      <c r="Q38" s="377">
        <v>39</v>
      </c>
      <c r="R38" s="377">
        <v>39.22</v>
      </c>
      <c r="S38" s="377">
        <v>39.22</v>
      </c>
      <c r="T38" s="377">
        <v>39.22</v>
      </c>
    </row>
    <row r="39" spans="1:20" x14ac:dyDescent="0.2">
      <c r="A39" s="16" t="s">
        <v>140</v>
      </c>
      <c r="B39" s="1">
        <f t="shared" si="8"/>
        <v>38.42</v>
      </c>
      <c r="F39" s="381"/>
      <c r="H39" s="1">
        <v>39.72</v>
      </c>
      <c r="I39" s="1">
        <v>39.72</v>
      </c>
      <c r="J39" s="1">
        <v>39.72</v>
      </c>
      <c r="K39" s="1">
        <v>39.72</v>
      </c>
      <c r="L39" s="1">
        <v>39.72</v>
      </c>
      <c r="M39" s="1">
        <v>39.72</v>
      </c>
      <c r="N39" s="1">
        <v>38.9</v>
      </c>
      <c r="O39" s="50">
        <v>38.799999999999997</v>
      </c>
      <c r="P39" s="377">
        <v>39.72</v>
      </c>
      <c r="Q39" s="377">
        <v>38.729999999999997</v>
      </c>
      <c r="R39" s="377">
        <v>38.42</v>
      </c>
      <c r="S39" s="377">
        <v>38.42</v>
      </c>
      <c r="T39" s="377">
        <v>38.42</v>
      </c>
    </row>
    <row r="40" spans="1:20" x14ac:dyDescent="0.2">
      <c r="A40" t="s">
        <v>282</v>
      </c>
      <c r="R40" s="1">
        <v>37.75</v>
      </c>
      <c r="S40" s="1">
        <v>37.68</v>
      </c>
      <c r="T40" s="391">
        <v>37.58</v>
      </c>
    </row>
  </sheetData>
  <phoneticPr fontId="0" type="noConversion"/>
  <pageMargins left="0.75" right="0.75" top="1" bottom="1" header="0.5" footer="0.5"/>
  <pageSetup scale="64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7"/>
  <sheetViews>
    <sheetView workbookViewId="0">
      <selection activeCell="J4" sqref="J1:J4"/>
    </sheetView>
  </sheetViews>
  <sheetFormatPr defaultRowHeight="12.75" x14ac:dyDescent="0.2"/>
  <cols>
    <col min="1" max="1" width="38.42578125" bestFit="1" customWidth="1"/>
    <col min="2" max="2" width="15.5703125" customWidth="1"/>
  </cols>
  <sheetData>
    <row r="1" spans="1:9" x14ac:dyDescent="0.2">
      <c r="B1" s="6">
        <v>37012</v>
      </c>
      <c r="E1" s="6">
        <v>37043</v>
      </c>
      <c r="H1" t="s">
        <v>171</v>
      </c>
    </row>
    <row r="2" spans="1:9" ht="45" x14ac:dyDescent="0.25">
      <c r="A2" s="35" t="s">
        <v>100</v>
      </c>
      <c r="B2" s="36" t="s">
        <v>104</v>
      </c>
      <c r="C2" s="36" t="s">
        <v>105</v>
      </c>
      <c r="E2" s="36" t="s">
        <v>104</v>
      </c>
      <c r="F2" s="36" t="s">
        <v>105</v>
      </c>
      <c r="H2" s="36" t="s">
        <v>313</v>
      </c>
      <c r="I2" s="36" t="s">
        <v>123</v>
      </c>
    </row>
    <row r="3" spans="1:9" x14ac:dyDescent="0.2">
      <c r="A3" s="16" t="s">
        <v>83</v>
      </c>
      <c r="B3" s="367">
        <v>3.1424869991254593E-2</v>
      </c>
      <c r="C3" s="26">
        <v>0.13072841380868772</v>
      </c>
      <c r="E3" s="367">
        <v>2.6969405078097218E-2</v>
      </c>
      <c r="F3" s="26">
        <v>0.12627294889553034</v>
      </c>
      <c r="H3" s="386">
        <f>E3-B3</f>
        <v>-4.4554649131573754E-3</v>
      </c>
      <c r="I3" s="386">
        <f>F3-C3</f>
        <v>-4.4554649131573754E-3</v>
      </c>
    </row>
    <row r="4" spans="1:9" x14ac:dyDescent="0.2">
      <c r="A4" s="16" t="s">
        <v>113</v>
      </c>
      <c r="B4" s="367">
        <v>7.1589903235221811E-2</v>
      </c>
      <c r="C4" s="26">
        <v>0.28244372332192558</v>
      </c>
      <c r="E4" s="367">
        <v>6.6763149579301323E-2</v>
      </c>
      <c r="F4" s="26">
        <v>0.27761696966600513</v>
      </c>
      <c r="H4" s="386">
        <f t="shared" ref="H4:H13" si="0">E4-B4</f>
        <v>-4.8267536559204877E-3</v>
      </c>
      <c r="I4" s="386">
        <f t="shared" ref="I4:I17" si="1">F4-C4</f>
        <v>-4.826753655920446E-3</v>
      </c>
    </row>
    <row r="5" spans="1:9" x14ac:dyDescent="0.2">
      <c r="A5" s="16" t="s">
        <v>84</v>
      </c>
      <c r="B5" s="367">
        <v>0.18976788229152089</v>
      </c>
      <c r="C5" s="376">
        <v>0.79505395497446663</v>
      </c>
      <c r="E5" s="367">
        <v>0.18419855115007416</v>
      </c>
      <c r="F5" s="376">
        <v>0.78948462383301987</v>
      </c>
      <c r="H5" s="386">
        <f t="shared" si="0"/>
        <v>-5.5693311414467261E-3</v>
      </c>
      <c r="I5" s="386">
        <f t="shared" si="1"/>
        <v>-5.5693311414467539E-3</v>
      </c>
    </row>
    <row r="6" spans="1:9" x14ac:dyDescent="0.2">
      <c r="A6" s="362" t="s">
        <v>86</v>
      </c>
      <c r="B6" s="368">
        <v>0.19588943637318018</v>
      </c>
      <c r="C6" s="365">
        <v>0.78564188419863901</v>
      </c>
      <c r="E6" s="368">
        <v>0.18660721780410236</v>
      </c>
      <c r="F6" s="365">
        <v>0.77635966562956127</v>
      </c>
      <c r="H6" s="386">
        <f t="shared" si="0"/>
        <v>-9.2822185690778214E-3</v>
      </c>
      <c r="I6" s="386">
        <f t="shared" si="1"/>
        <v>-9.2822185690777381E-3</v>
      </c>
    </row>
    <row r="7" spans="1:9" x14ac:dyDescent="0.2">
      <c r="A7" s="16" t="s">
        <v>114</v>
      </c>
      <c r="B7" s="367">
        <v>0.22629415788539742</v>
      </c>
      <c r="C7" s="26">
        <v>0.81732855766015766</v>
      </c>
      <c r="E7" s="367">
        <v>0.22072482674395069</v>
      </c>
      <c r="F7" s="26">
        <v>0.81175922651871091</v>
      </c>
      <c r="H7" s="386">
        <f t="shared" si="0"/>
        <v>-5.5693311414467261E-3</v>
      </c>
      <c r="I7" s="386">
        <f t="shared" si="1"/>
        <v>-5.5693311414467539E-3</v>
      </c>
    </row>
    <row r="8" spans="1:9" x14ac:dyDescent="0.2">
      <c r="A8" s="16" t="s">
        <v>90</v>
      </c>
      <c r="B8" s="367">
        <v>0.22649392810810023</v>
      </c>
      <c r="C8" s="26">
        <v>0.81669642289448408</v>
      </c>
      <c r="E8" s="367">
        <v>0.22092459696665354</v>
      </c>
      <c r="F8" s="26">
        <v>0.81112709175303732</v>
      </c>
      <c r="H8" s="386">
        <f t="shared" si="0"/>
        <v>-5.5693311414466984E-3</v>
      </c>
      <c r="I8" s="386">
        <f t="shared" si="1"/>
        <v>-5.5693311414467539E-3</v>
      </c>
    </row>
    <row r="9" spans="1:9" x14ac:dyDescent="0.2">
      <c r="A9" s="16" t="s">
        <v>127</v>
      </c>
      <c r="B9" s="367">
        <v>0.20612525849498514</v>
      </c>
      <c r="C9" s="26">
        <v>0.84508284071490936</v>
      </c>
      <c r="E9" s="367">
        <v>0.20055592735353842</v>
      </c>
      <c r="F9" s="26">
        <v>0.8395135095734626</v>
      </c>
      <c r="H9" s="386">
        <f t="shared" si="0"/>
        <v>-5.5693311414467261E-3</v>
      </c>
      <c r="I9" s="386">
        <f t="shared" si="1"/>
        <v>-5.5693311414467539E-3</v>
      </c>
    </row>
    <row r="10" spans="1:9" x14ac:dyDescent="0.2">
      <c r="A10" s="362" t="s">
        <v>130</v>
      </c>
      <c r="B10" s="368">
        <v>0.16303530765442181</v>
      </c>
      <c r="C10" s="378">
        <v>0.67210660939405575</v>
      </c>
      <c r="E10" s="368">
        <v>0.15783726525573824</v>
      </c>
      <c r="F10" s="378">
        <v>0.66690856699537215</v>
      </c>
      <c r="H10" s="386">
        <f t="shared" si="0"/>
        <v>-5.1980423986835722E-3</v>
      </c>
      <c r="I10" s="386">
        <f t="shared" si="1"/>
        <v>-5.1980423986836E-3</v>
      </c>
    </row>
    <row r="11" spans="1:9" x14ac:dyDescent="0.2">
      <c r="A11" s="16" t="s">
        <v>119</v>
      </c>
      <c r="B11" s="367">
        <v>0.12376291425437194</v>
      </c>
      <c r="C11" s="26">
        <v>0.45924334419437196</v>
      </c>
      <c r="E11" s="367">
        <v>9.8404763627328737E-2</v>
      </c>
      <c r="F11" s="26">
        <v>0.43388519356732874</v>
      </c>
      <c r="H11" s="386">
        <f t="shared" si="0"/>
        <v>-2.5358150627043205E-2</v>
      </c>
      <c r="I11" s="386">
        <f t="shared" si="1"/>
        <v>-2.5358150627043219E-2</v>
      </c>
    </row>
    <row r="12" spans="1:9" x14ac:dyDescent="0.2">
      <c r="A12" s="16" t="s">
        <v>120</v>
      </c>
      <c r="B12" s="367">
        <v>0.17157164125606</v>
      </c>
      <c r="C12" s="26">
        <v>0.66756219142605999</v>
      </c>
      <c r="E12" s="367">
        <v>0.13369450613898146</v>
      </c>
      <c r="F12" s="26">
        <v>0.62968505630898142</v>
      </c>
      <c r="H12" s="386">
        <f t="shared" si="0"/>
        <v>-3.7877135117078548E-2</v>
      </c>
      <c r="I12" s="386">
        <f t="shared" si="1"/>
        <v>-3.7877135117078575E-2</v>
      </c>
    </row>
    <row r="13" spans="1:9" x14ac:dyDescent="0.2">
      <c r="A13" s="16" t="s">
        <v>147</v>
      </c>
      <c r="B13" s="367">
        <v>0.2023974057322187</v>
      </c>
      <c r="C13" s="26">
        <v>0.79819907245772659</v>
      </c>
      <c r="E13" s="367">
        <v>0.19682807459077198</v>
      </c>
      <c r="F13" s="26">
        <v>0.79262974131627983</v>
      </c>
      <c r="H13" s="386">
        <f t="shared" si="0"/>
        <v>-5.5693311414467261E-3</v>
      </c>
      <c r="I13" s="386">
        <f t="shared" si="1"/>
        <v>-5.5693311414467539E-3</v>
      </c>
    </row>
    <row r="14" spans="1:9" x14ac:dyDescent="0.2">
      <c r="A14" s="362" t="s">
        <v>152</v>
      </c>
      <c r="B14" s="368"/>
      <c r="C14" s="378">
        <v>0.40503663568232873</v>
      </c>
      <c r="E14" s="368"/>
      <c r="F14" s="378">
        <v>0.37857791908012861</v>
      </c>
      <c r="H14" s="386"/>
      <c r="I14" s="386">
        <f t="shared" si="1"/>
        <v>-2.6458716602200116E-2</v>
      </c>
    </row>
    <row r="15" spans="1:9" x14ac:dyDescent="0.2">
      <c r="A15" s="16" t="s">
        <v>157</v>
      </c>
      <c r="B15" s="367"/>
      <c r="C15" s="26">
        <v>0.12259291236040312</v>
      </c>
      <c r="E15" s="367"/>
      <c r="F15" s="26">
        <v>0.10096094941412348</v>
      </c>
      <c r="H15" s="386"/>
      <c r="I15" s="386">
        <f t="shared" si="1"/>
        <v>-2.1631962946279643E-2</v>
      </c>
    </row>
    <row r="16" spans="1:9" x14ac:dyDescent="0.2">
      <c r="A16" s="16" t="s">
        <v>159</v>
      </c>
      <c r="B16" s="367"/>
      <c r="C16" s="26">
        <v>7.0709941567241641E-2</v>
      </c>
      <c r="E16" s="367"/>
      <c r="F16" s="26">
        <v>5.9302477808979612E-2</v>
      </c>
      <c r="H16" s="386"/>
      <c r="I16" s="386">
        <f t="shared" si="1"/>
        <v>-1.1407463758262029E-2</v>
      </c>
    </row>
    <row r="17" spans="1:9" x14ac:dyDescent="0.2">
      <c r="A17" s="16" t="s">
        <v>161</v>
      </c>
      <c r="B17" s="367"/>
      <c r="C17" s="26">
        <v>4.344939759117375E-2</v>
      </c>
      <c r="E17" s="367"/>
      <c r="F17" s="26">
        <v>3.7380242851988002E-2</v>
      </c>
      <c r="H17" s="386"/>
      <c r="I17" s="386">
        <f t="shared" si="1"/>
        <v>-6.0691547391857475E-3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:C33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P79"/>
  <sheetViews>
    <sheetView showGridLines="0" zoomScale="90" workbookViewId="0">
      <pane ySplit="16" topLeftCell="A17" activePane="bottomLeft" state="frozen"/>
      <selection activeCell="D25" sqref="D25"/>
      <selection pane="bottomLeft" activeCell="B23" sqref="B23"/>
    </sheetView>
  </sheetViews>
  <sheetFormatPr defaultRowHeight="12.75" x14ac:dyDescent="0.2"/>
  <cols>
    <col min="1" max="1" width="38.5703125" customWidth="1"/>
    <col min="2" max="2" width="14.140625" style="1" bestFit="1" customWidth="1"/>
    <col min="3" max="3" width="11.85546875" style="1" bestFit="1" customWidth="1"/>
    <col min="4" max="4" width="12.5703125" customWidth="1"/>
    <col min="5" max="6" width="11" customWidth="1"/>
    <col min="7" max="7" width="14.85546875" bestFit="1" customWidth="1"/>
    <col min="8" max="8" width="4.140625" customWidth="1"/>
    <col min="9" max="10" width="11" customWidth="1"/>
    <col min="11" max="11" width="14.85546875" bestFit="1" customWidth="1"/>
  </cols>
  <sheetData>
    <row r="1" spans="1:16" ht="20.25" x14ac:dyDescent="0.3">
      <c r="A1" s="43" t="s">
        <v>75</v>
      </c>
      <c r="B1" s="356">
        <v>37073</v>
      </c>
      <c r="C1" s="55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2.75" customHeight="1" x14ac:dyDescent="0.2"/>
    <row r="3" spans="1:16" ht="17.25" customHeight="1" x14ac:dyDescent="0.2">
      <c r="J3" s="14" t="s">
        <v>261</v>
      </c>
      <c r="K3" s="361">
        <f>Mids!A1</f>
        <v>37069</v>
      </c>
    </row>
    <row r="4" spans="1:16" x14ac:dyDescent="0.2">
      <c r="A4" t="s">
        <v>72</v>
      </c>
      <c r="B4" s="48">
        <f>VLOOKUP(B1,Mids!A:AI,35)</f>
        <v>1.5170794898519397</v>
      </c>
    </row>
    <row r="5" spans="1:16" x14ac:dyDescent="0.2">
      <c r="A5" t="s">
        <v>131</v>
      </c>
      <c r="B5" s="31">
        <v>0</v>
      </c>
      <c r="C5" s="1" t="s">
        <v>53</v>
      </c>
    </row>
    <row r="6" spans="1:16" x14ac:dyDescent="0.2">
      <c r="A6" t="s">
        <v>131</v>
      </c>
      <c r="B6" s="10">
        <f>B5/B4*1.055056</f>
        <v>0</v>
      </c>
      <c r="C6" s="1" t="s">
        <v>38</v>
      </c>
    </row>
    <row r="8" spans="1:16" ht="15" x14ac:dyDescent="0.25">
      <c r="A8" s="12" t="s">
        <v>76</v>
      </c>
      <c r="B8" s="1" t="s">
        <v>53</v>
      </c>
      <c r="C8" s="1" t="s">
        <v>38</v>
      </c>
    </row>
    <row r="9" spans="1:16" ht="15.75" x14ac:dyDescent="0.25">
      <c r="A9" t="s">
        <v>77</v>
      </c>
      <c r="B9" s="360">
        <f>VLOOKUP(B1,Mids!A:AB,28)+Mids!$T$3</f>
        <v>3.7350000000000003</v>
      </c>
      <c r="C9" s="10">
        <f>B9*1.055056/$B$4</f>
        <v>2.5975133052418951</v>
      </c>
    </row>
    <row r="10" spans="1:16" x14ac:dyDescent="0.2">
      <c r="A10" t="s">
        <v>136</v>
      </c>
      <c r="B10" s="357">
        <f>B9+B6</f>
        <v>3.7350000000000003</v>
      </c>
      <c r="C10" s="10">
        <f>B10*1.055056/$B$4</f>
        <v>2.5975133052418951</v>
      </c>
    </row>
    <row r="11" spans="1:16" x14ac:dyDescent="0.2">
      <c r="A11" t="s">
        <v>73</v>
      </c>
      <c r="B11" s="34">
        <f>VLOOKUP(B1,Mids!A:AD,30)</f>
        <v>4.2625000000000002</v>
      </c>
      <c r="C11" s="10">
        <f>B11*1.055056/$B$4</f>
        <v>2.9643642472807437</v>
      </c>
    </row>
    <row r="12" spans="1:16" x14ac:dyDescent="0.2">
      <c r="A12" t="s">
        <v>137</v>
      </c>
      <c r="B12" s="10"/>
      <c r="C12" s="34">
        <f>C13</f>
        <v>2.6970000000000001</v>
      </c>
    </row>
    <row r="13" spans="1:16" x14ac:dyDescent="0.2">
      <c r="A13" t="s">
        <v>146</v>
      </c>
      <c r="B13" s="10"/>
      <c r="C13" s="34">
        <f>VLOOKUP(B1,Mids!A:AE,31)</f>
        <v>2.6970000000000001</v>
      </c>
    </row>
    <row r="14" spans="1:16" ht="16.5" customHeight="1" x14ac:dyDescent="0.2">
      <c r="A14" t="s">
        <v>158</v>
      </c>
      <c r="B14" s="10"/>
      <c r="C14" s="34">
        <f>C10+I22</f>
        <v>2.6684943737350459</v>
      </c>
    </row>
    <row r="15" spans="1:16" ht="19.5" customHeight="1" thickBot="1" x14ac:dyDescent="0.3">
      <c r="A15" s="412" t="s">
        <v>75</v>
      </c>
      <c r="B15" s="413">
        <v>37073</v>
      </c>
      <c r="C15" s="418"/>
      <c r="D15" s="419"/>
      <c r="E15" s="420" t="s">
        <v>366</v>
      </c>
      <c r="F15" s="420"/>
      <c r="G15" s="421"/>
      <c r="H15" s="393"/>
      <c r="I15" s="422" t="s">
        <v>367</v>
      </c>
      <c r="J15" s="423" t="s">
        <v>368</v>
      </c>
      <c r="K15" s="393"/>
      <c r="L15" s="393"/>
    </row>
    <row r="16" spans="1:16" s="37" customFormat="1" ht="15.75" customHeight="1" thickBot="1" x14ac:dyDescent="0.3">
      <c r="A16" s="415" t="s">
        <v>100</v>
      </c>
      <c r="B16" s="404" t="s">
        <v>103</v>
      </c>
      <c r="C16" s="405" t="s">
        <v>149</v>
      </c>
      <c r="D16" s="405" t="s">
        <v>364</v>
      </c>
      <c r="E16" s="405" t="s">
        <v>365</v>
      </c>
      <c r="F16" s="405" t="s">
        <v>362</v>
      </c>
      <c r="G16" s="406" t="s">
        <v>363</v>
      </c>
      <c r="H16" s="411"/>
      <c r="I16" s="404" t="s">
        <v>362</v>
      </c>
      <c r="J16" s="406" t="s">
        <v>363</v>
      </c>
      <c r="K16" s="36"/>
    </row>
    <row r="17" spans="1:12" x14ac:dyDescent="0.2">
      <c r="A17" s="414" t="s">
        <v>106</v>
      </c>
      <c r="B17" s="394">
        <f>'Fuel Ratio'!$C$15</f>
        <v>1.2999999999999999E-2</v>
      </c>
      <c r="C17" s="402">
        <f>$C$10*B17</f>
        <v>3.3767672968144632E-2</v>
      </c>
      <c r="D17" s="395">
        <f>'Nova&amp;ANG&amp;GLGT$'!$C$16+'Nova&amp;ANG&amp;GLGT$'!$C$18</f>
        <v>6.0283341254107206E-3</v>
      </c>
      <c r="E17" s="395">
        <f>(1+'Fuel Ratio'!$C$15)*Summary!$B$6+'Nova&amp;ANG&amp;GLGT$'!$C$17+'Nova&amp;ANG&amp;GLGT$'!$C$18</f>
        <v>6.1443477429388181E-2</v>
      </c>
      <c r="F17" s="396">
        <f>C17+D17</f>
        <v>3.9796007093555352E-2</v>
      </c>
      <c r="G17" s="397">
        <f>C17+E17</f>
        <v>9.5211150397532807E-2</v>
      </c>
      <c r="H17" s="396"/>
      <c r="I17" s="416">
        <f>$F17*$B$4/1.055056</f>
        <v>5.7223224302439993E-2</v>
      </c>
      <c r="J17" s="397">
        <f>$G17*$B$4/1.055056</f>
        <v>0.13690541873920001</v>
      </c>
      <c r="K17" s="26"/>
      <c r="L17" s="26"/>
    </row>
    <row r="18" spans="1:12" x14ac:dyDescent="0.2">
      <c r="A18" s="414" t="s">
        <v>121</v>
      </c>
      <c r="B18" s="394">
        <f>(1+'Fuel Ratio'!$C$16)*'Fuel Ratio'!$C$15+'Fuel Ratio'!$C$16</f>
        <v>2.3504223849366151E-2</v>
      </c>
      <c r="C18" s="402">
        <f t="shared" ref="C18:C32" si="0">$C$10*B18</f>
        <v>6.1052534178112447E-2</v>
      </c>
      <c r="D18" s="395">
        <f>(1+'Fuel Ratio'!$C$16)*('Nova&amp;ANG&amp;GLGT$'!$C$16+'Nova&amp;ANG&amp;GLGT$'!$C$18)+'PGT$'!$B$7+'PGT$'!$B$9+'PGT$'!$B$10</f>
        <v>1.8896654462125517E-2</v>
      </c>
      <c r="E18" s="395">
        <f>(1+'Fuel Ratio'!$C$16+'Fuel Ratio'!$C$15)*Summary!$B$6+(1+'Fuel Ratio'!$C$16)*('Nova&amp;ANG&amp;GLGT$'!$C$17+'Nova&amp;ANG&amp;GLGT$'!$C$18)+'PGT$'!$B$8+'PGT$'!$B$9+'PGT$'!$B$10</f>
        <v>0.20629995073738602</v>
      </c>
      <c r="F18" s="396">
        <f t="shared" ref="F18:F44" si="1">C18+D18</f>
        <v>7.9949188640237964E-2</v>
      </c>
      <c r="G18" s="397">
        <f>C18+E18</f>
        <v>0.26735248491549846</v>
      </c>
      <c r="H18" s="396"/>
      <c r="I18" s="416">
        <f t="shared" ref="I18:I44" si="2">$F18*$B$4/1.055056</f>
        <v>0.11496003464878519</v>
      </c>
      <c r="J18" s="397">
        <f t="shared" ref="J18:J44" si="3">$G18*$B$4/1.055056</f>
        <v>0.38442980413006783</v>
      </c>
      <c r="K18" s="26"/>
      <c r="L18" s="26"/>
    </row>
    <row r="19" spans="1:12" x14ac:dyDescent="0.2">
      <c r="A19" s="414" t="s">
        <v>134</v>
      </c>
      <c r="B19" s="394">
        <f>(((1+'Fuel Ratio'!$C$13)*'Fuel Ratio'!$C$16+'Fuel Ratio'!$C$13)+1)*'Fuel Ratio'!$C$15+(1+'Fuel Ratio'!$C$13)*'Fuel Ratio'!$C$16+'Fuel Ratio'!$C$13</f>
        <v>3.8985101867187295E-2</v>
      </c>
      <c r="C19" s="402">
        <f t="shared" si="0"/>
        <v>0.10126432080622964</v>
      </c>
      <c r="D19" s="395">
        <f>(1+'Fuel Ratio'!$C$13)*('PGT$'!$B$7+'PGT$'!$B$9)+(1+'Fuel Ratio'!$C$13)*(1+'Fuel Ratio'!$C$16)*('Nova&amp;ANG&amp;GLGT$'!$C$16+'Nova&amp;ANG&amp;GLGT$'!$C$18)+'NWP$'!$B$6+'NWP$'!$B$8+'NWP$'!$B$9</f>
        <v>5.1276595738631123E-2</v>
      </c>
      <c r="E19" s="395">
        <f>(1+'Fuel Ratio'!$C$13)*('PGT$'!$B$8+'PGT$'!$B$9)+(1+'Fuel Ratio'!$C$13)*(1+'Fuel Ratio'!$C$16)*('Nova&amp;ANG&amp;GLGT$'!$C$17+'Nova&amp;ANG&amp;GLGT$'!$C$18)+'NWP$'!$B$7+'NWP$'!$B$8+'NWP$'!$B$9+((1+'Fuel Ratio'!$C$13)*(1+'Fuel Ratio'!$C$16)+'Fuel Ratio'!$C$15)*Summary!$B$6</f>
        <v>0.51911443583127193</v>
      </c>
      <c r="F19" s="396">
        <f t="shared" si="1"/>
        <v>0.15254091654486077</v>
      </c>
      <c r="G19" s="397">
        <f t="shared" ref="G19:G44" si="4">C19+E19</f>
        <v>0.62037875663750153</v>
      </c>
      <c r="H19" s="396"/>
      <c r="I19" s="416">
        <f t="shared" si="2"/>
        <v>0.21934067561667314</v>
      </c>
      <c r="J19" s="397">
        <f t="shared" si="3"/>
        <v>0.89205112111072915</v>
      </c>
      <c r="K19" s="26"/>
      <c r="L19" s="26"/>
    </row>
    <row r="20" spans="1:12" x14ac:dyDescent="0.2">
      <c r="A20" s="414" t="s">
        <v>109</v>
      </c>
      <c r="B20" s="394">
        <f>(1+'Fuel Ratio'!$C$17)*'Fuel Ratio'!$C$15+'Fuel Ratio'!$C$17</f>
        <v>3.6487851195951437E-2</v>
      </c>
      <c r="C20" s="402">
        <f t="shared" si="0"/>
        <v>9.4777678961170245E-2</v>
      </c>
      <c r="D20" s="395">
        <f>(1+'Fuel Ratio'!$C$17)*('Nova&amp;ANG&amp;GLGT$'!$C$16+'Nova&amp;ANG&amp;GLGT$'!$C$18)+'PGT$'!$B$17+'PGT$'!$B$19+'PGT$'!$B$20</f>
        <v>2.3330089658379252E-2</v>
      </c>
      <c r="E20" s="395">
        <f>(1+'Fuel Ratio'!$C$17+'Fuel Ratio'!$C$15)*Summary!$B$6+(1+'Fuel Ratio'!$C$17)*('Nova&amp;ANG&amp;GLGT$'!$C$17+'Nova&amp;ANG&amp;GLGT$'!$C$18)+'PGT$'!$B$18+'PGT$'!$B$19+'PGT$'!$B$20</f>
        <v>0.33509185217255033</v>
      </c>
      <c r="F20" s="396">
        <f t="shared" si="1"/>
        <v>0.1181077686195495</v>
      </c>
      <c r="G20" s="397">
        <f t="shared" si="4"/>
        <v>0.42986953113372056</v>
      </c>
      <c r="H20" s="396"/>
      <c r="I20" s="416">
        <f t="shared" si="2"/>
        <v>0.16982878005044008</v>
      </c>
      <c r="J20" s="397">
        <f t="shared" si="3"/>
        <v>0.61811529340171267</v>
      </c>
      <c r="K20" s="26"/>
      <c r="L20" s="26"/>
    </row>
    <row r="21" spans="1:12" ht="21.75" customHeight="1" x14ac:dyDescent="0.2">
      <c r="A21" s="414" t="s">
        <v>83</v>
      </c>
      <c r="B21" s="394">
        <f>'Fuel Ratio'!$C$20</f>
        <v>4.7000000000000002E-3</v>
      </c>
      <c r="C21" s="402">
        <f t="shared" si="0"/>
        <v>1.2208312534636907E-2</v>
      </c>
      <c r="D21" s="395">
        <f>'TCPL$'!$C$10</f>
        <v>5.5427526218950213E-3</v>
      </c>
      <c r="E21" s="395">
        <f>('Fuel Ratio'!$C$20+1)*Summary!$B$6+'TCPL$'!$C$11</f>
        <v>0.10682143070553013</v>
      </c>
      <c r="F21" s="396">
        <f t="shared" si="1"/>
        <v>1.775106515653193E-2</v>
      </c>
      <c r="G21" s="397">
        <f t="shared" si="4"/>
        <v>0.11902974324016703</v>
      </c>
      <c r="H21" s="396"/>
      <c r="I21" s="416">
        <f t="shared" si="2"/>
        <v>2.5524500000000002E-2</v>
      </c>
      <c r="J21" s="397">
        <f t="shared" si="3"/>
        <v>0.17115449999999999</v>
      </c>
      <c r="K21" s="26"/>
      <c r="L21" s="26"/>
    </row>
    <row r="22" spans="1:12" x14ac:dyDescent="0.2">
      <c r="A22" s="414" t="s">
        <v>113</v>
      </c>
      <c r="B22" s="394">
        <f>'Fuel Ratio'!$C$22</f>
        <v>1.32E-2</v>
      </c>
      <c r="C22" s="402">
        <f t="shared" si="0"/>
        <v>3.4287175629193013E-2</v>
      </c>
      <c r="D22" s="395">
        <f>('TCPL$'!$C$16+'TCPL$'!$C$18)</f>
        <v>1.5076752036468345E-2</v>
      </c>
      <c r="E22" s="395">
        <f>('Fuel Ratio'!$C$22+1)*Summary!$B$6+('TCPL$'!$C$19+'TCPL$'!$C$21)</f>
        <v>0.23012442653362999</v>
      </c>
      <c r="F22" s="396">
        <f t="shared" si="1"/>
        <v>4.9363927665661361E-2</v>
      </c>
      <c r="G22" s="397">
        <f t="shared" si="4"/>
        <v>0.264411602162823</v>
      </c>
      <c r="H22" s="396"/>
      <c r="I22" s="416">
        <f t="shared" si="2"/>
        <v>7.0981068493150681E-2</v>
      </c>
      <c r="J22" s="397">
        <f t="shared" si="3"/>
        <v>0.38020106849315066</v>
      </c>
      <c r="K22" s="26"/>
      <c r="L22" s="26"/>
    </row>
    <row r="23" spans="1:12" x14ac:dyDescent="0.2">
      <c r="A23" s="414" t="s">
        <v>84</v>
      </c>
      <c r="B23" s="394">
        <f>'Fuel Ratio'!$C$23</f>
        <v>4.0300000000000002E-2</v>
      </c>
      <c r="C23" s="402">
        <f t="shared" si="0"/>
        <v>0.10467978620124838</v>
      </c>
      <c r="D23" s="395">
        <f>'TCPL$'!$C$26+'TCPL$'!$C$27</f>
        <v>3.5635437986424878E-2</v>
      </c>
      <c r="E23" s="395">
        <f>('Fuel Ratio'!$C$23+1)*Summary!$B$6+'TCPL$'!$C$28+'TCPL$'!$C$30+'TCPL$'!$C$29</f>
        <v>0.65256277273562868</v>
      </c>
      <c r="F23" s="396">
        <f t="shared" si="1"/>
        <v>0.14031522418767325</v>
      </c>
      <c r="G23" s="397">
        <f t="shared" si="4"/>
        <v>0.75724255893687709</v>
      </c>
      <c r="H23" s="396"/>
      <c r="I23" s="416">
        <f t="shared" si="2"/>
        <v>0.20176118493150685</v>
      </c>
      <c r="J23" s="397">
        <f t="shared" si="3"/>
        <v>1.0888494591814415</v>
      </c>
      <c r="K23" s="26"/>
      <c r="L23" s="26"/>
    </row>
    <row r="24" spans="1:12" x14ac:dyDescent="0.2">
      <c r="A24" s="414" t="s">
        <v>86</v>
      </c>
      <c r="B24" s="394">
        <f>'Fuel Ratio'!$C$24</f>
        <v>4.1799999999999997E-2</v>
      </c>
      <c r="C24" s="402">
        <f t="shared" si="0"/>
        <v>0.1085760561591112</v>
      </c>
      <c r="D24" s="395">
        <f>'TCPL$'!$C$35+'TCPL$'!$C$36</f>
        <v>3.5819970940973792E-2</v>
      </c>
      <c r="E24" s="395">
        <f>('Fuel Ratio'!$C$24+1)*Summary!$B$6+'TCPL$'!$C$37+'TCPL$'!$C$38</f>
        <v>0.63730251643966462</v>
      </c>
      <c r="F24" s="396">
        <f t="shared" si="1"/>
        <v>0.14439602710008498</v>
      </c>
      <c r="G24" s="397">
        <f t="shared" si="4"/>
        <v>0.74587857259877577</v>
      </c>
      <c r="H24" s="396"/>
      <c r="I24" s="416">
        <f t="shared" si="2"/>
        <v>0.20762902739726022</v>
      </c>
      <c r="J24" s="397">
        <f t="shared" si="3"/>
        <v>1.0725090273972602</v>
      </c>
      <c r="K24" s="396"/>
      <c r="L24" s="396"/>
    </row>
    <row r="25" spans="1:12" x14ac:dyDescent="0.2">
      <c r="A25" s="414" t="s">
        <v>114</v>
      </c>
      <c r="B25" s="394">
        <f>'Fuel Ratio'!$C$25</f>
        <v>4.5900000000000003E-2</v>
      </c>
      <c r="C25" s="402">
        <f t="shared" si="0"/>
        <v>0.119225860710603</v>
      </c>
      <c r="D25" s="395">
        <f>'TCPL$'!$C$43+'TCPL$'!$C$44</f>
        <v>5.1303819632774333E-2</v>
      </c>
      <c r="E25" s="395">
        <f>('Fuel Ratio'!$C$25+1)*Summary!$B$6+'TCPL$'!$C$45+'TCPL$'!$C$46</f>
        <v>0.65409381493437135</v>
      </c>
      <c r="F25" s="396">
        <f t="shared" si="1"/>
        <v>0.17052968034337734</v>
      </c>
      <c r="G25" s="397">
        <f t="shared" si="4"/>
        <v>0.77331967564497439</v>
      </c>
      <c r="H25" s="396"/>
      <c r="I25" s="416">
        <f t="shared" si="2"/>
        <v>0.24520696575342474</v>
      </c>
      <c r="J25" s="397">
        <f t="shared" si="3"/>
        <v>1.1119669657534246</v>
      </c>
      <c r="K25" s="396"/>
      <c r="L25" s="396"/>
    </row>
    <row r="26" spans="1:12" x14ac:dyDescent="0.2">
      <c r="A26" s="414" t="s">
        <v>90</v>
      </c>
      <c r="B26" s="394">
        <f>'Fuel Ratio'!$C$26</f>
        <v>4.5699999999999998E-2</v>
      </c>
      <c r="C26" s="402">
        <f t="shared" si="0"/>
        <v>0.11870635804955459</v>
      </c>
      <c r="D26" s="395">
        <f>'TCPL$'!$C$51+'TCPL$'!$C$52</f>
        <v>5.2643584137891698E-2</v>
      </c>
      <c r="E26" s="395">
        <f>('Fuel Ratio'!$C$26+1)*Summary!$B$6+'TCPL$'!$C$53+'TCPL$'!$C$54</f>
        <v>0.65458512797164525</v>
      </c>
      <c r="F26" s="396">
        <f t="shared" si="1"/>
        <v>0.17134994218744629</v>
      </c>
      <c r="G26" s="397">
        <f t="shared" si="4"/>
        <v>0.7732914860211999</v>
      </c>
      <c r="H26" s="396"/>
      <c r="I26" s="416">
        <f t="shared" si="2"/>
        <v>0.2463864315068493</v>
      </c>
      <c r="J26" s="397">
        <f t="shared" si="3"/>
        <v>1.1119264315068493</v>
      </c>
      <c r="K26" s="396"/>
      <c r="L26" s="396"/>
    </row>
    <row r="27" spans="1:12" x14ac:dyDescent="0.2">
      <c r="A27" s="414" t="s">
        <v>127</v>
      </c>
      <c r="B27" s="394">
        <f>'Fuel Ratio'!$C$27</f>
        <v>4.4600000000000001E-2</v>
      </c>
      <c r="C27" s="402">
        <f t="shared" si="0"/>
        <v>0.11584909341378852</v>
      </c>
      <c r="D27" s="395">
        <f>'TCPL$'!$C$59+'TCPL$'!$C$60</f>
        <v>3.6413867914984098E-2</v>
      </c>
      <c r="E27" s="395">
        <f>('Fuel Ratio'!$C$27+1)*Summary!$B$6+'TCPL$'!$C$61+'TCPL$'!$C$62</f>
        <v>0.68808023138054375</v>
      </c>
      <c r="F27" s="396">
        <f t="shared" si="1"/>
        <v>0.15226296132877262</v>
      </c>
      <c r="G27" s="397">
        <f t="shared" si="4"/>
        <v>0.80392932479433221</v>
      </c>
      <c r="H27" s="396"/>
      <c r="I27" s="416">
        <f t="shared" si="2"/>
        <v>0.218941</v>
      </c>
      <c r="J27" s="397">
        <f t="shared" si="3"/>
        <v>1.1559809999999999</v>
      </c>
      <c r="K27" s="396"/>
      <c r="L27" s="396"/>
    </row>
    <row r="28" spans="1:12" x14ac:dyDescent="0.2">
      <c r="A28" s="414" t="s">
        <v>130</v>
      </c>
      <c r="B28" s="394">
        <f>'Fuel Ratio'!$C$28</f>
        <v>3.4799999999999998E-2</v>
      </c>
      <c r="C28" s="402">
        <f t="shared" si="0"/>
        <v>9.0393463022417936E-2</v>
      </c>
      <c r="D28" s="395">
        <f>'TCPL$'!$C$67+'TCPL$'!$C$68</f>
        <v>2.8819531825762818E-2</v>
      </c>
      <c r="E28" s="395">
        <f>('Fuel Ratio'!$C$28+1)*Summary!$B$6+'TCPL$'!$C$69+'TCPL$'!$C$70</f>
        <v>0.54801619398409995</v>
      </c>
      <c r="F28" s="396">
        <f t="shared" si="1"/>
        <v>0.11921299484818075</v>
      </c>
      <c r="G28" s="397">
        <f t="shared" si="4"/>
        <v>0.63840965700651786</v>
      </c>
      <c r="H28" s="396"/>
      <c r="I28" s="416">
        <f t="shared" si="2"/>
        <v>0.17141799999999999</v>
      </c>
      <c r="J28" s="397">
        <f t="shared" si="3"/>
        <v>0.91797799999999996</v>
      </c>
      <c r="K28" s="396"/>
      <c r="L28" s="396"/>
    </row>
    <row r="29" spans="1:12" x14ac:dyDescent="0.2">
      <c r="A29" s="414" t="s">
        <v>119</v>
      </c>
      <c r="B29" s="394">
        <f>(1+'Fuel Ratio'!$C$29)*'Fuel Ratio'!$C$19+'Fuel Ratio'!$C$29</f>
        <v>3.3367556468172604E-2</v>
      </c>
      <c r="C29" s="402">
        <f t="shared" si="0"/>
        <v>8.6672671889488601E-2</v>
      </c>
      <c r="D29" s="395"/>
      <c r="E29" s="395">
        <f>'Nova&amp;ANG&amp;GLGT$'!$C$34</f>
        <v>0.29579464799999999</v>
      </c>
      <c r="F29" s="396">
        <f t="shared" si="1"/>
        <v>8.6672671889488601E-2</v>
      </c>
      <c r="G29" s="397">
        <f t="shared" si="4"/>
        <v>0.38246731988948857</v>
      </c>
      <c r="H29" s="396"/>
      <c r="I29" s="416">
        <f t="shared" si="2"/>
        <v>0.12462782340862467</v>
      </c>
      <c r="J29" s="397">
        <f t="shared" si="3"/>
        <v>0.5499550038509653</v>
      </c>
      <c r="K29" s="396"/>
      <c r="L29" s="396"/>
    </row>
    <row r="30" spans="1:12" x14ac:dyDescent="0.2">
      <c r="A30" s="414" t="s">
        <v>120</v>
      </c>
      <c r="B30" s="394">
        <f>(1+'Fuel Ratio'!$C$31)*'Fuel Ratio'!$C$19+'Fuel Ratio'!$C$31</f>
        <v>4.7346514047866918E-2</v>
      </c>
      <c r="C30" s="402">
        <f t="shared" si="0"/>
        <v>0.12298320019615662</v>
      </c>
      <c r="D30" s="395"/>
      <c r="E30" s="395">
        <f>'Nova&amp;ANG&amp;GLGT$'!$C$40</f>
        <v>0.43731716399999998</v>
      </c>
      <c r="F30" s="396">
        <f t="shared" si="1"/>
        <v>0.12298320019615662</v>
      </c>
      <c r="G30" s="397">
        <f t="shared" si="4"/>
        <v>0.56030036419615659</v>
      </c>
      <c r="H30" s="396"/>
      <c r="I30" s="416">
        <f t="shared" si="2"/>
        <v>0.17683922996878296</v>
      </c>
      <c r="J30" s="397">
        <f t="shared" si="3"/>
        <v>0.80566357679456002</v>
      </c>
      <c r="K30" s="396"/>
      <c r="L30" s="396"/>
    </row>
    <row r="31" spans="1:12" x14ac:dyDescent="0.2">
      <c r="A31" s="414" t="s">
        <v>147</v>
      </c>
      <c r="B31" s="394">
        <f>'Fuel Ratio'!$C$32</f>
        <v>4.0300000000000002E-2</v>
      </c>
      <c r="C31" s="402">
        <f t="shared" si="0"/>
        <v>0.10467978620124838</v>
      </c>
      <c r="D31" s="395">
        <f>'TCPL$'!$B$75+'TCPL$'!$B$76</f>
        <v>4.7570000000000001E-2</v>
      </c>
      <c r="E31" s="395">
        <f>('Fuel Ratio'!$C$32+1)*Summary!$B$6+'TCPL$'!$C$75+'TCPL$'!$C$76</f>
        <v>3.3082652725664512E-2</v>
      </c>
      <c r="F31" s="396">
        <f t="shared" si="1"/>
        <v>0.15224978620124838</v>
      </c>
      <c r="G31" s="397">
        <f t="shared" si="4"/>
        <v>0.13776243892691289</v>
      </c>
      <c r="H31" s="396"/>
      <c r="I31" s="416">
        <f t="shared" si="2"/>
        <v>0.218922055303469</v>
      </c>
      <c r="J31" s="397">
        <f t="shared" si="3"/>
        <v>0.19809050000000003</v>
      </c>
      <c r="K31" s="396"/>
      <c r="L31" s="396"/>
    </row>
    <row r="32" spans="1:12" x14ac:dyDescent="0.2">
      <c r="A32" s="414" t="s">
        <v>152</v>
      </c>
      <c r="B32" s="394">
        <f>'Fuel Ratio'!$C$22*(1+'Fuel Ratio'!$C$33)+'Fuel Ratio'!$C$33</f>
        <v>3.85370924E-2</v>
      </c>
      <c r="C32" s="402">
        <f t="shared" si="0"/>
        <v>0.10010061025433631</v>
      </c>
      <c r="D32" s="395"/>
      <c r="E32" s="395">
        <f>('Fuel Ratio'!$C$33+'Fuel Ratio'!$C$22+1)*Summary!$B$6+('TCPL$'!$C$19+'TCPL$'!$C$21)*(1+'Fuel Ratio'!$C$33)+'Nova&amp;ANG&amp;GLGT$'!$C$25+'Nova&amp;ANG&amp;GLGT$'!$C$26+'Nova&amp;ANG&amp;GLGT$'!$C$27+'Nova&amp;ANG&amp;GLGT$'!$C$23</f>
        <v>0.25587914806795647</v>
      </c>
      <c r="F32" s="396">
        <f t="shared" si="1"/>
        <v>0.10010061025433631</v>
      </c>
      <c r="G32" s="397">
        <f t="shared" si="4"/>
        <v>0.35597975832229278</v>
      </c>
      <c r="H32" s="396"/>
      <c r="I32" s="416">
        <f t="shared" si="2"/>
        <v>0.14393604011399999</v>
      </c>
      <c r="J32" s="397">
        <f t="shared" si="3"/>
        <v>0.51186817586289335</v>
      </c>
      <c r="K32" s="396"/>
      <c r="L32" s="396"/>
    </row>
    <row r="33" spans="1:12" x14ac:dyDescent="0.2">
      <c r="A33" s="414" t="s">
        <v>157</v>
      </c>
      <c r="B33" s="394">
        <f>'Fuel Ratio'!$C$33</f>
        <v>2.5007000000000001E-2</v>
      </c>
      <c r="C33" s="402">
        <f>$C$14*B33</f>
        <v>6.6731038803992296E-2</v>
      </c>
      <c r="D33" s="395"/>
      <c r="E33" s="395">
        <f>'Nova&amp;ANG&amp;GLGT$'!$C$25+'Nova&amp;ANG&amp;GLGT$'!$C$26+'Nova&amp;ANG&amp;GLGT$'!$C$27+'Nova&amp;ANG&amp;GLGT$'!$C$23</f>
        <v>0.02</v>
      </c>
      <c r="F33" s="396">
        <f t="shared" si="1"/>
        <v>6.6731038803992296E-2</v>
      </c>
      <c r="G33" s="397">
        <f t="shared" si="4"/>
        <v>8.67310388039923E-2</v>
      </c>
      <c r="H33" s="396"/>
      <c r="I33" s="416">
        <f t="shared" si="2"/>
        <v>9.5953475745411257E-2</v>
      </c>
      <c r="J33" s="397">
        <f t="shared" si="3"/>
        <v>0.12471174999534568</v>
      </c>
      <c r="K33" s="396"/>
      <c r="L33" s="396"/>
    </row>
    <row r="34" spans="1:12" x14ac:dyDescent="0.2">
      <c r="A34" s="414" t="s">
        <v>159</v>
      </c>
      <c r="B34" s="394">
        <f>'Fuel Ratio'!$C$34</f>
        <v>1.2636400000000001E-2</v>
      </c>
      <c r="C34" s="402">
        <f>$C$14*B34</f>
        <v>3.3720162304265534E-2</v>
      </c>
      <c r="D34" s="395"/>
      <c r="E34" s="395">
        <f>'Nova&amp;ANG&amp;GLGT$'!$C$25+'Nova&amp;ANG&amp;GLGT$'!$C$26+'Nova&amp;ANG&amp;GLGT$'!$C$27+'Nova&amp;ANG&amp;GLGT$'!$C$23</f>
        <v>0.02</v>
      </c>
      <c r="F34" s="396">
        <f t="shared" si="1"/>
        <v>3.3720162304265534E-2</v>
      </c>
      <c r="G34" s="397">
        <f t="shared" si="4"/>
        <v>5.3720162304265531E-2</v>
      </c>
      <c r="H34" s="396"/>
      <c r="I34" s="416">
        <f t="shared" si="2"/>
        <v>4.8486683764918416E-2</v>
      </c>
      <c r="J34" s="397">
        <f t="shared" si="3"/>
        <v>7.7244958014852816E-2</v>
      </c>
      <c r="K34" s="396"/>
      <c r="L34" s="396"/>
    </row>
    <row r="35" spans="1:12" x14ac:dyDescent="0.2">
      <c r="A35" s="414" t="s">
        <v>161</v>
      </c>
      <c r="B35" s="394">
        <f>'Fuel Ratio'!$C$35</f>
        <v>6.1403999999999999E-3</v>
      </c>
      <c r="C35" s="402">
        <f>$C$14*B35</f>
        <v>1.6385622852482677E-2</v>
      </c>
      <c r="D35" s="395"/>
      <c r="E35" s="395">
        <f>'Nova&amp;ANG&amp;GLGT$'!$C$25+'Nova&amp;ANG&amp;GLGT$'!$C$26+'Nova&amp;ANG&amp;GLGT$'!$C$27+'Nova&amp;ANG&amp;GLGT$'!$C$23</f>
        <v>0.02</v>
      </c>
      <c r="F35" s="396">
        <f t="shared" si="1"/>
        <v>1.6385622852482677E-2</v>
      </c>
      <c r="G35" s="397">
        <f t="shared" si="4"/>
        <v>3.6385622852482674E-2</v>
      </c>
      <c r="H35" s="396"/>
      <c r="I35" s="416">
        <f t="shared" si="2"/>
        <v>2.3561111787384466E-2</v>
      </c>
      <c r="J35" s="397">
        <f t="shared" si="3"/>
        <v>5.2319386037318873E-2</v>
      </c>
      <c r="K35" s="396"/>
      <c r="L35" s="396"/>
    </row>
    <row r="36" spans="1:12" x14ac:dyDescent="0.2">
      <c r="A36" s="414"/>
      <c r="B36" s="394"/>
      <c r="C36" s="402"/>
      <c r="D36" s="395"/>
      <c r="E36" s="395"/>
      <c r="F36" s="396">
        <f t="shared" si="1"/>
        <v>0</v>
      </c>
      <c r="G36" s="397">
        <f t="shared" si="4"/>
        <v>0</v>
      </c>
      <c r="H36" s="396"/>
      <c r="I36" s="416">
        <f t="shared" si="2"/>
        <v>0</v>
      </c>
      <c r="J36" s="397">
        <f t="shared" si="3"/>
        <v>0</v>
      </c>
      <c r="K36" s="396"/>
      <c r="L36" s="396"/>
    </row>
    <row r="37" spans="1:12" ht="13.5" customHeight="1" x14ac:dyDescent="0.2">
      <c r="A37" s="414" t="s">
        <v>173</v>
      </c>
      <c r="B37" s="394">
        <f>'Fuel Ratio'!$C$36-'Fuel Ratio'!$B$14</f>
        <v>2.24E-2</v>
      </c>
      <c r="C37" s="402">
        <f>$C$9*B37</f>
        <v>5.8184298037418446E-2</v>
      </c>
      <c r="D37" s="395"/>
      <c r="E37" s="395"/>
      <c r="F37" s="396">
        <f t="shared" si="1"/>
        <v>5.8184298037418446E-2</v>
      </c>
      <c r="G37" s="397">
        <f t="shared" si="4"/>
        <v>5.8184298037418446E-2</v>
      </c>
      <c r="H37" s="396"/>
      <c r="I37" s="416">
        <f t="shared" si="2"/>
        <v>8.3664000000000002E-2</v>
      </c>
      <c r="J37" s="397">
        <f t="shared" si="3"/>
        <v>8.3664000000000002E-2</v>
      </c>
      <c r="K37" s="396"/>
      <c r="L37" s="396"/>
    </row>
    <row r="38" spans="1:12" ht="13.5" customHeight="1" x14ac:dyDescent="0.2">
      <c r="A38" s="414" t="s">
        <v>262</v>
      </c>
      <c r="B38" s="394">
        <f>'Fuel Ratio'!$C$36</f>
        <v>3.3399999999999999E-2</v>
      </c>
      <c r="C38" s="402">
        <f>$C$11*B38</f>
        <v>9.900976585917684E-2</v>
      </c>
      <c r="D38" s="409">
        <f xml:space="preserve"> 0.04 /$B$4*1.055056</f>
        <v>2.7818080912898474E-2</v>
      </c>
      <c r="E38" s="408"/>
      <c r="F38" s="396">
        <f t="shared" si="1"/>
        <v>0.12682784677207531</v>
      </c>
      <c r="G38" s="397">
        <f t="shared" si="4"/>
        <v>9.900976585917684E-2</v>
      </c>
      <c r="H38" s="396"/>
      <c r="I38" s="416">
        <f t="shared" si="2"/>
        <v>0.18236750000000002</v>
      </c>
      <c r="J38" s="397">
        <f t="shared" si="3"/>
        <v>0.14236750000000001</v>
      </c>
      <c r="K38" s="396"/>
      <c r="L38" s="396"/>
    </row>
    <row r="39" spans="1:12" ht="22.5" customHeight="1" x14ac:dyDescent="0.2">
      <c r="A39" s="414" t="s">
        <v>111</v>
      </c>
      <c r="B39" s="394">
        <f>'Fuel Ratio'!$C$18</f>
        <v>1.2553640029080659E-2</v>
      </c>
      <c r="C39" s="402">
        <f>$C$12*B39</f>
        <v>3.385716715843054E-2</v>
      </c>
      <c r="D39" s="395">
        <f>'PGT$'!$B$25+'PGT$'!$B$27+'PGT$'!$B$28</f>
        <v>1.3556169999999999E-2</v>
      </c>
      <c r="E39" s="395">
        <f>'PGT$'!$B$26+'PGT$'!$B$27+'PGT$'!$B$28</f>
        <v>0.16626838000000002</v>
      </c>
      <c r="F39" s="396">
        <f t="shared" si="1"/>
        <v>4.7413337158430539E-2</v>
      </c>
      <c r="G39" s="397">
        <f t="shared" si="4"/>
        <v>0.20012554715843056</v>
      </c>
      <c r="H39" s="396"/>
      <c r="I39" s="416">
        <f t="shared" si="2"/>
        <v>6.8176287655337564E-2</v>
      </c>
      <c r="J39" s="397">
        <f t="shared" si="3"/>
        <v>0.28776326848001638</v>
      </c>
      <c r="K39" s="396"/>
      <c r="L39" s="396"/>
    </row>
    <row r="40" spans="1:12" ht="13.5" customHeight="1" x14ac:dyDescent="0.2">
      <c r="A40" s="414" t="s">
        <v>107</v>
      </c>
      <c r="B40" s="394">
        <f>(1+'Fuel Ratio'!$C$14)*('Fuel Ratio'!$C$8+'Fuel Ratio'!$C$12)+'Fuel Ratio'!$C$14</f>
        <v>2.4229503911687551E-2</v>
      </c>
      <c r="C40" s="402">
        <f>$C$11*B40</f>
        <v>7.1825075125155499E-2</v>
      </c>
      <c r="D40" s="395">
        <f>(1+'Fuel Ratio'!$C$14)*Westcoast!$C$11</f>
        <v>2.2185897629351647E-3</v>
      </c>
      <c r="E40" s="395">
        <f>(1+'Fuel Ratio'!$C$14)*(Westcoast!$C$9+Westcoast!$C$11+Westcoast!$C$38+Westcoast!$C$44)+'Nova&amp;ANG&amp;GLGT$'!$C$8</f>
        <v>0.22154529083221858</v>
      </c>
      <c r="F40" s="396">
        <f t="shared" si="1"/>
        <v>7.4043664888090666E-2</v>
      </c>
      <c r="G40" s="397">
        <f t="shared" si="4"/>
        <v>0.29337036595737409</v>
      </c>
      <c r="H40" s="396"/>
      <c r="I40" s="416">
        <f t="shared" si="2"/>
        <v>0.10646840106609751</v>
      </c>
      <c r="J40" s="397">
        <f t="shared" si="3"/>
        <v>0.42184127205028926</v>
      </c>
      <c r="K40" s="396"/>
      <c r="L40" s="396"/>
    </row>
    <row r="41" spans="1:12" ht="13.5" customHeight="1" x14ac:dyDescent="0.2">
      <c r="A41" s="414" t="s">
        <v>108</v>
      </c>
      <c r="B41" s="394">
        <f>'Fuel Ratio'!$C$11</f>
        <v>1.6260162601626105E-2</v>
      </c>
      <c r="C41" s="402">
        <f>$C$11*B41</f>
        <v>4.8201044671231867E-2</v>
      </c>
      <c r="D41" s="395">
        <f>Westcoast!$C$32</f>
        <v>8.6405026484151007E-3</v>
      </c>
      <c r="E41" s="395">
        <f>Westcoast!$C$30+Westcoast!$C$32</f>
        <v>0.15969586783460574</v>
      </c>
      <c r="F41" s="396">
        <f t="shared" si="1"/>
        <v>5.6841547319646968E-2</v>
      </c>
      <c r="G41" s="397">
        <f t="shared" si="4"/>
        <v>0.20789691250583761</v>
      </c>
      <c r="H41" s="396"/>
      <c r="I41" s="416">
        <f t="shared" si="2"/>
        <v>8.1733240330451568E-2</v>
      </c>
      <c r="J41" s="397">
        <f t="shared" si="3"/>
        <v>0.29893782127787477</v>
      </c>
      <c r="K41" s="396"/>
      <c r="L41" s="396"/>
    </row>
    <row r="42" spans="1:12" ht="13.5" customHeight="1" x14ac:dyDescent="0.2">
      <c r="A42" s="414" t="s">
        <v>144</v>
      </c>
      <c r="B42" s="394">
        <f>(1+'Fuel Ratio'!$C$13)*'Fuel Ratio'!$C$11+'Fuel Ratio'!$C$13</f>
        <v>3.1631471527384186E-2</v>
      </c>
      <c r="C42" s="402">
        <f>$C$11*B42</f>
        <v>9.37672032846565E-2</v>
      </c>
      <c r="D42" s="395">
        <f>(1+'Fuel Ratio'!$C$13)*(Westcoast!$C$32)+'NWP$'!$B$6+'NWP$'!$B$8+'NWP$'!$B$9</f>
        <v>4.7971193430529996E-2</v>
      </c>
      <c r="E42" s="410">
        <f>(1+'Fuel Ratio'!$C$13)*(Westcoast!$C$32)+'NWP$'!$B$7+'NWP$'!$B$8+'NWP$'!$B$9</f>
        <v>0.32557119343052998</v>
      </c>
      <c r="F42" s="396">
        <f t="shared" si="1"/>
        <v>0.14173839671518651</v>
      </c>
      <c r="G42" s="397">
        <f t="shared" si="4"/>
        <v>0.41933839671518647</v>
      </c>
      <c r="H42" s="396"/>
      <c r="I42" s="416">
        <f t="shared" si="2"/>
        <v>0.20380758422406678</v>
      </c>
      <c r="J42" s="397">
        <f t="shared" si="3"/>
        <v>0.60297243081315621</v>
      </c>
      <c r="K42" s="396"/>
      <c r="L42" s="396"/>
    </row>
    <row r="43" spans="1:12" ht="13.5" customHeight="1" x14ac:dyDescent="0.2">
      <c r="A43" s="414" t="s">
        <v>145</v>
      </c>
      <c r="B43" s="394">
        <f>+'Fuel Ratio'!$C$13</f>
        <v>1.5125367982945948E-2</v>
      </c>
      <c r="C43" s="402">
        <f>$C$13*B43</f>
        <v>4.0793117450005224E-2</v>
      </c>
      <c r="D43" s="395">
        <f>'NWP$'!$B$6+'NWP$'!$B$8+'NWP$'!$B$9</f>
        <v>3.9199999999999999E-2</v>
      </c>
      <c r="E43" s="410">
        <f>+'NWP$'!$B$7+'NWP$'!$B$8+'NWP$'!$B$9</f>
        <v>0.31679999999999997</v>
      </c>
      <c r="F43" s="396">
        <f t="shared" si="1"/>
        <v>7.999311745000523E-2</v>
      </c>
      <c r="G43" s="397">
        <f t="shared" si="4"/>
        <v>0.35759311745000522</v>
      </c>
      <c r="H43" s="396"/>
      <c r="I43" s="416">
        <f t="shared" si="2"/>
        <v>0.1150232004867232</v>
      </c>
      <c r="J43" s="397">
        <f t="shared" si="3"/>
        <v>0.51418804707581267</v>
      </c>
      <c r="K43" s="396"/>
      <c r="L43" s="396"/>
    </row>
    <row r="44" spans="1:12" ht="13.5" customHeight="1" thickBot="1" x14ac:dyDescent="0.25">
      <c r="A44" s="414" t="s">
        <v>112</v>
      </c>
      <c r="B44" s="398">
        <f>'Fuel Ratio'!$C$8</f>
        <v>6.0362173038228661E-3</v>
      </c>
      <c r="C44" s="403">
        <f>$C$10*B44</f>
        <v>1.5679154760011253E-2</v>
      </c>
      <c r="D44" s="399">
        <f>Westcoast!$C$11</f>
        <v>2.1944508040901731E-3</v>
      </c>
      <c r="E44" s="399">
        <f>('Fuel Ratio'!$C$8+1)*Summary!$B$6+Westcoast!$C$9+Westcoast!$C$11+Westcoast!$C$38</f>
        <v>5.9149879088275473E-2</v>
      </c>
      <c r="F44" s="400">
        <f t="shared" si="1"/>
        <v>1.7873605564101426E-2</v>
      </c>
      <c r="G44" s="401">
        <f t="shared" si="4"/>
        <v>7.4829033848286722E-2</v>
      </c>
      <c r="H44" s="396"/>
      <c r="I44" s="417">
        <f t="shared" si="2"/>
        <v>2.5700702532379119E-2</v>
      </c>
      <c r="J44" s="401">
        <f t="shared" si="3"/>
        <v>0.10759769386333271</v>
      </c>
      <c r="K44" s="396"/>
      <c r="L44" s="396"/>
    </row>
    <row r="45" spans="1:12" ht="15" x14ac:dyDescent="0.25">
      <c r="A45" s="16"/>
      <c r="B45" s="25"/>
      <c r="C45" s="25"/>
      <c r="D45" s="411"/>
      <c r="E45" s="411"/>
      <c r="F45" s="411"/>
      <c r="G45" s="411"/>
      <c r="H45" s="411"/>
      <c r="I45" s="411"/>
      <c r="J45" s="26"/>
      <c r="K45" s="26"/>
      <c r="L45" s="26"/>
    </row>
    <row r="46" spans="1:12" x14ac:dyDescent="0.2">
      <c r="A46" t="s">
        <v>115</v>
      </c>
      <c r="D46" s="395"/>
      <c r="E46" s="396"/>
      <c r="F46" s="396"/>
      <c r="G46" s="395"/>
      <c r="H46" s="395"/>
      <c r="I46" s="396"/>
    </row>
    <row r="47" spans="1:12" x14ac:dyDescent="0.2">
      <c r="A47" t="s">
        <v>110</v>
      </c>
      <c r="D47" s="395"/>
      <c r="E47" s="396"/>
      <c r="F47" s="396"/>
      <c r="G47" s="395"/>
      <c r="H47" s="395"/>
      <c r="I47" s="396"/>
    </row>
    <row r="48" spans="1:12" x14ac:dyDescent="0.2">
      <c r="A48" t="s">
        <v>135</v>
      </c>
      <c r="D48" s="395"/>
      <c r="E48" s="396"/>
      <c r="F48" s="396"/>
      <c r="G48" s="395"/>
      <c r="H48" s="395"/>
      <c r="I48" s="396"/>
    </row>
    <row r="49" spans="1:9" x14ac:dyDescent="0.2">
      <c r="A49" t="s">
        <v>125</v>
      </c>
      <c r="D49" s="395"/>
      <c r="E49" s="396"/>
      <c r="F49" s="396"/>
      <c r="G49" s="395"/>
      <c r="H49" s="395"/>
      <c r="I49" s="396"/>
    </row>
    <row r="50" spans="1:9" x14ac:dyDescent="0.2">
      <c r="A50" t="s">
        <v>151</v>
      </c>
      <c r="D50" s="395"/>
      <c r="E50" s="396"/>
      <c r="F50" s="396"/>
      <c r="G50" s="395"/>
      <c r="H50" s="395"/>
      <c r="I50" s="396"/>
    </row>
    <row r="51" spans="1:9" ht="15" x14ac:dyDescent="0.25">
      <c r="C51" s="407"/>
      <c r="D51" s="395"/>
      <c r="E51" s="396"/>
      <c r="F51" s="396"/>
      <c r="G51" s="395"/>
      <c r="H51" s="395"/>
      <c r="I51" s="396"/>
    </row>
    <row r="52" spans="1:9" x14ac:dyDescent="0.2">
      <c r="C52" s="395"/>
      <c r="D52" s="395"/>
      <c r="E52" s="396"/>
      <c r="F52" s="396"/>
      <c r="G52" s="395"/>
      <c r="H52" s="395"/>
      <c r="I52" s="396"/>
    </row>
    <row r="53" spans="1:9" x14ac:dyDescent="0.2">
      <c r="C53" s="395"/>
      <c r="D53" s="395"/>
      <c r="E53" s="396"/>
      <c r="F53" s="396"/>
      <c r="G53" s="395"/>
      <c r="H53" s="395"/>
      <c r="I53" s="396"/>
    </row>
    <row r="54" spans="1:9" x14ac:dyDescent="0.2">
      <c r="C54" s="395"/>
      <c r="D54" s="395"/>
      <c r="E54" s="396"/>
      <c r="F54" s="396"/>
      <c r="G54" s="395"/>
      <c r="H54" s="395"/>
      <c r="I54" s="396"/>
    </row>
    <row r="55" spans="1:9" x14ac:dyDescent="0.2">
      <c r="C55" s="395"/>
      <c r="D55" s="395"/>
      <c r="E55" s="396"/>
      <c r="F55" s="396"/>
      <c r="G55" s="395"/>
      <c r="H55" s="395"/>
      <c r="I55" s="396"/>
    </row>
    <row r="56" spans="1:9" x14ac:dyDescent="0.2">
      <c r="C56" s="395"/>
      <c r="D56" s="395"/>
      <c r="E56" s="396"/>
      <c r="F56" s="396"/>
      <c r="G56" s="395"/>
      <c r="H56" s="395"/>
      <c r="I56" s="396"/>
    </row>
    <row r="57" spans="1:9" x14ac:dyDescent="0.2">
      <c r="C57" s="395"/>
      <c r="D57" s="395"/>
      <c r="E57" s="396"/>
      <c r="F57" s="396"/>
      <c r="G57" s="395"/>
      <c r="H57" s="395"/>
      <c r="I57" s="396"/>
    </row>
    <row r="58" spans="1:9" x14ac:dyDescent="0.2">
      <c r="C58" s="395"/>
      <c r="D58" s="395"/>
      <c r="E58" s="396"/>
      <c r="F58" s="396"/>
      <c r="G58" s="395"/>
      <c r="H58" s="395"/>
      <c r="I58" s="396"/>
    </row>
    <row r="59" spans="1:9" x14ac:dyDescent="0.2">
      <c r="C59" s="395"/>
      <c r="D59" s="395"/>
      <c r="E59" s="396"/>
      <c r="F59" s="396"/>
      <c r="G59" s="395"/>
      <c r="H59" s="395"/>
      <c r="I59" s="396"/>
    </row>
    <row r="60" spans="1:9" x14ac:dyDescent="0.2">
      <c r="C60" s="395"/>
      <c r="D60" s="395"/>
      <c r="E60" s="396"/>
      <c r="F60" s="396"/>
      <c r="G60" s="395"/>
      <c r="H60" s="395"/>
      <c r="I60" s="396"/>
    </row>
    <row r="61" spans="1:9" x14ac:dyDescent="0.2">
      <c r="C61" s="395"/>
      <c r="D61" s="395"/>
      <c r="E61" s="396"/>
      <c r="F61" s="396"/>
      <c r="G61" s="395"/>
      <c r="H61" s="395"/>
      <c r="I61" s="396"/>
    </row>
    <row r="62" spans="1:9" x14ac:dyDescent="0.2">
      <c r="C62" s="395"/>
      <c r="D62" s="395"/>
      <c r="E62" s="396"/>
      <c r="F62" s="396"/>
      <c r="G62" s="395"/>
      <c r="H62" s="395"/>
      <c r="I62" s="396"/>
    </row>
    <row r="63" spans="1:9" x14ac:dyDescent="0.2">
      <c r="C63" s="395"/>
      <c r="D63" s="395"/>
      <c r="E63" s="396"/>
      <c r="F63" s="396"/>
      <c r="G63" s="395"/>
      <c r="H63" s="395"/>
      <c r="I63" s="396"/>
    </row>
    <row r="64" spans="1:9" x14ac:dyDescent="0.2">
      <c r="C64" s="395"/>
      <c r="D64" s="395"/>
      <c r="E64" s="396"/>
      <c r="F64" s="396"/>
      <c r="G64" s="395"/>
      <c r="H64" s="395"/>
      <c r="I64" s="396"/>
    </row>
    <row r="65" spans="3:9" x14ac:dyDescent="0.2">
      <c r="C65" s="395"/>
      <c r="D65" s="395"/>
      <c r="E65" s="396"/>
      <c r="F65" s="396"/>
      <c r="G65" s="395"/>
      <c r="H65" s="395"/>
      <c r="I65" s="396"/>
    </row>
    <row r="66" spans="3:9" x14ac:dyDescent="0.2">
      <c r="C66" s="395"/>
      <c r="D66" s="395"/>
      <c r="E66" s="396"/>
      <c r="F66" s="396"/>
      <c r="G66" s="395"/>
      <c r="H66" s="395"/>
      <c r="I66" s="396"/>
    </row>
    <row r="67" spans="3:9" x14ac:dyDescent="0.2">
      <c r="C67" s="395"/>
      <c r="D67" s="409"/>
      <c r="E67" s="396"/>
      <c r="F67" s="396"/>
      <c r="G67" s="408"/>
      <c r="H67" s="408"/>
      <c r="I67" s="396"/>
    </row>
    <row r="68" spans="3:9" x14ac:dyDescent="0.2">
      <c r="C68" s="395"/>
      <c r="D68" s="395"/>
      <c r="E68" s="396"/>
      <c r="F68" s="396"/>
      <c r="G68" s="395"/>
      <c r="H68" s="395"/>
      <c r="I68" s="396"/>
    </row>
    <row r="69" spans="3:9" x14ac:dyDescent="0.2">
      <c r="C69" s="395"/>
      <c r="D69" s="395"/>
      <c r="E69" s="396"/>
      <c r="F69" s="396"/>
      <c r="G69" s="395"/>
      <c r="H69" s="395"/>
      <c r="I69" s="396"/>
    </row>
    <row r="70" spans="3:9" x14ac:dyDescent="0.2">
      <c r="C70" s="395"/>
      <c r="D70" s="395"/>
      <c r="E70" s="396"/>
      <c r="F70" s="396"/>
      <c r="G70" s="395"/>
      <c r="H70" s="395"/>
      <c r="I70" s="396"/>
    </row>
    <row r="71" spans="3:9" x14ac:dyDescent="0.2">
      <c r="C71" s="395"/>
      <c r="D71" s="395"/>
      <c r="E71" s="396"/>
      <c r="F71" s="396"/>
      <c r="G71" s="410"/>
      <c r="H71" s="410"/>
      <c r="I71" s="396"/>
    </row>
    <row r="72" spans="3:9" x14ac:dyDescent="0.2">
      <c r="C72" s="395"/>
      <c r="D72" s="395"/>
      <c r="E72" s="396"/>
      <c r="F72" s="396"/>
      <c r="G72" s="410"/>
      <c r="H72" s="410"/>
      <c r="I72" s="396"/>
    </row>
    <row r="73" spans="3:9" x14ac:dyDescent="0.2">
      <c r="C73" s="409"/>
      <c r="D73" s="395"/>
      <c r="E73" s="396"/>
      <c r="F73" s="396"/>
      <c r="G73" s="395"/>
      <c r="H73" s="395"/>
      <c r="I73" s="396"/>
    </row>
    <row r="74" spans="3:9" x14ac:dyDescent="0.2">
      <c r="C74" s="395"/>
      <c r="D74" s="395"/>
      <c r="E74" s="25"/>
    </row>
    <row r="75" spans="3:9" x14ac:dyDescent="0.2">
      <c r="C75" s="395"/>
      <c r="D75" s="395"/>
      <c r="E75" s="25"/>
    </row>
    <row r="76" spans="3:9" x14ac:dyDescent="0.2">
      <c r="C76" s="25"/>
      <c r="D76" s="34"/>
      <c r="E76" s="25"/>
    </row>
    <row r="77" spans="3:9" x14ac:dyDescent="0.2">
      <c r="C77" s="25"/>
      <c r="D77" s="34"/>
      <c r="E77" s="25"/>
    </row>
    <row r="78" spans="3:9" x14ac:dyDescent="0.2">
      <c r="C78" s="25"/>
      <c r="D78" s="25"/>
      <c r="E78" s="25"/>
    </row>
    <row r="79" spans="3:9" x14ac:dyDescent="0.2">
      <c r="C79" s="25"/>
      <c r="E79" s="25"/>
    </row>
  </sheetData>
  <sheetCalcPr fullCalcOnLoad="1"/>
  <phoneticPr fontId="0" type="noConversion"/>
  <pageMargins left="0.75" right="0.49" top="0.75" bottom="0.77" header="0.5" footer="0.5"/>
  <pageSetup scale="9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8" r:id="rId4" name="Button 94">
              <controlPr defaultSize="0" print="0" autoFill="0" autoPict="0" macro="[0]!GetMids">
                <anchor moveWithCells="1" sizeWithCells="1">
                  <from>
                    <xdr:col>5</xdr:col>
                    <xdr:colOff>0</xdr:colOff>
                    <xdr:row>2</xdr:row>
                    <xdr:rowOff>9525</xdr:rowOff>
                  </from>
                  <to>
                    <xdr:col>6</xdr:col>
                    <xdr:colOff>57150</xdr:colOff>
                    <xdr:row>3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U50"/>
  <sheetViews>
    <sheetView showGridLines="0" topLeftCell="A15" zoomScale="90" workbookViewId="0">
      <pane xSplit="1" topLeftCell="B1" activePane="topRight" state="frozen"/>
      <selection activeCell="A5" sqref="A5"/>
      <selection pane="topRight" activeCell="A18" sqref="A18"/>
    </sheetView>
  </sheetViews>
  <sheetFormatPr defaultRowHeight="12.75" x14ac:dyDescent="0.2"/>
  <cols>
    <col min="1" max="1" width="38.5703125" customWidth="1"/>
    <col min="2" max="2" width="14.140625" style="1" bestFit="1" customWidth="1"/>
    <col min="3" max="3" width="11.85546875" style="1" bestFit="1" customWidth="1"/>
    <col min="4" max="4" width="9.85546875" customWidth="1"/>
    <col min="5" max="5" width="4.7109375" customWidth="1"/>
    <col min="6" max="6" width="9.85546875" customWidth="1"/>
    <col min="7" max="7" width="14.85546875" bestFit="1" customWidth="1"/>
    <col min="9" max="9" width="4.28515625" customWidth="1"/>
    <col min="10" max="10" width="14.85546875" bestFit="1" customWidth="1"/>
    <col min="18" max="18" width="27.7109375" customWidth="1"/>
  </cols>
  <sheetData>
    <row r="1" spans="1:21" ht="18" x14ac:dyDescent="0.25">
      <c r="A1" s="43" t="s">
        <v>174</v>
      </c>
      <c r="B1" s="40"/>
      <c r="C1" s="40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128"/>
      <c r="S1" s="2" t="s">
        <v>265</v>
      </c>
    </row>
    <row r="2" spans="1:21" ht="21" customHeight="1" x14ac:dyDescent="0.2">
      <c r="A2" t="s">
        <v>312</v>
      </c>
    </row>
    <row r="3" spans="1:21" ht="26.25" customHeight="1" x14ac:dyDescent="0.2">
      <c r="T3" s="9" t="s">
        <v>273</v>
      </c>
      <c r="U3" s="9" t="s">
        <v>274</v>
      </c>
    </row>
    <row r="4" spans="1:21" x14ac:dyDescent="0.2">
      <c r="A4" t="s">
        <v>72</v>
      </c>
      <c r="B4" s="48">
        <f>AVERAGE(Mids!AI35:AI41)</f>
        <v>1.5234581053151028</v>
      </c>
      <c r="S4" s="14" t="s">
        <v>266</v>
      </c>
      <c r="T4" s="52">
        <f>AVERAGE(Mids!AB38:AB41)</f>
        <v>4.0406567026484366</v>
      </c>
    </row>
    <row r="5" spans="1:21" x14ac:dyDescent="0.2">
      <c r="A5" t="s">
        <v>131</v>
      </c>
      <c r="B5" s="31">
        <v>0</v>
      </c>
      <c r="C5" s="1" t="s">
        <v>53</v>
      </c>
      <c r="I5" s="14" t="s">
        <v>261</v>
      </c>
      <c r="J5" s="361">
        <f>Mids!A1</f>
        <v>37069</v>
      </c>
      <c r="S5" s="14" t="s">
        <v>267</v>
      </c>
      <c r="T5" s="52">
        <f>AVERAGE(Mids!W38:W41)</f>
        <v>2.8078410618201861</v>
      </c>
    </row>
    <row r="6" spans="1:21" x14ac:dyDescent="0.2">
      <c r="A6" t="s">
        <v>131</v>
      </c>
      <c r="B6" s="10">
        <f>B5/B4*1.055056</f>
        <v>0</v>
      </c>
      <c r="C6" s="1" t="s">
        <v>38</v>
      </c>
      <c r="S6" s="14" t="s">
        <v>268</v>
      </c>
      <c r="T6" s="52">
        <f>AVERAGE(Mids!B38:B41)</f>
        <v>3.3122500000000001</v>
      </c>
    </row>
    <row r="7" spans="1:21" x14ac:dyDescent="0.2">
      <c r="G7" s="14" t="s">
        <v>263</v>
      </c>
      <c r="H7" s="370">
        <v>37043</v>
      </c>
      <c r="I7" s="1" t="s">
        <v>264</v>
      </c>
      <c r="J7" s="371">
        <v>37165</v>
      </c>
      <c r="S7" s="14" t="s">
        <v>269</v>
      </c>
      <c r="T7" s="52">
        <f>AVERAGE(Mids!W38:W41)</f>
        <v>2.8078410618201861</v>
      </c>
    </row>
    <row r="8" spans="1:21" ht="15" x14ac:dyDescent="0.25">
      <c r="A8" s="12" t="s">
        <v>76</v>
      </c>
      <c r="B8" s="1" t="s">
        <v>53</v>
      </c>
      <c r="C8" s="1" t="s">
        <v>38</v>
      </c>
      <c r="S8" s="14" t="s">
        <v>270</v>
      </c>
      <c r="T8">
        <f>U8+T6</f>
        <v>3.3272500000000003</v>
      </c>
      <c r="U8" s="52">
        <f>AVERAGE(Mids!J38:J41)</f>
        <v>1.4999999999999999E-2</v>
      </c>
    </row>
    <row r="9" spans="1:21" x14ac:dyDescent="0.2">
      <c r="A9" t="s">
        <v>77</v>
      </c>
      <c r="B9" s="34">
        <f>T4</f>
        <v>4.0406567026484366</v>
      </c>
      <c r="C9" s="10">
        <f>B9*1.055056/$B$4</f>
        <v>2.7983172515188341</v>
      </c>
      <c r="S9" s="14" t="s">
        <v>271</v>
      </c>
      <c r="T9">
        <f>U9+T6</f>
        <v>3.3566250000000002</v>
      </c>
      <c r="U9" s="52">
        <f>AVERAGE(Mids!F38:F41)</f>
        <v>4.4375000000000005E-2</v>
      </c>
    </row>
    <row r="10" spans="1:21" x14ac:dyDescent="0.2">
      <c r="A10" t="s">
        <v>136</v>
      </c>
      <c r="B10" s="357">
        <f>B9+B5</f>
        <v>4.0406567026484366</v>
      </c>
      <c r="C10" s="10">
        <f>B10*1.055056/$B$4</f>
        <v>2.7983172515188341</v>
      </c>
      <c r="S10" s="14" t="s">
        <v>272</v>
      </c>
      <c r="T10" s="52">
        <f>AVERAGE(Mids!AG38:AG41)</f>
        <v>3.52725</v>
      </c>
    </row>
    <row r="11" spans="1:21" x14ac:dyDescent="0.2">
      <c r="A11" t="s">
        <v>73</v>
      </c>
      <c r="B11" s="34">
        <f>AVERAGE(Mids!AD35:AD41)</f>
        <v>5.3034324015133922</v>
      </c>
      <c r="C11" s="10">
        <f>B11*1.055056/$B$4</f>
        <v>3.6728402023590871</v>
      </c>
      <c r="S11" s="14" t="s">
        <v>280</v>
      </c>
      <c r="T11" s="373">
        <f>AVERAGE(Mids!X38:X41)</f>
        <v>2.8581821559565102</v>
      </c>
    </row>
    <row r="12" spans="1:21" x14ac:dyDescent="0.2">
      <c r="A12" t="s">
        <v>137</v>
      </c>
      <c r="B12" s="10"/>
      <c r="C12" s="34">
        <f>C13</f>
        <v>3.6734285714285719</v>
      </c>
    </row>
    <row r="13" spans="1:21" x14ac:dyDescent="0.2">
      <c r="A13" t="s">
        <v>146</v>
      </c>
      <c r="B13" s="10"/>
      <c r="C13" s="34">
        <f>AVERAGE(Mids!AE35:AE41)</f>
        <v>3.6734285714285719</v>
      </c>
    </row>
    <row r="14" spans="1:21" x14ac:dyDescent="0.2">
      <c r="A14" t="s">
        <v>158</v>
      </c>
      <c r="B14" s="10"/>
      <c r="C14" s="34">
        <f>C10+H24</f>
        <v>3.0694370257872152</v>
      </c>
    </row>
    <row r="15" spans="1:21" x14ac:dyDescent="0.2">
      <c r="F15" s="42" t="s">
        <v>150</v>
      </c>
      <c r="G15" s="41" t="s">
        <v>38</v>
      </c>
      <c r="H15" s="41"/>
      <c r="I15" s="1"/>
      <c r="J15" s="41" t="s">
        <v>53</v>
      </c>
      <c r="K15" s="41"/>
      <c r="M15" s="41" t="s">
        <v>279</v>
      </c>
      <c r="N15" s="41"/>
      <c r="O15" s="41"/>
      <c r="P15" s="41"/>
    </row>
    <row r="16" spans="1:21" s="37" customFormat="1" ht="30" x14ac:dyDescent="0.25">
      <c r="A16" s="35" t="s">
        <v>100</v>
      </c>
      <c r="B16" s="36" t="s">
        <v>101</v>
      </c>
      <c r="C16" s="36" t="s">
        <v>102</v>
      </c>
      <c r="D16" s="36" t="s">
        <v>103</v>
      </c>
      <c r="E16" s="36"/>
      <c r="F16" s="36" t="s">
        <v>149</v>
      </c>
      <c r="G16" s="36" t="s">
        <v>104</v>
      </c>
      <c r="H16" s="36" t="s">
        <v>105</v>
      </c>
      <c r="I16" s="36"/>
      <c r="J16" s="36" t="s">
        <v>104</v>
      </c>
      <c r="K16" s="36" t="s">
        <v>105</v>
      </c>
      <c r="M16" s="41" t="s">
        <v>278</v>
      </c>
      <c r="N16" s="41" t="s">
        <v>277</v>
      </c>
      <c r="O16" s="41" t="s">
        <v>275</v>
      </c>
      <c r="P16" s="41" t="s">
        <v>276</v>
      </c>
    </row>
    <row r="17" spans="1:18" x14ac:dyDescent="0.2">
      <c r="A17" s="16" t="s">
        <v>106</v>
      </c>
      <c r="B17" s="25">
        <f>'Nova&amp;ANG&amp;GLGT$'!C16+'Nova&amp;ANG&amp;GLGT$'!C18</f>
        <v>6.0283341254107206E-3</v>
      </c>
      <c r="C17" s="25">
        <f>(1+'Fuel Ratio'!C15)*SummerSum!B6+'Nova&amp;ANG&amp;GLGT$'!C17+'Nova&amp;ANG&amp;GLGT$'!C18</f>
        <v>6.1443477429388181E-2</v>
      </c>
      <c r="D17" s="33">
        <f>'Fuel Ratio'!E15</f>
        <v>1.0749999999999999E-2</v>
      </c>
      <c r="E17" s="33"/>
      <c r="F17" s="25">
        <f t="shared" ref="F17:F22" si="0">D17*$C$10</f>
        <v>3.0081910453827465E-2</v>
      </c>
      <c r="G17" s="367">
        <f t="shared" ref="G17:G31" si="1">$F17+B17</f>
        <v>3.6110244579238185E-2</v>
      </c>
      <c r="H17" s="26">
        <f t="shared" ref="H17:H31" si="2">$F17+C17</f>
        <v>9.1525387883215653E-2</v>
      </c>
      <c r="I17" s="26"/>
      <c r="J17" s="26">
        <f t="shared" ref="J17:J31" si="3">G17*$B$4/1.055056</f>
        <v>5.2141729717807554E-2</v>
      </c>
      <c r="K17" s="26">
        <f t="shared" ref="K17:K31" si="4">H17*$B$4/1.055056</f>
        <v>0.13215895081663304</v>
      </c>
      <c r="M17" s="372"/>
      <c r="N17" s="372"/>
      <c r="O17" s="372"/>
      <c r="P17" s="372"/>
    </row>
    <row r="18" spans="1:18" x14ac:dyDescent="0.2">
      <c r="A18" s="16" t="s">
        <v>121</v>
      </c>
      <c r="B18" s="25">
        <f>(1+'Fuel Ratio'!C16)*('Nova&amp;ANG&amp;GLGT$'!C16+'Nova&amp;ANG&amp;GLGT$'!C18)+'PGT$'!B7+'PGT$'!B9+'PGT$'!B10</f>
        <v>1.8896654462125517E-2</v>
      </c>
      <c r="C18" s="25">
        <f>(1+'Fuel Ratio'!C16+'Fuel Ratio'!C15)*SummerSum!B6+(1+'Fuel Ratio'!C16)*('Nova&amp;ANG&amp;GLGT$'!C17+'Nova&amp;ANG&amp;GLGT$'!C18)+'PGT$'!B8+'PGT$'!B9+'PGT$'!B10</f>
        <v>0.20629995073738602</v>
      </c>
      <c r="D18" s="33">
        <f>(1+'Fuel Ratio'!E16)*'Fuel Ratio'!E15+'Fuel Ratio'!E16</f>
        <v>2.28071058657216E-2</v>
      </c>
      <c r="E18" s="33"/>
      <c r="F18" s="25">
        <f t="shared" si="0"/>
        <v>6.3821517801265146E-2</v>
      </c>
      <c r="G18" s="367">
        <f t="shared" si="1"/>
        <v>8.2718172263390663E-2</v>
      </c>
      <c r="H18" s="26">
        <f t="shared" si="2"/>
        <v>0.27012146853865115</v>
      </c>
      <c r="I18" s="26"/>
      <c r="J18" s="26">
        <f t="shared" si="3"/>
        <v>0.11944168839522587</v>
      </c>
      <c r="K18" s="26">
        <f t="shared" si="4"/>
        <v>0.3900444532468671</v>
      </c>
      <c r="M18" s="372"/>
      <c r="N18" s="372"/>
      <c r="O18" s="372"/>
      <c r="P18" s="372"/>
    </row>
    <row r="19" spans="1:18" x14ac:dyDescent="0.2">
      <c r="A19" s="16" t="s">
        <v>134</v>
      </c>
      <c r="B19" s="25">
        <f>(1+'Fuel Ratio'!C13)*('PGT$'!B7+'PGT$'!B9)+(1+'Fuel Ratio'!C13)*(1+'Fuel Ratio'!C16)*('Nova&amp;ANG&amp;GLGT$'!C16+'Nova&amp;ANG&amp;GLGT$'!C18)+'NWP$'!B6+'NWP$'!B8+'NWP$'!B9</f>
        <v>5.1276595738631123E-2</v>
      </c>
      <c r="C19" s="25">
        <f>(1+'Fuel Ratio'!C13)*('PGT$'!B8+'PGT$'!B9)+(1+'Fuel Ratio'!C13)*(1+'Fuel Ratio'!C16)*('Nova&amp;ANG&amp;GLGT$'!C17+'Nova&amp;ANG&amp;GLGT$'!C18)+'NWP$'!B7+'NWP$'!B8+'NWP$'!B9+((1+'Fuel Ratio'!C13)*(1+'Fuel Ratio'!C16)+'Fuel Ratio'!C15)*SummerSum!B6</f>
        <v>0.51911443583127193</v>
      </c>
      <c r="D19" s="33">
        <f>(((1+'Fuel Ratio'!E13)*'Fuel Ratio'!E16+'Fuel Ratio'!E13)+1)*'Fuel Ratio'!E15+(1+'Fuel Ratio'!E13)*'Fuel Ratio'!E16+'Fuel Ratio'!E13</f>
        <v>3.8277439717512587E-2</v>
      </c>
      <c r="E19" s="33"/>
      <c r="F19" s="25">
        <f t="shared" si="0"/>
        <v>0.10711241990548769</v>
      </c>
      <c r="G19" s="367">
        <f t="shared" si="1"/>
        <v>0.15838901564411881</v>
      </c>
      <c r="H19" s="26">
        <f t="shared" si="2"/>
        <v>0.62622685573675962</v>
      </c>
      <c r="I19" s="26"/>
      <c r="J19" s="26">
        <f t="shared" si="3"/>
        <v>0.2287073194938595</v>
      </c>
      <c r="K19" s="26">
        <f t="shared" si="4"/>
        <v>0.90424620033264402</v>
      </c>
      <c r="M19" s="372"/>
      <c r="N19" s="372"/>
      <c r="O19" s="372"/>
      <c r="P19" s="372"/>
    </row>
    <row r="20" spans="1:18" x14ac:dyDescent="0.2">
      <c r="A20" s="16" t="s">
        <v>109</v>
      </c>
      <c r="B20" s="25">
        <f>(1+'Fuel Ratio'!C17)*('Nova&amp;ANG&amp;GLGT$'!C16+'Nova&amp;ANG&amp;GLGT$'!C18)+'PGT$'!B17+'PGT$'!B19+'PGT$'!B20</f>
        <v>2.3330089658379252E-2</v>
      </c>
      <c r="C20" s="25">
        <f>(1+'Fuel Ratio'!C17+'Fuel Ratio'!C15)*SummerSum!B6+(1+'Fuel Ratio'!C17)*('Nova&amp;ANG&amp;GLGT$'!C17+'Nova&amp;ANG&amp;GLGT$'!C18)+'PGT$'!B18+'PGT$'!B19+'PGT$'!B20</f>
        <v>0.33509185217255033</v>
      </c>
      <c r="D20" s="33">
        <f>(1+'Fuel Ratio'!E17)*'Fuel Ratio'!E15+'Fuel Ratio'!E17</f>
        <v>3.7762437363349277E-2</v>
      </c>
      <c r="E20" s="33"/>
      <c r="F20" s="25">
        <f t="shared" si="0"/>
        <v>0.10567127993325968</v>
      </c>
      <c r="G20" s="367">
        <f t="shared" si="1"/>
        <v>0.12900136959163894</v>
      </c>
      <c r="H20" s="26">
        <f t="shared" si="2"/>
        <v>0.44076313210581003</v>
      </c>
      <c r="I20" s="26"/>
      <c r="J20" s="26">
        <f t="shared" si="3"/>
        <v>0.18627274959919812</v>
      </c>
      <c r="K20" s="26">
        <f t="shared" si="4"/>
        <v>0.636444099773536</v>
      </c>
      <c r="M20" s="372"/>
      <c r="N20" s="372"/>
      <c r="O20" s="372"/>
      <c r="P20" s="372"/>
    </row>
    <row r="21" spans="1:18" ht="19.5" customHeight="1" x14ac:dyDescent="0.2">
      <c r="A21" s="16" t="s">
        <v>119</v>
      </c>
      <c r="B21" s="25"/>
      <c r="C21" s="25">
        <f>'Nova&amp;ANG&amp;GLGT$'!C34</f>
        <v>0.29579464799999999</v>
      </c>
      <c r="D21" s="33">
        <f>(1+'Fuel Ratio'!E29)*'Fuel Ratio'!E9+'Fuel Ratio'!E29</f>
        <v>2.8137561130087457E-2</v>
      </c>
      <c r="E21" s="33"/>
      <c r="F21" s="25">
        <f t="shared" si="0"/>
        <v>7.8737822725989517E-2</v>
      </c>
      <c r="G21" s="367">
        <f>$F21+B21</f>
        <v>7.8737822725989517E-2</v>
      </c>
      <c r="H21" s="26">
        <f>$F21+C21</f>
        <v>0.3745324707259895</v>
      </c>
      <c r="I21" s="26"/>
      <c r="J21" s="26">
        <f>G21*$B$4/1.055056</f>
        <v>0.11369422497646801</v>
      </c>
      <c r="K21" s="26">
        <f>H21*$B$4/1.055056</f>
        <v>0.54080970889810609</v>
      </c>
      <c r="M21" s="372"/>
      <c r="N21" s="372"/>
      <c r="O21" s="372"/>
      <c r="P21" s="372"/>
    </row>
    <row r="22" spans="1:18" x14ac:dyDescent="0.2">
      <c r="A22" s="362" t="s">
        <v>120</v>
      </c>
      <c r="B22" s="363"/>
      <c r="C22" s="363">
        <f>'Nova&amp;ANG&amp;GLGT$'!C40</f>
        <v>0.43731716399999998</v>
      </c>
      <c r="D22" s="364">
        <f>(1+'Fuel Ratio'!E31)*'Fuel Ratio'!E19+'Fuel Ratio'!E31</f>
        <v>4.2690815006468326E-2</v>
      </c>
      <c r="E22" s="364"/>
      <c r="F22" s="363">
        <f t="shared" si="0"/>
        <v>0.11946244411399945</v>
      </c>
      <c r="G22" s="368">
        <f>$F22+B22</f>
        <v>0.11946244411399945</v>
      </c>
      <c r="H22" s="365">
        <f>$F22+C22</f>
        <v>0.5567796081139994</v>
      </c>
      <c r="I22" s="365"/>
      <c r="J22" s="365">
        <f>G22*$B$4/1.055056</f>
        <v>0.17249892779741072</v>
      </c>
      <c r="K22" s="365">
        <f>H22*$B$4/1.055056</f>
        <v>0.80396718928231192</v>
      </c>
      <c r="L22" s="374"/>
      <c r="M22" s="375">
        <f>T7</f>
        <v>2.8078410618201861</v>
      </c>
      <c r="N22" s="375">
        <f>T8</f>
        <v>3.3272500000000003</v>
      </c>
      <c r="O22" s="375">
        <f>N22-M22</f>
        <v>0.51940893817981415</v>
      </c>
      <c r="P22" s="375">
        <f>O22-G22</f>
        <v>0.39994649406581473</v>
      </c>
      <c r="Q22" s="2" t="str">
        <f>IF(P22&lt;0,"ATTN!","")</f>
        <v/>
      </c>
      <c r="R22" s="2"/>
    </row>
    <row r="23" spans="1:18" ht="21.75" customHeight="1" x14ac:dyDescent="0.2">
      <c r="A23" s="16" t="s">
        <v>83</v>
      </c>
      <c r="B23" s="25">
        <f>'TCPL$'!C10</f>
        <v>5.5427526218950213E-3</v>
      </c>
      <c r="C23" s="25">
        <f>('Fuel Ratio'!C20+1)*SummerSum!B6+'TCPL$'!C11</f>
        <v>0.10682143070553013</v>
      </c>
      <c r="D23" s="33">
        <f>'Fuel Ratio'!E20</f>
        <v>6.3999999999999994E-3</v>
      </c>
      <c r="E23" s="33"/>
      <c r="F23" s="25">
        <f t="shared" ref="F23:F32" si="5">D23*$C$10</f>
        <v>1.7909230409720537E-2</v>
      </c>
      <c r="G23" s="367">
        <f t="shared" si="1"/>
        <v>2.345198303161556E-2</v>
      </c>
      <c r="H23" s="26">
        <f t="shared" si="2"/>
        <v>0.12473066111525066</v>
      </c>
      <c r="I23" s="26"/>
      <c r="J23" s="26">
        <f t="shared" si="3"/>
        <v>3.3863713049569866E-2</v>
      </c>
      <c r="K23" s="26">
        <f t="shared" si="4"/>
        <v>0.180106019640038</v>
      </c>
      <c r="M23" s="372"/>
      <c r="N23" s="372"/>
      <c r="O23" s="372"/>
      <c r="P23" s="372"/>
    </row>
    <row r="24" spans="1:18" x14ac:dyDescent="0.2">
      <c r="A24" s="16" t="s">
        <v>113</v>
      </c>
      <c r="B24" s="25">
        <f>('TCPL$'!C16+'TCPL$'!C18)</f>
        <v>1.5076752036468345E-2</v>
      </c>
      <c r="C24" s="25">
        <f>('Fuel Ratio'!C22+1)*SummerSum!B6+('TCPL$'!C19+'TCPL$'!C21)</f>
        <v>0.23012442653362999</v>
      </c>
      <c r="D24" s="33">
        <f>'Fuel Ratio'!E22</f>
        <v>1.465E-2</v>
      </c>
      <c r="E24" s="33"/>
      <c r="F24" s="25">
        <f t="shared" si="5"/>
        <v>4.0995347734750921E-2</v>
      </c>
      <c r="G24" s="367">
        <f t="shared" si="1"/>
        <v>5.6072099771219269E-2</v>
      </c>
      <c r="H24" s="26">
        <f t="shared" si="2"/>
        <v>0.27111977426838091</v>
      </c>
      <c r="I24" s="26"/>
      <c r="J24" s="26">
        <f t="shared" si="3"/>
        <v>8.0965839612779908E-2</v>
      </c>
      <c r="K24" s="26">
        <f t="shared" si="4"/>
        <v>0.39148596626185334</v>
      </c>
      <c r="M24" s="372"/>
      <c r="N24" s="372"/>
      <c r="O24" s="372"/>
      <c r="P24" s="372"/>
    </row>
    <row r="25" spans="1:18" x14ac:dyDescent="0.2">
      <c r="A25" s="16" t="s">
        <v>84</v>
      </c>
      <c r="B25" s="25">
        <f>'TCPL$'!C26+'TCPL$'!C27</f>
        <v>3.5635437986424878E-2</v>
      </c>
      <c r="C25" s="25">
        <f>('Fuel Ratio'!C23+1)*SummerSum!B6+'TCPL$'!C28+'TCPL$'!C30+'TCPL$'!C29</f>
        <v>0.65256277273562868</v>
      </c>
      <c r="D25" s="33">
        <f>'Fuel Ratio'!E23</f>
        <v>4.1825000000000001E-2</v>
      </c>
      <c r="E25" s="33"/>
      <c r="F25" s="25">
        <f>D25*$C$10</f>
        <v>0.11703961904477524</v>
      </c>
      <c r="G25" s="367">
        <f>$F25+B25</f>
        <v>0.1526750570312001</v>
      </c>
      <c r="H25" s="26">
        <f t="shared" si="2"/>
        <v>0.7696023917804039</v>
      </c>
      <c r="I25" s="26"/>
      <c r="J25" s="26">
        <f t="shared" si="3"/>
        <v>0.22045659482873647</v>
      </c>
      <c r="K25" s="26">
        <f t="shared" si="4"/>
        <v>1.1112746637408304</v>
      </c>
      <c r="M25" s="372">
        <f>T7</f>
        <v>2.8078410618201861</v>
      </c>
      <c r="N25" s="372">
        <f>T9</f>
        <v>3.3566250000000002</v>
      </c>
      <c r="O25" s="372">
        <f>N25-M25</f>
        <v>0.54878393817981408</v>
      </c>
      <c r="P25" s="372">
        <f>O25-G25</f>
        <v>0.39610888114861398</v>
      </c>
      <c r="Q25" s="2" t="str">
        <f>IF(P25&lt;0,"ATTN!","")</f>
        <v/>
      </c>
      <c r="R25" s="2"/>
    </row>
    <row r="26" spans="1:18" x14ac:dyDescent="0.2">
      <c r="A26" s="362" t="s">
        <v>86</v>
      </c>
      <c r="B26" s="363">
        <f>'TCPL$'!C35+'TCPL$'!C36</f>
        <v>3.5819970940973792E-2</v>
      </c>
      <c r="C26" s="363">
        <f>('Fuel Ratio'!C24+1)*SummerSum!B6+'TCPL$'!C37+'TCPL$'!C38</f>
        <v>0.63730251643966462</v>
      </c>
      <c r="D26" s="364">
        <f>'Fuel Ratio'!E24</f>
        <v>4.3150000000000001E-2</v>
      </c>
      <c r="E26" s="364"/>
      <c r="F26" s="363">
        <f t="shared" si="5"/>
        <v>0.1207473894030377</v>
      </c>
      <c r="G26" s="368">
        <f t="shared" si="1"/>
        <v>0.15656736034401147</v>
      </c>
      <c r="H26" s="365">
        <f t="shared" si="2"/>
        <v>0.75804990584270238</v>
      </c>
      <c r="I26" s="365"/>
      <c r="J26" s="365">
        <f t="shared" si="3"/>
        <v>0.22607692306747196</v>
      </c>
      <c r="K26" s="365">
        <f t="shared" si="4"/>
        <v>1.0945933422390997</v>
      </c>
      <c r="L26" s="374"/>
      <c r="M26" s="375"/>
      <c r="N26" s="375"/>
      <c r="O26" s="375"/>
      <c r="P26" s="375"/>
    </row>
    <row r="27" spans="1:18" x14ac:dyDescent="0.2">
      <c r="A27" s="16" t="s">
        <v>114</v>
      </c>
      <c r="B27" s="25">
        <f>'TCPL$'!C43+'TCPL$'!C44</f>
        <v>5.1303819632774333E-2</v>
      </c>
      <c r="C27" s="25">
        <f>('Fuel Ratio'!C25+1)*SummerSum!B6+'TCPL$'!C45+'TCPL$'!C46</f>
        <v>0.65409381493437135</v>
      </c>
      <c r="D27" s="33">
        <f>'Fuel Ratio'!E25</f>
        <v>4.7500000000000001E-2</v>
      </c>
      <c r="E27" s="33"/>
      <c r="F27" s="25">
        <f t="shared" si="5"/>
        <v>0.13292006944714463</v>
      </c>
      <c r="G27" s="367">
        <f t="shared" si="1"/>
        <v>0.18422388907991896</v>
      </c>
      <c r="H27" s="26">
        <f t="shared" si="2"/>
        <v>0.78701388438151598</v>
      </c>
      <c r="I27" s="26"/>
      <c r="J27" s="26">
        <f t="shared" si="3"/>
        <v>0.2660118297147005</v>
      </c>
      <c r="K27" s="26">
        <f t="shared" si="4"/>
        <v>1.136416153414173</v>
      </c>
      <c r="M27" s="372"/>
      <c r="N27" s="372"/>
      <c r="O27" s="372"/>
      <c r="P27" s="372"/>
    </row>
    <row r="28" spans="1:18" x14ac:dyDescent="0.2">
      <c r="A28" s="16" t="s">
        <v>90</v>
      </c>
      <c r="B28" s="25">
        <f>'TCPL$'!C51+'TCPL$'!C52</f>
        <v>5.2643584137891698E-2</v>
      </c>
      <c r="C28" s="25">
        <f>('Fuel Ratio'!C26+1)*SummerSum!B6+'TCPL$'!C53+'TCPL$'!C54</f>
        <v>0.65458512797164525</v>
      </c>
      <c r="D28" s="33">
        <f>'Fuel Ratio'!E26</f>
        <v>4.7199999999999999E-2</v>
      </c>
      <c r="E28" s="33"/>
      <c r="F28" s="25">
        <f t="shared" si="5"/>
        <v>0.13208057427168896</v>
      </c>
      <c r="G28" s="367">
        <f t="shared" si="1"/>
        <v>0.18472415840958065</v>
      </c>
      <c r="H28" s="26">
        <f t="shared" si="2"/>
        <v>0.78666570224333421</v>
      </c>
      <c r="I28" s="26"/>
      <c r="J28" s="26">
        <f t="shared" si="3"/>
        <v>0.26673419835211271</v>
      </c>
      <c r="K28" s="26">
        <f t="shared" si="4"/>
        <v>1.135913392517558</v>
      </c>
      <c r="M28" s="372"/>
      <c r="N28" s="372"/>
      <c r="O28" s="372"/>
      <c r="P28" s="372"/>
    </row>
    <row r="29" spans="1:18" x14ac:dyDescent="0.2">
      <c r="A29" s="16" t="s">
        <v>127</v>
      </c>
      <c r="B29" s="25">
        <f>'TCPL$'!C59+'TCPL$'!C60</f>
        <v>3.6413867914984098E-2</v>
      </c>
      <c r="C29" s="25">
        <f>('Fuel Ratio'!C27+1)*SummerSum!B6+'TCPL$'!C61+'TCPL$'!C62</f>
        <v>0.68808023138054375</v>
      </c>
      <c r="D29" s="33">
        <f>'Fuel Ratio'!E27</f>
        <v>4.6124999999999999E-2</v>
      </c>
      <c r="E29" s="33"/>
      <c r="F29" s="25">
        <f t="shared" si="5"/>
        <v>0.12907238322630624</v>
      </c>
      <c r="G29" s="367">
        <f t="shared" si="1"/>
        <v>0.16548625114129034</v>
      </c>
      <c r="H29" s="26">
        <f t="shared" si="2"/>
        <v>0.81715261460684996</v>
      </c>
      <c r="I29" s="26"/>
      <c r="J29" s="26">
        <f t="shared" si="3"/>
        <v>0.23895543991921706</v>
      </c>
      <c r="K29" s="26">
        <f t="shared" si="4"/>
        <v>1.179935258414941</v>
      </c>
      <c r="M29" s="372"/>
      <c r="N29" s="372"/>
      <c r="O29" s="372"/>
      <c r="P29" s="372"/>
    </row>
    <row r="30" spans="1:18" x14ac:dyDescent="0.2">
      <c r="A30" s="362" t="s">
        <v>130</v>
      </c>
      <c r="B30" s="363">
        <f>'TCPL$'!C67+'TCPL$'!C68</f>
        <v>2.8819531825762818E-2</v>
      </c>
      <c r="C30" s="363">
        <f>('Fuel Ratio'!C28+1)*SummerSum!B6+'TCPL$'!C69+'TCPL$'!C70</f>
        <v>0.54801619398409995</v>
      </c>
      <c r="D30" s="364">
        <f>'Fuel Ratio'!E28</f>
        <v>3.6349999999999993E-2</v>
      </c>
      <c r="E30" s="364"/>
      <c r="F30" s="363">
        <f t="shared" si="5"/>
        <v>0.1017188320927096</v>
      </c>
      <c r="G30" s="368">
        <f t="shared" si="1"/>
        <v>0.13053836391847243</v>
      </c>
      <c r="H30" s="365">
        <f t="shared" si="2"/>
        <v>0.64973502607680955</v>
      </c>
      <c r="I30" s="365"/>
      <c r="J30" s="365">
        <f t="shared" si="3"/>
        <v>0.18849210711674963</v>
      </c>
      <c r="K30" s="365">
        <f t="shared" si="4"/>
        <v>0.93819104557846722</v>
      </c>
      <c r="L30" s="374"/>
      <c r="M30" s="375"/>
      <c r="N30" s="375"/>
      <c r="O30" s="375"/>
      <c r="P30" s="375"/>
    </row>
    <row r="31" spans="1:18" x14ac:dyDescent="0.2">
      <c r="A31" s="16" t="s">
        <v>147</v>
      </c>
      <c r="B31" s="25">
        <f>'TCPL$'!B75+'TCPL$'!B76</f>
        <v>4.7570000000000001E-2</v>
      </c>
      <c r="C31" s="25">
        <f>('Fuel Ratio'!C32+1)*SummerSum!B6+'TCPL$'!C65+'TCPL$'!C66</f>
        <v>0.65616824352431025</v>
      </c>
      <c r="D31" s="33">
        <f>'Fuel Ratio'!E32</f>
        <v>4.1825000000000001E-2</v>
      </c>
      <c r="E31" s="33"/>
      <c r="F31" s="25">
        <f t="shared" si="5"/>
        <v>0.11703961904477524</v>
      </c>
      <c r="G31" s="367">
        <f t="shared" si="1"/>
        <v>0.16460961904477522</v>
      </c>
      <c r="H31" s="26">
        <f t="shared" si="2"/>
        <v>0.77320786256908547</v>
      </c>
      <c r="I31" s="26"/>
      <c r="J31" s="26">
        <f t="shared" si="3"/>
        <v>0.23768961869947577</v>
      </c>
      <c r="K31" s="26">
        <f t="shared" si="4"/>
        <v>1.1164808174393013</v>
      </c>
      <c r="M31" s="372"/>
      <c r="N31" s="372"/>
      <c r="O31" s="372"/>
      <c r="P31" s="372"/>
    </row>
    <row r="32" spans="1:18" x14ac:dyDescent="0.2">
      <c r="A32" s="16" t="s">
        <v>152</v>
      </c>
      <c r="B32" s="25"/>
      <c r="C32" s="25">
        <f>('Fuel Ratio'!C33+'Fuel Ratio'!C22+1)*SummerSum!B6+('TCPL$'!C19+'TCPL$'!C21)*(1+'Fuel Ratio'!C33)+'Nova&amp;ANG&amp;GLGT$'!C25+'Nova&amp;ANG&amp;GLGT$'!C26+'Nova&amp;ANG&amp;GLGT$'!C27+'Nova&amp;ANG&amp;GLGT$'!C23</f>
        <v>0.25587914806795647</v>
      </c>
      <c r="D32" s="33">
        <f>'Fuel Ratio'!E22*(1+'Fuel Ratio'!E33)+'Fuel Ratio'!E33</f>
        <v>4.1872247780000003E-2</v>
      </c>
      <c r="E32" s="33"/>
      <c r="F32" s="25">
        <f t="shared" si="5"/>
        <v>0.11717183332264522</v>
      </c>
      <c r="G32" s="367"/>
      <c r="H32" s="26">
        <f>$F32+C32</f>
        <v>0.37305098139060167</v>
      </c>
      <c r="I32" s="26"/>
      <c r="J32" s="26"/>
      <c r="K32" s="26">
        <f>H32*$B$4/1.055056</f>
        <v>0.53867049833872871</v>
      </c>
      <c r="M32" s="372"/>
      <c r="N32" s="372"/>
      <c r="O32" s="372"/>
      <c r="P32" s="372"/>
    </row>
    <row r="33" spans="1:18" x14ac:dyDescent="0.2">
      <c r="A33" s="16" t="s">
        <v>157</v>
      </c>
      <c r="B33" s="25"/>
      <c r="C33" s="25">
        <f>'Nova&amp;ANG&amp;GLGT$'!C25+'Nova&amp;ANG&amp;GLGT$'!C26+'Nova&amp;ANG&amp;GLGT$'!C27+'Nova&amp;ANG&amp;GLGT$'!C23</f>
        <v>0.02</v>
      </c>
      <c r="D33" s="33">
        <f>'Fuel Ratio'!E33</f>
        <v>2.6829200000000001E-2</v>
      </c>
      <c r="E33" s="33"/>
      <c r="F33" s="25">
        <f>D33*$C$14</f>
        <v>8.2350539852250354E-2</v>
      </c>
      <c r="G33" s="367"/>
      <c r="H33" s="26">
        <f>$F33+C33</f>
        <v>0.10235053985225036</v>
      </c>
      <c r="I33" s="26"/>
      <c r="J33" s="26"/>
      <c r="K33" s="26">
        <f>H33*$B$4/1.055056</f>
        <v>0.14779003154456943</v>
      </c>
      <c r="M33" s="372"/>
      <c r="N33" s="372"/>
      <c r="O33" s="372"/>
      <c r="P33" s="372"/>
    </row>
    <row r="34" spans="1:18" x14ac:dyDescent="0.2">
      <c r="A34" s="16" t="s">
        <v>159</v>
      </c>
      <c r="B34" s="25"/>
      <c r="C34" s="25">
        <f>'Nova&amp;ANG&amp;GLGT$'!C25+'Nova&amp;ANG&amp;GLGT$'!C26+'Nova&amp;ANG&amp;GLGT$'!C27+'Nova&amp;ANG&amp;GLGT$'!C23</f>
        <v>0.02</v>
      </c>
      <c r="D34" s="33">
        <f>'Fuel Ratio'!E34</f>
        <v>1.3449049999999999E-2</v>
      </c>
      <c r="E34" s="33"/>
      <c r="F34" s="25">
        <f>D34*$C$14</f>
        <v>4.1281012031663546E-2</v>
      </c>
      <c r="G34" s="367"/>
      <c r="H34" s="26">
        <f>$F34+C34</f>
        <v>6.1281012031663543E-2</v>
      </c>
      <c r="I34" s="26"/>
      <c r="J34" s="26"/>
      <c r="K34" s="26">
        <f>H34*$B$4/1.055056</f>
        <v>8.8487297813149401E-2</v>
      </c>
      <c r="M34" s="372"/>
      <c r="N34" s="372"/>
      <c r="O34" s="372"/>
      <c r="P34" s="372"/>
    </row>
    <row r="35" spans="1:18" x14ac:dyDescent="0.2">
      <c r="A35" s="16" t="s">
        <v>161</v>
      </c>
      <c r="B35" s="25"/>
      <c r="C35" s="25">
        <f>'Nova&amp;ANG&amp;GLGT$'!C25+'Nova&amp;ANG&amp;GLGT$'!C26+'Nova&amp;ANG&amp;GLGT$'!C27+'Nova&amp;ANG&amp;GLGT$'!C23</f>
        <v>0.02</v>
      </c>
      <c r="D35" s="33">
        <f>'Fuel Ratio'!E35</f>
        <v>6.4395750000000003E-3</v>
      </c>
      <c r="E35" s="33"/>
      <c r="F35" s="25">
        <f>D35*$C$14</f>
        <v>1.9765869935333708E-2</v>
      </c>
      <c r="G35" s="367"/>
      <c r="H35" s="26">
        <f>$F35+C35</f>
        <v>3.9765869935333709E-2</v>
      </c>
      <c r="I35" s="26"/>
      <c r="J35" s="26"/>
      <c r="K35" s="26">
        <f>H35*$B$4/1.055056</f>
        <v>5.7420304578989459E-2</v>
      </c>
      <c r="M35" s="372"/>
      <c r="N35" s="372"/>
      <c r="O35" s="372"/>
      <c r="P35" s="372"/>
    </row>
    <row r="36" spans="1:18" x14ac:dyDescent="0.2">
      <c r="A36" s="16"/>
      <c r="B36" s="25"/>
      <c r="C36" s="25"/>
      <c r="D36" s="33"/>
      <c r="E36" s="33"/>
      <c r="F36" s="25"/>
      <c r="G36" s="367"/>
      <c r="H36" s="26"/>
      <c r="I36" s="26"/>
      <c r="J36" s="26"/>
      <c r="K36" s="26"/>
      <c r="M36" s="372"/>
      <c r="N36" s="372"/>
      <c r="O36" s="372"/>
      <c r="P36" s="372"/>
    </row>
    <row r="37" spans="1:18" x14ac:dyDescent="0.2">
      <c r="A37" s="16" t="s">
        <v>173</v>
      </c>
      <c r="B37" s="25"/>
      <c r="C37" s="25"/>
      <c r="D37" s="33">
        <f>'Fuel Ratio'!E36-'Fuel Ratio'!E14</f>
        <v>3.7299999999999993E-2</v>
      </c>
      <c r="E37" s="33"/>
      <c r="F37" s="25">
        <f>D37*$C$9</f>
        <v>0.1043772334816525</v>
      </c>
      <c r="G37" s="367">
        <f t="shared" ref="G37:G44" si="6">$F37+B37</f>
        <v>0.1043772334816525</v>
      </c>
      <c r="H37" s="26"/>
      <c r="I37" s="26"/>
      <c r="J37" s="26">
        <f t="shared" ref="J37:J44" si="7">G37*$B$4/1.055056</f>
        <v>0.15071649500878667</v>
      </c>
      <c r="K37" s="26"/>
      <c r="M37" s="372">
        <f>T5</f>
        <v>2.8078410618201861</v>
      </c>
      <c r="N37" s="372">
        <f>T8</f>
        <v>3.3272500000000003</v>
      </c>
      <c r="O37" s="372">
        <f>N37-M37</f>
        <v>0.51940893817981415</v>
      </c>
      <c r="P37" s="372">
        <f>O37-G37</f>
        <v>0.41503170469816164</v>
      </c>
      <c r="Q37" s="2" t="str">
        <f>IF(P37&lt;0,"ATTN!","")</f>
        <v/>
      </c>
      <c r="R37" s="2"/>
    </row>
    <row r="38" spans="1:18" x14ac:dyDescent="0.2">
      <c r="A38" s="362" t="s">
        <v>262</v>
      </c>
      <c r="B38" s="369">
        <f xml:space="preserve"> 0.04 /B4*1.055056</f>
        <v>2.7701608500268635E-2</v>
      </c>
      <c r="C38" s="369">
        <f xml:space="preserve"> 0.04 /B4*1.055056</f>
        <v>2.7701608500268635E-2</v>
      </c>
      <c r="D38" s="364">
        <f>'Fuel Ratio'!E36-'Fuel Ratio'!E8</f>
        <v>4.1657473578258636E-2</v>
      </c>
      <c r="E38" s="364"/>
      <c r="F38" s="363">
        <f>D38*$C$11</f>
        <v>0.15300124368693976</v>
      </c>
      <c r="G38" s="368">
        <f t="shared" si="6"/>
        <v>0.18070285218720838</v>
      </c>
      <c r="H38" s="365"/>
      <c r="I38" s="365"/>
      <c r="J38" s="365">
        <f t="shared" si="7"/>
        <v>0.26092759514012487</v>
      </c>
      <c r="K38" s="365"/>
      <c r="L38" s="374"/>
      <c r="M38" s="375">
        <f>T11</f>
        <v>2.8581821559565102</v>
      </c>
      <c r="N38" s="375">
        <f>T8</f>
        <v>3.3272500000000003</v>
      </c>
      <c r="O38" s="375">
        <f>N38-M38</f>
        <v>0.46906784404349011</v>
      </c>
      <c r="P38" s="375">
        <f>O38-G38</f>
        <v>0.28836499185628173</v>
      </c>
      <c r="Q38" s="2" t="str">
        <f>IF(P38&lt;0,"ATTN!","")</f>
        <v/>
      </c>
      <c r="R38" s="2"/>
    </row>
    <row r="39" spans="1:18" ht="20.25" customHeight="1" x14ac:dyDescent="0.2">
      <c r="A39" s="16" t="s">
        <v>111</v>
      </c>
      <c r="B39" s="25">
        <f>'PGT$'!B25+'PGT$'!B27+'PGT$'!B28</f>
        <v>1.3556169999999999E-2</v>
      </c>
      <c r="C39" s="25">
        <f>'PGT$'!B26+'PGT$'!B27+'PGT$'!B28</f>
        <v>0.16626838000000002</v>
      </c>
      <c r="D39" s="33">
        <f>'Fuel Ratio'!E18</f>
        <v>1.4447250518255794E-2</v>
      </c>
      <c r="E39" s="33"/>
      <c r="F39" s="25">
        <f>D39*$C$12</f>
        <v>5.3070942832347076E-2</v>
      </c>
      <c r="G39" s="367">
        <f t="shared" si="6"/>
        <v>6.6627112832347068E-2</v>
      </c>
      <c r="H39" s="26">
        <f t="shared" ref="H39:H44" si="8">$F39+C39</f>
        <v>0.21933932283234708</v>
      </c>
      <c r="I39" s="26"/>
      <c r="J39" s="26">
        <f t="shared" si="7"/>
        <v>9.6206850705728444E-2</v>
      </c>
      <c r="K39" s="26">
        <f t="shared" ref="K39:K44" si="9">H39*$B$4/1.055056</f>
        <v>0.31671709291569849</v>
      </c>
      <c r="M39" s="372"/>
      <c r="N39" s="372"/>
      <c r="O39" s="372"/>
      <c r="P39" s="372"/>
    </row>
    <row r="40" spans="1:18" x14ac:dyDescent="0.2">
      <c r="A40" s="16" t="s">
        <v>107</v>
      </c>
      <c r="B40" s="25">
        <f>(1+'Fuel Ratio'!C14)*Westcoast!C11</f>
        <v>2.2185897629351647E-3</v>
      </c>
      <c r="C40" s="25">
        <f>(1+'Fuel Ratio'!C14)*(Westcoast!C9+Westcoast!C11+Westcoast!C38+Westcoast!C44)+'Nova&amp;ANG&amp;GLGT$'!$C$8</f>
        <v>0.22154529083221858</v>
      </c>
      <c r="D40" s="33">
        <f>(1+'Fuel Ratio'!E14)*('Fuel Ratio'!E8+'Fuel Ratio'!E12)+'Fuel Ratio'!E14</f>
        <v>2.4640023242719182E-2</v>
      </c>
      <c r="E40" s="33"/>
      <c r="F40" s="25">
        <f>D40*$C$11</f>
        <v>9.0498867952921336E-2</v>
      </c>
      <c r="G40" s="367">
        <f t="shared" si="6"/>
        <v>9.2717457715856502E-2</v>
      </c>
      <c r="H40" s="26">
        <f t="shared" si="8"/>
        <v>0.31204415878513991</v>
      </c>
      <c r="I40" s="26"/>
      <c r="J40" s="26">
        <f t="shared" si="7"/>
        <v>0.13388025134346604</v>
      </c>
      <c r="K40" s="26">
        <f t="shared" si="9"/>
        <v>0.45057911894482794</v>
      </c>
      <c r="M40" s="372"/>
      <c r="N40" s="372"/>
      <c r="O40" s="372"/>
      <c r="P40" s="372"/>
    </row>
    <row r="41" spans="1:18" x14ac:dyDescent="0.2">
      <c r="A41" s="16" t="s">
        <v>108</v>
      </c>
      <c r="B41" s="25">
        <f>Westcoast!C32</f>
        <v>8.6405026484151007E-3</v>
      </c>
      <c r="C41" s="25">
        <f>Westcoast!C30+Westcoast!C32</f>
        <v>0.15969586783460574</v>
      </c>
      <c r="D41" s="33">
        <f>'Fuel Ratio'!E11</f>
        <v>2.1450459652706755E-2</v>
      </c>
      <c r="E41" s="33"/>
      <c r="F41" s="25">
        <f>D41*$C$11</f>
        <v>7.8784110571542915E-2</v>
      </c>
      <c r="G41" s="367">
        <f t="shared" si="6"/>
        <v>8.7424613219958008E-2</v>
      </c>
      <c r="H41" s="26">
        <f t="shared" si="8"/>
        <v>0.23847997840614865</v>
      </c>
      <c r="I41" s="26"/>
      <c r="J41" s="26">
        <f t="shared" si="7"/>
        <v>0.1262375983966566</v>
      </c>
      <c r="K41" s="26">
        <f t="shared" si="9"/>
        <v>0.34435542384311152</v>
      </c>
      <c r="M41" s="372"/>
      <c r="N41" s="372"/>
      <c r="O41" s="372"/>
      <c r="P41" s="372"/>
    </row>
    <row r="42" spans="1:18" x14ac:dyDescent="0.2">
      <c r="A42" s="362" t="s">
        <v>144</v>
      </c>
      <c r="B42" s="363">
        <f>(1+'Fuel Ratio'!C13)*(Westcoast!C32)+'NWP$'!B6+'NWP$'!B8+'NWP$'!B9</f>
        <v>4.7971193430529996E-2</v>
      </c>
      <c r="C42" s="366">
        <f>(1+'Fuel Ratio'!C13)*(Westcoast!C32)+'NWP$'!B7+'NWP$'!B8+'NWP$'!B9</f>
        <v>0.32557119343052998</v>
      </c>
      <c r="D42" s="364">
        <f>(1+'Fuel Ratio'!E13)*'Fuel Ratio'!E11+'Fuel Ratio'!E13</f>
        <v>3.6900273731303224E-2</v>
      </c>
      <c r="E42" s="364"/>
      <c r="F42" s="363">
        <f>D42*$C$11</f>
        <v>0.13552880883838545</v>
      </c>
      <c r="G42" s="368">
        <f t="shared" si="6"/>
        <v>0.18350000226891544</v>
      </c>
      <c r="H42" s="365">
        <f t="shared" si="8"/>
        <v>0.46110000226891545</v>
      </c>
      <c r="I42" s="365"/>
      <c r="J42" s="365">
        <f t="shared" si="7"/>
        <v>0.26496656649686745</v>
      </c>
      <c r="K42" s="365">
        <f t="shared" si="9"/>
        <v>0.66580971608842721</v>
      </c>
      <c r="L42" s="374"/>
      <c r="M42" s="375"/>
      <c r="N42" s="375"/>
      <c r="O42" s="375"/>
      <c r="P42" s="375"/>
    </row>
    <row r="43" spans="1:18" x14ac:dyDescent="0.2">
      <c r="A43" s="16" t="s">
        <v>145</v>
      </c>
      <c r="B43" s="25">
        <f>+'NWP$'!B6+'NWP$'!B8+'NWP$'!B9</f>
        <v>3.9199999999999999E-2</v>
      </c>
      <c r="C43" s="34">
        <f>+'NWP$'!B7+'NWP$'!B8+'NWP$'!B9</f>
        <v>0.31679999999999997</v>
      </c>
      <c r="D43" s="33">
        <f>+'Fuel Ratio'!E13</f>
        <v>1.5125367982945948E-2</v>
      </c>
      <c r="E43" s="33"/>
      <c r="F43" s="25">
        <f>D43*$C$13</f>
        <v>5.5561958901924592E-2</v>
      </c>
      <c r="G43" s="367">
        <f t="shared" si="6"/>
        <v>9.4761958901924598E-2</v>
      </c>
      <c r="H43" s="26">
        <f t="shared" si="8"/>
        <v>0.37236195890192458</v>
      </c>
      <c r="I43" s="26"/>
      <c r="J43" s="26">
        <f t="shared" si="7"/>
        <v>0.1368324281978148</v>
      </c>
      <c r="K43" s="26">
        <f t="shared" si="9"/>
        <v>0.53767557778937436</v>
      </c>
      <c r="M43" s="372"/>
      <c r="N43" s="372"/>
      <c r="O43" s="372"/>
      <c r="P43" s="372"/>
    </row>
    <row r="44" spans="1:18" x14ac:dyDescent="0.2">
      <c r="A44" s="16" t="s">
        <v>112</v>
      </c>
      <c r="B44" s="25">
        <f>Westcoast!C11</f>
        <v>2.1944508040901731E-3</v>
      </c>
      <c r="C44" s="25">
        <f>('Fuel Ratio'!C8+1)*SummerSum!B6+Westcoast!C9+Westcoast!C11+Westcoast!C38</f>
        <v>5.9149879088275473E-2</v>
      </c>
      <c r="D44" s="33">
        <f>'Fuel Ratio'!E8</f>
        <v>6.542526421741357E-3</v>
      </c>
      <c r="E44" s="33"/>
      <c r="F44" s="25">
        <f>D44*$C$10</f>
        <v>1.8308064554476627E-2</v>
      </c>
      <c r="G44" s="367">
        <f t="shared" si="6"/>
        <v>2.05025153585668E-2</v>
      </c>
      <c r="H44" s="26">
        <f t="shared" si="8"/>
        <v>7.7457943642752103E-2</v>
      </c>
      <c r="I44" s="26"/>
      <c r="J44" s="26">
        <f t="shared" si="7"/>
        <v>2.9604801263967008E-2</v>
      </c>
      <c r="K44" s="26">
        <f t="shared" si="9"/>
        <v>0.1118461314504549</v>
      </c>
    </row>
    <row r="45" spans="1:18" x14ac:dyDescent="0.2">
      <c r="A45" s="16"/>
      <c r="B45" s="25"/>
      <c r="C45" s="25"/>
      <c r="D45" s="33"/>
      <c r="E45" s="33"/>
      <c r="F45" s="25"/>
      <c r="G45" s="26"/>
      <c r="H45" s="26"/>
      <c r="I45" s="26"/>
      <c r="J45" s="26"/>
      <c r="K45" s="26"/>
    </row>
    <row r="46" spans="1:18" x14ac:dyDescent="0.2">
      <c r="A46" t="s">
        <v>115</v>
      </c>
    </row>
    <row r="47" spans="1:18" x14ac:dyDescent="0.2">
      <c r="A47" t="s">
        <v>110</v>
      </c>
    </row>
    <row r="48" spans="1:18" x14ac:dyDescent="0.2">
      <c r="A48" t="s">
        <v>135</v>
      </c>
    </row>
    <row r="49" spans="1:1" x14ac:dyDescent="0.2">
      <c r="A49" t="s">
        <v>125</v>
      </c>
    </row>
    <row r="50" spans="1:1" x14ac:dyDescent="0.2">
      <c r="A50" t="s">
        <v>151</v>
      </c>
    </row>
  </sheetData>
  <phoneticPr fontId="0" type="noConversion"/>
  <pageMargins left="0.42" right="0.33" top="0.63" bottom="0.54" header="0.5" footer="0.5"/>
  <pageSetup scale="68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">
    <pageSetUpPr fitToPage="1"/>
  </sheetPr>
  <dimension ref="A1:U50"/>
  <sheetViews>
    <sheetView showGridLines="0" zoomScale="90" workbookViewId="0">
      <pane xSplit="1" topLeftCell="B1" activePane="topRight" state="frozen"/>
      <selection activeCell="A5" sqref="A5"/>
      <selection pane="topRight" activeCell="C21" sqref="C21"/>
    </sheetView>
  </sheetViews>
  <sheetFormatPr defaultRowHeight="12.75" x14ac:dyDescent="0.2"/>
  <cols>
    <col min="1" max="1" width="38.5703125" customWidth="1"/>
    <col min="2" max="2" width="14.140625" style="1" bestFit="1" customWidth="1"/>
    <col min="3" max="3" width="11.85546875" style="1" bestFit="1" customWidth="1"/>
    <col min="4" max="4" width="9.85546875" customWidth="1"/>
    <col min="5" max="5" width="4.7109375" customWidth="1"/>
    <col min="6" max="6" width="9.85546875" customWidth="1"/>
    <col min="7" max="7" width="14.85546875" bestFit="1" customWidth="1"/>
    <col min="9" max="9" width="4.28515625" customWidth="1"/>
    <col min="10" max="10" width="14.85546875" bestFit="1" customWidth="1"/>
    <col min="18" max="18" width="27.7109375" customWidth="1"/>
  </cols>
  <sheetData>
    <row r="1" spans="1:21" ht="18" x14ac:dyDescent="0.25">
      <c r="A1" s="43" t="s">
        <v>283</v>
      </c>
      <c r="B1" s="40"/>
      <c r="C1" s="40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128"/>
      <c r="S1" s="2" t="s">
        <v>265</v>
      </c>
    </row>
    <row r="2" spans="1:21" ht="21" customHeight="1" x14ac:dyDescent="0.2">
      <c r="A2" t="s">
        <v>292</v>
      </c>
    </row>
    <row r="3" spans="1:21" ht="26.25" customHeight="1" x14ac:dyDescent="0.2">
      <c r="T3" s="9" t="s">
        <v>273</v>
      </c>
      <c r="U3" s="9" t="s">
        <v>274</v>
      </c>
    </row>
    <row r="4" spans="1:21" x14ac:dyDescent="0.2">
      <c r="A4" t="s">
        <v>72</v>
      </c>
      <c r="B4" s="48">
        <f>AVERAGE(Mids!AI42:AI46)</f>
        <v>1.5213987183703359</v>
      </c>
      <c r="S4" s="14" t="s">
        <v>266</v>
      </c>
      <c r="T4" s="52">
        <f>AVERAGE(Mids!AB42:AB46)</f>
        <v>4.8967887061129094</v>
      </c>
    </row>
    <row r="5" spans="1:21" x14ac:dyDescent="0.2">
      <c r="A5" t="s">
        <v>293</v>
      </c>
      <c r="B5" s="385">
        <f>(T7-T4)/B4*1.055056</f>
        <v>0.10228795260633129</v>
      </c>
      <c r="C5" s="1" t="s">
        <v>74</v>
      </c>
      <c r="I5" s="14" t="s">
        <v>261</v>
      </c>
      <c r="J5" s="361">
        <f>Mids!A1</f>
        <v>37069</v>
      </c>
      <c r="S5" s="14" t="s">
        <v>267</v>
      </c>
      <c r="T5" s="52">
        <f>AVERAGE(Mids!V42:V46)</f>
        <v>3.3958000000000004</v>
      </c>
    </row>
    <row r="6" spans="1:21" x14ac:dyDescent="0.2">
      <c r="B6" s="10"/>
      <c r="S6" s="14" t="s">
        <v>268</v>
      </c>
      <c r="T6" s="52">
        <f>AVERAGE(Mids!B42:B46)</f>
        <v>3.8807999999999998</v>
      </c>
    </row>
    <row r="7" spans="1:21" x14ac:dyDescent="0.2">
      <c r="G7" s="14" t="s">
        <v>263</v>
      </c>
      <c r="H7" s="379">
        <v>37196</v>
      </c>
      <c r="I7" s="1" t="s">
        <v>264</v>
      </c>
      <c r="J7" s="379">
        <v>37346</v>
      </c>
      <c r="S7" s="14" t="s">
        <v>284</v>
      </c>
      <c r="T7" s="52">
        <f>AVERAGE(Mids!AC42:AC46)</f>
        <v>5.0442887061129076</v>
      </c>
    </row>
    <row r="8" spans="1:21" ht="15" x14ac:dyDescent="0.25">
      <c r="A8" s="12" t="s">
        <v>76</v>
      </c>
      <c r="B8" s="1" t="s">
        <v>53</v>
      </c>
      <c r="C8" s="1" t="s">
        <v>38</v>
      </c>
      <c r="S8" s="14" t="s">
        <v>270</v>
      </c>
      <c r="T8">
        <f>U8+T6</f>
        <v>4.0007999999999999</v>
      </c>
      <c r="U8" s="52">
        <f>AVERAGE(Mids!J42:J46)</f>
        <v>0.12</v>
      </c>
    </row>
    <row r="9" spans="1:21" x14ac:dyDescent="0.2">
      <c r="A9" t="s">
        <v>77</v>
      </c>
      <c r="B9" s="34">
        <f>T4</f>
        <v>4.8967887061129094</v>
      </c>
      <c r="C9" s="10">
        <f>B9*1.055056/$B$4</f>
        <v>3.3958134989430628</v>
      </c>
      <c r="S9" s="14" t="s">
        <v>271</v>
      </c>
      <c r="T9">
        <f>U9+T6</f>
        <v>4.0808</v>
      </c>
      <c r="U9" s="52">
        <f>AVERAGE(Mids!F42:F46)</f>
        <v>0.2</v>
      </c>
    </row>
    <row r="10" spans="1:21" x14ac:dyDescent="0.2">
      <c r="A10" t="s">
        <v>136</v>
      </c>
      <c r="B10" s="357">
        <f>T7</f>
        <v>5.0442887061129076</v>
      </c>
      <c r="C10" s="10">
        <f>B10*1.055056/$B$4</f>
        <v>3.498101451549394</v>
      </c>
      <c r="S10" s="14" t="s">
        <v>272</v>
      </c>
      <c r="T10" s="52">
        <f>AVERAGE(Mids!AG42:AG46)</f>
        <v>4.6167999999999996</v>
      </c>
    </row>
    <row r="11" spans="1:21" x14ac:dyDescent="0.2">
      <c r="A11" t="s">
        <v>73</v>
      </c>
      <c r="B11" s="34">
        <f>AVERAGE(Mids!AD35:AD41)</f>
        <v>5.3034324015133922</v>
      </c>
      <c r="C11" s="10">
        <f>B11*1.055056/$B$4</f>
        <v>3.6778118110975613</v>
      </c>
      <c r="S11" s="14" t="s">
        <v>280</v>
      </c>
      <c r="T11" s="373">
        <f>AVERAGE(Mids!X42:X46)</f>
        <v>3.6038433491082822</v>
      </c>
    </row>
    <row r="12" spans="1:21" x14ac:dyDescent="0.2">
      <c r="A12" t="s">
        <v>137</v>
      </c>
      <c r="B12" s="10"/>
      <c r="C12" s="34">
        <f>C13</f>
        <v>3.6734285714285719</v>
      </c>
    </row>
    <row r="13" spans="1:21" x14ac:dyDescent="0.2">
      <c r="A13" t="s">
        <v>146</v>
      </c>
      <c r="B13" s="10"/>
      <c r="C13" s="34">
        <f>AVERAGE(Mids!AE35:AE41)</f>
        <v>3.6734285714285719</v>
      </c>
    </row>
    <row r="14" spans="1:21" x14ac:dyDescent="0.2">
      <c r="A14" t="s">
        <v>158</v>
      </c>
      <c r="B14" s="10"/>
      <c r="C14" s="34">
        <f>C10+H24</f>
        <v>3.9038557521860828</v>
      </c>
    </row>
    <row r="15" spans="1:21" x14ac:dyDescent="0.2">
      <c r="F15" s="42" t="s">
        <v>150</v>
      </c>
      <c r="G15" s="41" t="s">
        <v>38</v>
      </c>
      <c r="H15" s="41"/>
      <c r="I15" s="1"/>
      <c r="J15" s="41" t="s">
        <v>53</v>
      </c>
      <c r="K15" s="41"/>
      <c r="M15" s="41" t="s">
        <v>279</v>
      </c>
      <c r="N15" s="41"/>
      <c r="O15" s="41"/>
      <c r="P15" s="41"/>
    </row>
    <row r="16" spans="1:21" s="37" customFormat="1" ht="30" x14ac:dyDescent="0.25">
      <c r="A16" s="35" t="s">
        <v>100</v>
      </c>
      <c r="B16" s="36" t="s">
        <v>101</v>
      </c>
      <c r="C16" s="36" t="s">
        <v>102</v>
      </c>
      <c r="D16" s="36" t="s">
        <v>103</v>
      </c>
      <c r="E16" s="36"/>
      <c r="F16" s="36" t="s">
        <v>149</v>
      </c>
      <c r="G16" s="36" t="s">
        <v>104</v>
      </c>
      <c r="H16" s="36" t="s">
        <v>105</v>
      </c>
      <c r="I16" s="36"/>
      <c r="J16" s="36" t="s">
        <v>104</v>
      </c>
      <c r="K16" s="36" t="s">
        <v>105</v>
      </c>
      <c r="M16" s="41" t="s">
        <v>278</v>
      </c>
      <c r="N16" s="41" t="s">
        <v>277</v>
      </c>
      <c r="O16" s="41" t="s">
        <v>275</v>
      </c>
      <c r="P16" s="41" t="s">
        <v>276</v>
      </c>
    </row>
    <row r="17" spans="1:18" x14ac:dyDescent="0.2">
      <c r="A17" s="16" t="s">
        <v>294</v>
      </c>
      <c r="B17" s="25">
        <f>'Nova&amp;ANG&amp;GLGT$'!C16+'Nova&amp;ANG&amp;GLGT$'!C18</f>
        <v>6.0283341254107206E-3</v>
      </c>
      <c r="C17" s="25">
        <f>(1+'Fuel Ratio'!G15)*WinterSum!B5+'Nova&amp;ANG&amp;GLGT$'!C17+'Nova&amp;ANG&amp;GLGT$'!C18</f>
        <v>0.16514320835759208</v>
      </c>
      <c r="D17" s="33">
        <f>'Fuel Ratio'!G15</f>
        <v>1.3802E-2</v>
      </c>
      <c r="E17" s="33"/>
      <c r="F17" s="25">
        <f t="shared" ref="F17:F32" si="0">D17*$C$10</f>
        <v>4.8280796234284738E-2</v>
      </c>
      <c r="G17" s="367">
        <f t="shared" ref="G17:G31" si="1">$F17+B17</f>
        <v>5.4309130359695458E-2</v>
      </c>
      <c r="H17" s="26">
        <f t="shared" ref="H17:H31" si="2">$F17+C17</f>
        <v>0.21342400459187683</v>
      </c>
      <c r="I17" s="26"/>
      <c r="J17" s="26">
        <f t="shared" ref="J17:J31" si="3">G17*$B$4/1.055056</f>
        <v>7.8314176048520812E-2</v>
      </c>
      <c r="K17" s="26">
        <f t="shared" ref="K17:K31" si="4">H17*$B$4/1.055056</f>
        <v>0.30775902611382344</v>
      </c>
      <c r="M17" s="372"/>
      <c r="N17" s="372"/>
      <c r="O17" s="372"/>
      <c r="P17" s="372"/>
    </row>
    <row r="18" spans="1:18" x14ac:dyDescent="0.2">
      <c r="A18" s="16" t="s">
        <v>295</v>
      </c>
      <c r="B18" s="25">
        <f>(1+'Fuel Ratio'!G16)*('Nova&amp;ANG&amp;GLGT$'!C16+'Nova&amp;ANG&amp;GLGT$'!C18)+'PGT$'!B7+'PGT$'!B9+'PGT$'!B10</f>
        <v>1.8922019027729827E-2</v>
      </c>
      <c r="C18" s="25">
        <f>(1+'Fuel Ratio'!G16+'Fuel Ratio'!G15)*WinterSum!B5+(1+'Fuel Ratio'!G16)*('Nova&amp;ANG&amp;GLGT$'!C17+'Nova&amp;ANG&amp;GLGT$'!C18)+'PGT$'!B8+'PGT$'!B9+'PGT$'!B10</f>
        <v>0.31174925803917863</v>
      </c>
      <c r="D18" s="33">
        <f>(1+'Fuel Ratio'!G16)*'Fuel Ratio'!G15+'Fuel Ratio'!G16</f>
        <v>2.8580170862392826E-2</v>
      </c>
      <c r="E18" s="33"/>
      <c r="F18" s="25">
        <f t="shared" si="0"/>
        <v>9.9976337179266045E-2</v>
      </c>
      <c r="G18" s="367">
        <f t="shared" si="1"/>
        <v>0.11889835620699588</v>
      </c>
      <c r="H18" s="26">
        <f t="shared" si="2"/>
        <v>0.41172559521844465</v>
      </c>
      <c r="I18" s="26"/>
      <c r="J18" s="26">
        <f t="shared" si="3"/>
        <v>0.17145232741168545</v>
      </c>
      <c r="K18" s="26">
        <f t="shared" si="4"/>
        <v>0.59371141710544784</v>
      </c>
      <c r="M18" s="372"/>
      <c r="N18" s="372"/>
      <c r="O18" s="372"/>
      <c r="P18" s="372"/>
    </row>
    <row r="19" spans="1:18" x14ac:dyDescent="0.2">
      <c r="A19" s="16" t="s">
        <v>296</v>
      </c>
      <c r="B19" s="25">
        <f>(1+'Fuel Ratio'!G13)*('PGT$'!B7+'PGT$'!B9)+(1+'Fuel Ratio'!G13)*(1+'Fuel Ratio'!G16)*('Nova&amp;ANG&amp;GLGT$'!C16+'Nova&amp;ANG&amp;GLGT$'!C18)+'NWP$'!B6+'NWP$'!B8+'NWP$'!B9</f>
        <v>5.1268042340044361E-2</v>
      </c>
      <c r="C19" s="25">
        <f>(1+'Fuel Ratio'!G13)*('PGT$'!B8+'PGT$'!B9)+(1+'Fuel Ratio'!G13)*(1+'Fuel Ratio'!G16)*('Nova&amp;ANG&amp;GLGT$'!C17+'Nova&amp;ANG&amp;GLGT$'!C18)+'NWP$'!B7+'NWP$'!B8+'NWP$'!B9+((1+'Fuel Ratio'!G13)*(1+'Fuel Ratio'!G16)+'Fuel Ratio'!G15)*WinterSum!B5</f>
        <v>0.62526459714696225</v>
      </c>
      <c r="D19" s="33">
        <f>(((1+'Fuel Ratio'!G13)*'Fuel Ratio'!G16+'Fuel Ratio'!G13)+1)*'Fuel Ratio'!G15+(1+'Fuel Ratio'!G13)*'Fuel Ratio'!G16+'Fuel Ratio'!G13</f>
        <v>4.1178429863744231E-2</v>
      </c>
      <c r="E19" s="33"/>
      <c r="F19" s="25">
        <f t="shared" si="0"/>
        <v>0.14404632527888861</v>
      </c>
      <c r="G19" s="367">
        <f t="shared" si="1"/>
        <v>0.19531436761893298</v>
      </c>
      <c r="H19" s="26">
        <f t="shared" si="2"/>
        <v>0.76931092242585086</v>
      </c>
      <c r="I19" s="26"/>
      <c r="J19" s="26">
        <f t="shared" si="3"/>
        <v>0.28164479285910632</v>
      </c>
      <c r="K19" s="26">
        <f t="shared" si="4"/>
        <v>1.1093521589441606</v>
      </c>
      <c r="M19" s="372"/>
      <c r="N19" s="372"/>
      <c r="O19" s="372"/>
      <c r="P19" s="372"/>
    </row>
    <row r="20" spans="1:18" x14ac:dyDescent="0.2">
      <c r="A20" s="16" t="s">
        <v>297</v>
      </c>
      <c r="B20" s="25">
        <f>(1+'Fuel Ratio'!G17)*('Nova&amp;ANG&amp;GLGT$'!C16+'Nova&amp;ANG&amp;GLGT$'!C18)+'PGT$'!B17+'PGT$'!B19+'PGT$'!B20</f>
        <v>2.3387832740266384E-2</v>
      </c>
      <c r="C20" s="25">
        <f>(1+'Fuel Ratio'!G17+'Fuel Ratio'!G15)*WinterSum!B5+(1+'Fuel Ratio'!G17)*('Nova&amp;ANG&amp;GLGT$'!C17+'Nova&amp;ANG&amp;GLGT$'!C18)+'PGT$'!B18+'PGT$'!B19+'PGT$'!B20</f>
        <v>0.44273159537773488</v>
      </c>
      <c r="D20" s="33">
        <f>(1+'Fuel Ratio'!G17)*'Fuel Ratio'!G15+'Fuel Ratio'!G17</f>
        <v>4.7019264108475282E-2</v>
      </c>
      <c r="E20" s="33"/>
      <c r="F20" s="25">
        <f t="shared" si="0"/>
        <v>0.16447815602864171</v>
      </c>
      <c r="G20" s="367">
        <f t="shared" si="1"/>
        <v>0.18786598876890809</v>
      </c>
      <c r="H20" s="26">
        <f t="shared" si="2"/>
        <v>0.60720975140637656</v>
      </c>
      <c r="I20" s="26"/>
      <c r="J20" s="26">
        <f t="shared" si="3"/>
        <v>0.27090417431718572</v>
      </c>
      <c r="K20" s="26">
        <f t="shared" si="4"/>
        <v>0.87560104636306657</v>
      </c>
      <c r="M20" s="372"/>
      <c r="N20" s="372"/>
      <c r="O20" s="372"/>
      <c r="P20" s="372"/>
    </row>
    <row r="21" spans="1:18" ht="19.5" customHeight="1" x14ac:dyDescent="0.2">
      <c r="A21" s="16" t="s">
        <v>298</v>
      </c>
      <c r="B21" s="25"/>
      <c r="C21" s="25">
        <f>(1+'Fuel Ratio'!G29)*B5+'Nova&amp;ANG&amp;GLGT$'!C34</f>
        <v>0.40111585126022581</v>
      </c>
      <c r="D21" s="33">
        <f>(1+'Fuel Ratio'!G29)*'Fuel Ratio'!G19+'Fuel Ratio'!G29</f>
        <v>3.7685337726524049E-2</v>
      </c>
      <c r="E21" s="33"/>
      <c r="F21" s="25">
        <f t="shared" si="0"/>
        <v>0.13182713460328291</v>
      </c>
      <c r="G21" s="367">
        <f t="shared" si="1"/>
        <v>0.13182713460328291</v>
      </c>
      <c r="H21" s="26">
        <f t="shared" si="2"/>
        <v>0.53294298586350874</v>
      </c>
      <c r="I21" s="26"/>
      <c r="J21" s="26">
        <f t="shared" si="3"/>
        <v>0.19009572347995593</v>
      </c>
      <c r="K21" s="26">
        <f t="shared" si="4"/>
        <v>0.76850780968707089</v>
      </c>
      <c r="M21" s="372"/>
      <c r="N21" s="372"/>
      <c r="O21" s="372"/>
      <c r="P21" s="372"/>
    </row>
    <row r="22" spans="1:18" x14ac:dyDescent="0.2">
      <c r="A22" s="362" t="s">
        <v>299</v>
      </c>
      <c r="B22" s="363"/>
      <c r="C22" s="363">
        <f>(1+'Fuel Ratio'!G29)*B5+'Nova&amp;ANG&amp;GLGT$'!C40</f>
        <v>0.54263836726022574</v>
      </c>
      <c r="D22" s="364">
        <f>(1+'Fuel Ratio'!G31)*'Fuel Ratio'!G19+'Fuel Ratio'!G31</f>
        <v>5.286251567070626E-2</v>
      </c>
      <c r="E22" s="364"/>
      <c r="F22" s="363">
        <f t="shared" si="0"/>
        <v>0.18491844280025016</v>
      </c>
      <c r="G22" s="368">
        <f t="shared" si="1"/>
        <v>0.18491844280025016</v>
      </c>
      <c r="H22" s="365">
        <f t="shared" si="2"/>
        <v>0.7275568100604759</v>
      </c>
      <c r="I22" s="365"/>
      <c r="J22" s="365">
        <f t="shared" si="3"/>
        <v>0.26665379077446016</v>
      </c>
      <c r="K22" s="365">
        <f t="shared" si="4"/>
        <v>1.0491424136421363</v>
      </c>
      <c r="L22" s="374"/>
      <c r="M22" s="375">
        <f>T7/B4*1.055056</f>
        <v>3.498101451549394</v>
      </c>
      <c r="N22" s="375">
        <f>T8</f>
        <v>4.0007999999999999</v>
      </c>
      <c r="O22" s="375">
        <f>N22-M22</f>
        <v>0.50269854845060591</v>
      </c>
      <c r="P22" s="375">
        <f>O22-G22</f>
        <v>0.31778010565035575</v>
      </c>
      <c r="Q22" s="2" t="str">
        <f>IF(P22&lt;0,"ATTN!","")</f>
        <v/>
      </c>
      <c r="R22" s="2"/>
    </row>
    <row r="23" spans="1:18" ht="21.75" customHeight="1" x14ac:dyDescent="0.2">
      <c r="A23" s="16" t="s">
        <v>300</v>
      </c>
      <c r="B23" s="25">
        <f>'TCPL$'!C10</f>
        <v>5.5427526218950213E-3</v>
      </c>
      <c r="C23" s="25">
        <f>('Fuel Ratio'!G20+1)*WinterSum!B5+'TCPL$'!F11</f>
        <v>0.20979466541429409</v>
      </c>
      <c r="D23" s="33">
        <f>'Fuel Ratio'!G20</f>
        <v>6.8799999999999998E-3</v>
      </c>
      <c r="E23" s="33"/>
      <c r="F23" s="25">
        <f t="shared" si="0"/>
        <v>2.406693798665983E-2</v>
      </c>
      <c r="G23" s="367">
        <f t="shared" si="1"/>
        <v>2.9609690608554853E-2</v>
      </c>
      <c r="H23" s="26">
        <f t="shared" si="2"/>
        <v>0.23386160340095391</v>
      </c>
      <c r="I23" s="26"/>
      <c r="J23" s="26">
        <f t="shared" si="3"/>
        <v>4.2697397430276236E-2</v>
      </c>
      <c r="K23" s="26">
        <f t="shared" si="4"/>
        <v>0.33723019791389564</v>
      </c>
      <c r="M23" s="372"/>
      <c r="N23" s="372"/>
      <c r="O23" s="372"/>
      <c r="P23" s="372"/>
    </row>
    <row r="24" spans="1:18" x14ac:dyDescent="0.2">
      <c r="A24" s="16" t="s">
        <v>301</v>
      </c>
      <c r="B24" s="25">
        <f>('TCPL$'!C16+'TCPL$'!C18)</f>
        <v>1.5076752036468345E-2</v>
      </c>
      <c r="C24" s="25">
        <f>('Fuel Ratio'!G22+1)*WinterSum!B5+'TCPL$'!F19+'TCPL$'!C21</f>
        <v>0.33446159381353152</v>
      </c>
      <c r="D24" s="33">
        <f>'Fuel Ratio'!G22</f>
        <v>2.03804E-2</v>
      </c>
      <c r="E24" s="33"/>
      <c r="F24" s="25">
        <f t="shared" si="0"/>
        <v>7.1292706823157276E-2</v>
      </c>
      <c r="G24" s="367">
        <f t="shared" si="1"/>
        <v>8.6369458859625617E-2</v>
      </c>
      <c r="H24" s="26">
        <f t="shared" si="2"/>
        <v>0.40575430063668882</v>
      </c>
      <c r="I24" s="26"/>
      <c r="J24" s="26">
        <f t="shared" si="3"/>
        <v>0.12454541182209654</v>
      </c>
      <c r="K24" s="26">
        <f t="shared" si="4"/>
        <v>0.58510076523133403</v>
      </c>
      <c r="M24" s="372"/>
      <c r="N24" s="372"/>
      <c r="O24" s="372"/>
      <c r="P24" s="372"/>
    </row>
    <row r="25" spans="1:18" x14ac:dyDescent="0.2">
      <c r="A25" s="16" t="s">
        <v>302</v>
      </c>
      <c r="B25" s="25">
        <f>'TCPL$'!C26+'TCPL$'!C27</f>
        <v>3.5635437986424878E-2</v>
      </c>
      <c r="C25" s="25">
        <f>('Fuel Ratio'!G23+1)*WinterSum!B5+'TCPL$'!F28+'TCPL$'!C30+'TCPL$'!C29</f>
        <v>0.76089958785843392</v>
      </c>
      <c r="D25" s="33">
        <f>'Fuel Ratio'!G23</f>
        <v>5.9439999999999993E-2</v>
      </c>
      <c r="E25" s="33"/>
      <c r="F25" s="25">
        <f t="shared" si="0"/>
        <v>0.20792715028009595</v>
      </c>
      <c r="G25" s="367">
        <f t="shared" si="1"/>
        <v>0.24356258826652083</v>
      </c>
      <c r="H25" s="26">
        <f t="shared" si="2"/>
        <v>0.96882673813852982</v>
      </c>
      <c r="I25" s="26"/>
      <c r="J25" s="26">
        <f t="shared" si="3"/>
        <v>0.35121909133889251</v>
      </c>
      <c r="K25" s="26">
        <f t="shared" si="4"/>
        <v>1.3970554716781596</v>
      </c>
      <c r="M25" s="372">
        <f>T7/B4*1.055056</f>
        <v>3.498101451549394</v>
      </c>
      <c r="N25" s="372">
        <f>T9</f>
        <v>4.0808</v>
      </c>
      <c r="O25" s="372">
        <f>N25-M25</f>
        <v>0.58269854845060598</v>
      </c>
      <c r="P25" s="372">
        <f>O25-G25</f>
        <v>0.33913596018408515</v>
      </c>
      <c r="Q25" s="2" t="str">
        <f>IF(P25&lt;0,"ATTN!","")</f>
        <v/>
      </c>
      <c r="R25" s="2"/>
    </row>
    <row r="26" spans="1:18" x14ac:dyDescent="0.2">
      <c r="A26" s="362" t="s">
        <v>303</v>
      </c>
      <c r="B26" s="363">
        <f>'TCPL$'!C35+'TCPL$'!C36</f>
        <v>3.5819970940973792E-2</v>
      </c>
      <c r="C26" s="363">
        <f>('Fuel Ratio'!G24+1)*WinterSum!B5+'TCPL$'!F37+'TCPL$'!C38</f>
        <v>0.7459122942587475</v>
      </c>
      <c r="D26" s="364">
        <f>'Fuel Ratio'!G24</f>
        <v>6.1960000000000001E-2</v>
      </c>
      <c r="E26" s="364"/>
      <c r="F26" s="363">
        <f t="shared" si="0"/>
        <v>0.21674236593800045</v>
      </c>
      <c r="G26" s="368">
        <f t="shared" si="1"/>
        <v>0.25256233687897423</v>
      </c>
      <c r="H26" s="365">
        <f t="shared" si="2"/>
        <v>0.96265466019674795</v>
      </c>
      <c r="I26" s="365"/>
      <c r="J26" s="365">
        <f t="shared" si="3"/>
        <v>0.36419679679210243</v>
      </c>
      <c r="K26" s="365">
        <f t="shared" si="4"/>
        <v>1.388155288682841</v>
      </c>
      <c r="L26" s="374"/>
      <c r="M26" s="375"/>
      <c r="N26" s="375"/>
      <c r="O26" s="375"/>
      <c r="P26" s="375"/>
    </row>
    <row r="27" spans="1:18" x14ac:dyDescent="0.2">
      <c r="A27" s="16" t="s">
        <v>304</v>
      </c>
      <c r="B27" s="25">
        <f>'TCPL$'!C43+'TCPL$'!C44</f>
        <v>5.1303819632774333E-2</v>
      </c>
      <c r="C27" s="25">
        <f>('Fuel Ratio'!G25+1)*WinterSum!B5+'TCPL$'!F45+'TCPL$'!C46</f>
        <v>0.76319013516265966</v>
      </c>
      <c r="D27" s="33">
        <f>'Fuel Ratio'!G25</f>
        <v>6.6640000000000005E-2</v>
      </c>
      <c r="E27" s="33"/>
      <c r="F27" s="25">
        <f t="shared" si="0"/>
        <v>0.23311348073125163</v>
      </c>
      <c r="G27" s="367">
        <f t="shared" si="1"/>
        <v>0.28441730036402596</v>
      </c>
      <c r="H27" s="26">
        <f t="shared" si="2"/>
        <v>0.99630361589391125</v>
      </c>
      <c r="I27" s="26"/>
      <c r="J27" s="26">
        <f t="shared" si="3"/>
        <v>0.4101318946635818</v>
      </c>
      <c r="K27" s="26">
        <f t="shared" si="4"/>
        <v>1.4366773368700128</v>
      </c>
      <c r="M27" s="372"/>
      <c r="N27" s="372"/>
      <c r="O27" s="372"/>
      <c r="P27" s="372"/>
    </row>
    <row r="28" spans="1:18" x14ac:dyDescent="0.2">
      <c r="A28" s="16" t="s">
        <v>305</v>
      </c>
      <c r="B28" s="25">
        <f>'TCPL$'!C51+'TCPL$'!C52</f>
        <v>5.2643584137891698E-2</v>
      </c>
      <c r="C28" s="25">
        <f>('Fuel Ratio'!G26+1)*WinterSum!B5+'TCPL$'!F53+'TCPL$'!C54</f>
        <v>0.76357407355285478</v>
      </c>
      <c r="D28" s="33">
        <f>'Fuel Ratio'!G26</f>
        <v>6.5620000000000012E-2</v>
      </c>
      <c r="E28" s="33"/>
      <c r="F28" s="25">
        <f t="shared" si="0"/>
        <v>0.22954541725067126</v>
      </c>
      <c r="G28" s="367">
        <f t="shared" si="1"/>
        <v>0.28218900138856295</v>
      </c>
      <c r="H28" s="26">
        <f t="shared" si="2"/>
        <v>0.99311949080352602</v>
      </c>
      <c r="I28" s="26"/>
      <c r="J28" s="26">
        <f t="shared" si="3"/>
        <v>0.40691867071583371</v>
      </c>
      <c r="K28" s="26">
        <f t="shared" si="4"/>
        <v>1.4320858044474274</v>
      </c>
      <c r="M28" s="372"/>
      <c r="N28" s="372"/>
      <c r="O28" s="372"/>
      <c r="P28" s="372"/>
    </row>
    <row r="29" spans="1:18" x14ac:dyDescent="0.2">
      <c r="A29" s="16" t="s">
        <v>306</v>
      </c>
      <c r="B29" s="25">
        <f>'TCPL$'!C59+'TCPL$'!C60</f>
        <v>3.6413867914984098E-2</v>
      </c>
      <c r="C29" s="25">
        <f>('Fuel Ratio'!G27+1)*WinterSum!B5+'TCPL$'!F61+'TCPL$'!C62</f>
        <v>0.79706110796416396</v>
      </c>
      <c r="D29" s="33">
        <f>'Fuel Ratio'!G27</f>
        <v>6.5679999999999988E-2</v>
      </c>
      <c r="E29" s="33"/>
      <c r="F29" s="25">
        <f t="shared" si="0"/>
        <v>0.22975530333776414</v>
      </c>
      <c r="G29" s="367">
        <f t="shared" si="1"/>
        <v>0.26616917125274825</v>
      </c>
      <c r="H29" s="26">
        <f t="shared" si="2"/>
        <v>1.026816411301928</v>
      </c>
      <c r="I29" s="26"/>
      <c r="J29" s="26">
        <f t="shared" si="3"/>
        <v>0.38381795469968005</v>
      </c>
      <c r="K29" s="26">
        <f t="shared" si="4"/>
        <v>1.4806770182401512</v>
      </c>
      <c r="M29" s="372"/>
      <c r="N29" s="372"/>
      <c r="O29" s="372"/>
      <c r="P29" s="372"/>
    </row>
    <row r="30" spans="1:18" x14ac:dyDescent="0.2">
      <c r="A30" s="362" t="s">
        <v>307</v>
      </c>
      <c r="B30" s="363">
        <f>'TCPL$'!C67+'TCPL$'!C68</f>
        <v>2.8819531825762818E-2</v>
      </c>
      <c r="C30" s="363">
        <f>('Fuel Ratio'!G28+1)*WinterSum!B5+'TCPL$'!F69+'TCPL$'!C70</f>
        <v>0.6556360158439094</v>
      </c>
      <c r="D30" s="364">
        <f>'Fuel Ratio'!G28</f>
        <v>5.2380000000000003E-2</v>
      </c>
      <c r="E30" s="364"/>
      <c r="F30" s="363">
        <f t="shared" si="0"/>
        <v>0.18323055403215727</v>
      </c>
      <c r="G30" s="368">
        <f t="shared" si="1"/>
        <v>0.2120500858579201</v>
      </c>
      <c r="H30" s="365">
        <f t="shared" si="2"/>
        <v>0.83886656987606667</v>
      </c>
      <c r="I30" s="365"/>
      <c r="J30" s="365">
        <f t="shared" si="3"/>
        <v>0.30577782492546302</v>
      </c>
      <c r="K30" s="365">
        <f t="shared" si="4"/>
        <v>1.2096519277584958</v>
      </c>
      <c r="L30" s="374"/>
      <c r="M30" s="375"/>
      <c r="N30" s="375"/>
      <c r="O30" s="375"/>
      <c r="P30" s="375"/>
    </row>
    <row r="31" spans="1:18" x14ac:dyDescent="0.2">
      <c r="A31" s="16" t="s">
        <v>308</v>
      </c>
      <c r="B31" s="25">
        <f>'TCPL$'!B75+'TCPL$'!B76</f>
        <v>4.7570000000000001E-2</v>
      </c>
      <c r="C31" s="25">
        <f>('Fuel Ratio'!G32+1)*WinterSum!B5+'TCPL$'!F65+'TCPL$'!C66</f>
        <v>0.76453619203356182</v>
      </c>
      <c r="D31" s="33">
        <f>'Fuel Ratio'!G32</f>
        <v>5.9439999999999993E-2</v>
      </c>
      <c r="E31" s="33"/>
      <c r="F31" s="25">
        <f t="shared" si="0"/>
        <v>0.20792715028009595</v>
      </c>
      <c r="G31" s="367">
        <f t="shared" si="1"/>
        <v>0.25549715028009595</v>
      </c>
      <c r="H31" s="26">
        <f t="shared" si="2"/>
        <v>0.97246334231365772</v>
      </c>
      <c r="I31" s="26"/>
      <c r="J31" s="26">
        <f t="shared" si="3"/>
        <v>0.36842881987630144</v>
      </c>
      <c r="K31" s="26">
        <f t="shared" si="4"/>
        <v>1.4022994823574597</v>
      </c>
      <c r="M31" s="372"/>
      <c r="N31" s="372"/>
      <c r="O31" s="372"/>
      <c r="P31" s="372"/>
    </row>
    <row r="32" spans="1:18" x14ac:dyDescent="0.2">
      <c r="A32" s="16" t="s">
        <v>309</v>
      </c>
      <c r="B32" s="25"/>
      <c r="C32" s="25">
        <f>('Fuel Ratio'!G33+'Fuel Ratio'!G22+1)*WinterSum!B5+('TCPL$'!F19+'TCPL$'!C21)*(1+'Fuel Ratio'!G33)+'Nova&amp;ANG&amp;GLGT$'!C25+'Nova&amp;ANG&amp;GLGT$'!C26+'Nova&amp;ANG&amp;GLGT$'!C27+'Nova&amp;ANG&amp;GLGT$'!C23</f>
        <v>0.36531104138058729</v>
      </c>
      <c r="D32" s="33">
        <f>'Fuel Ratio'!G22*(1+'Fuel Ratio'!G33)+'Fuel Ratio'!G33</f>
        <v>5.3687657016799999E-2</v>
      </c>
      <c r="E32" s="33"/>
      <c r="F32" s="25">
        <f t="shared" si="0"/>
        <v>0.18780487094075407</v>
      </c>
      <c r="G32" s="367"/>
      <c r="H32" s="26">
        <f>$F32+C32</f>
        <v>0.55311591232134139</v>
      </c>
      <c r="I32" s="26"/>
      <c r="J32" s="26"/>
      <c r="K32" s="26">
        <f>H32*$B$4/1.055056</f>
        <v>0.79759732195819733</v>
      </c>
      <c r="M32" s="372"/>
      <c r="N32" s="372"/>
      <c r="O32" s="372"/>
      <c r="P32" s="372"/>
    </row>
    <row r="33" spans="1:18" x14ac:dyDescent="0.2">
      <c r="A33" s="16" t="s">
        <v>157</v>
      </c>
      <c r="B33" s="25"/>
      <c r="C33" s="25">
        <f>'Nova&amp;ANG&amp;GLGT$'!C25+'Nova&amp;ANG&amp;GLGT$'!C26+'Nova&amp;ANG&amp;GLGT$'!C27+'Nova&amp;ANG&amp;GLGT$'!C23</f>
        <v>0.02</v>
      </c>
      <c r="D33" s="33">
        <f>'Fuel Ratio'!G33</f>
        <v>3.2641999999999997E-2</v>
      </c>
      <c r="E33" s="33"/>
      <c r="F33" s="25">
        <f>D33*$C$14</f>
        <v>0.12742965946285811</v>
      </c>
      <c r="G33" s="367"/>
      <c r="H33" s="26">
        <f>$F33+C33</f>
        <v>0.1474296594628581</v>
      </c>
      <c r="I33" s="26"/>
      <c r="J33" s="26"/>
      <c r="K33" s="26">
        <f>H33*$B$4/1.055056</f>
        <v>0.21259468213684146</v>
      </c>
      <c r="M33" s="372"/>
      <c r="N33" s="372"/>
      <c r="O33" s="372"/>
      <c r="P33" s="372"/>
    </row>
    <row r="34" spans="1:18" x14ac:dyDescent="0.2">
      <c r="A34" s="16" t="s">
        <v>159</v>
      </c>
      <c r="B34" s="25"/>
      <c r="C34" s="25">
        <f>'Nova&amp;ANG&amp;GLGT$'!C25+'Nova&amp;ANG&amp;GLGT$'!C26+'Nova&amp;ANG&amp;GLGT$'!C27+'Nova&amp;ANG&amp;GLGT$'!C23</f>
        <v>0.02</v>
      </c>
      <c r="D34" s="33">
        <f>'Fuel Ratio'!G34</f>
        <v>1.7346159999999999E-2</v>
      </c>
      <c r="E34" s="33"/>
      <c r="F34" s="25">
        <f>D34*$C$14</f>
        <v>6.7716906494340146E-2</v>
      </c>
      <c r="G34" s="367"/>
      <c r="H34" s="26">
        <f>$F34+C34</f>
        <v>8.7716906494340149E-2</v>
      </c>
      <c r="I34" s="26"/>
      <c r="J34" s="26"/>
      <c r="K34" s="26">
        <f>H34*$B$4/1.055056</f>
        <v>0.12648844148547536</v>
      </c>
      <c r="M34" s="372"/>
      <c r="N34" s="372"/>
      <c r="O34" s="372"/>
      <c r="P34" s="372"/>
    </row>
    <row r="35" spans="1:18" x14ac:dyDescent="0.2">
      <c r="A35" s="16" t="s">
        <v>161</v>
      </c>
      <c r="B35" s="25"/>
      <c r="C35" s="25">
        <f>'Nova&amp;ANG&amp;GLGT$'!C25+'Nova&amp;ANG&amp;GLGT$'!C26+'Nova&amp;ANG&amp;GLGT$'!C27+'Nova&amp;ANG&amp;GLGT$'!C23</f>
        <v>0.02</v>
      </c>
      <c r="D35" s="33">
        <f>'Fuel Ratio'!G35</f>
        <v>8.4776000000000001E-3</v>
      </c>
      <c r="E35" s="33"/>
      <c r="F35" s="25">
        <f>D35*$C$14</f>
        <v>3.3095327524732737E-2</v>
      </c>
      <c r="G35" s="367"/>
      <c r="H35" s="26">
        <f>$F35+C35</f>
        <v>5.3095327524732741E-2</v>
      </c>
      <c r="I35" s="26"/>
      <c r="J35" s="26"/>
      <c r="K35" s="26">
        <f>H35*$B$4/1.055056</f>
        <v>7.6563863195490675E-2</v>
      </c>
      <c r="M35" s="372"/>
      <c r="N35" s="372"/>
      <c r="O35" s="372"/>
      <c r="P35" s="372"/>
    </row>
    <row r="36" spans="1:18" x14ac:dyDescent="0.2">
      <c r="A36" s="16"/>
      <c r="B36" s="25"/>
      <c r="C36" s="25"/>
      <c r="D36" s="33"/>
      <c r="E36" s="33"/>
      <c r="F36" s="25"/>
      <c r="G36" s="367"/>
      <c r="H36" s="26"/>
      <c r="I36" s="26"/>
      <c r="J36" s="26"/>
      <c r="K36" s="26"/>
      <c r="M36" s="372"/>
      <c r="N36" s="372"/>
      <c r="O36" s="372"/>
      <c r="P36" s="372"/>
    </row>
    <row r="37" spans="1:18" x14ac:dyDescent="0.2">
      <c r="A37" s="16" t="s">
        <v>173</v>
      </c>
      <c r="B37" s="25"/>
      <c r="C37" s="25"/>
      <c r="D37" s="33">
        <f>'Fuel Ratio'!G36-'Fuel Ratio'!G14</f>
        <v>4.5049999999999993E-2</v>
      </c>
      <c r="E37" s="33"/>
      <c r="F37" s="25">
        <f>D37*$C$9</f>
        <v>0.15298139812738495</v>
      </c>
      <c r="G37" s="367">
        <f t="shared" ref="G37:G44" si="5">$F37+B37</f>
        <v>0.15298139812738495</v>
      </c>
      <c r="H37" s="26"/>
      <c r="I37" s="26"/>
      <c r="J37" s="26">
        <f t="shared" ref="J37:J44" si="6">G37*$B$4/1.055056</f>
        <v>0.22060033121038652</v>
      </c>
      <c r="K37" s="26"/>
      <c r="M37" s="372">
        <f>T5</f>
        <v>3.3958000000000004</v>
      </c>
      <c r="N37" s="372">
        <f>T8</f>
        <v>4.0007999999999999</v>
      </c>
      <c r="O37" s="372">
        <f>N37-M37</f>
        <v>0.60499999999999954</v>
      </c>
      <c r="P37" s="372">
        <f>O37-G37</f>
        <v>0.45201860187261456</v>
      </c>
      <c r="Q37" s="2" t="str">
        <f>IF(P37&lt;0,"ATTN!","")</f>
        <v/>
      </c>
      <c r="R37" s="2"/>
    </row>
    <row r="38" spans="1:18" x14ac:dyDescent="0.2">
      <c r="A38" s="362" t="s">
        <v>262</v>
      </c>
      <c r="B38" s="369">
        <f xml:space="preserve"> 0.04 /B4*1.055056</f>
        <v>2.773910579154781E-2</v>
      </c>
      <c r="C38" s="369">
        <f xml:space="preserve"> 0.04 /B4*1.055056</f>
        <v>2.773910579154781E-2</v>
      </c>
      <c r="D38" s="364">
        <f>'Fuel Ratio'!G36-'Fuel Ratio'!G8</f>
        <v>4.8894831754986975E-2</v>
      </c>
      <c r="E38" s="364"/>
      <c r="F38" s="363">
        <f>D38*$C$11</f>
        <v>0.17982598973011921</v>
      </c>
      <c r="G38" s="368">
        <f t="shared" si="5"/>
        <v>0.20756509552166702</v>
      </c>
      <c r="H38" s="365"/>
      <c r="I38" s="365"/>
      <c r="J38" s="365">
        <f t="shared" si="6"/>
        <v>0.29931043499594384</v>
      </c>
      <c r="K38" s="365"/>
      <c r="L38" s="374"/>
      <c r="M38" s="375">
        <f>T11</f>
        <v>3.6038433491082822</v>
      </c>
      <c r="N38" s="375">
        <f>T8</f>
        <v>4.0007999999999999</v>
      </c>
      <c r="O38" s="375">
        <f>N38-M38</f>
        <v>0.39695665089171772</v>
      </c>
      <c r="P38" s="375">
        <f>O38-G38</f>
        <v>0.1893915553700507</v>
      </c>
      <c r="Q38" s="2" t="str">
        <f>IF(P38&lt;0,"ATTN!","")</f>
        <v/>
      </c>
      <c r="R38" s="2"/>
    </row>
    <row r="39" spans="1:18" ht="20.25" customHeight="1" x14ac:dyDescent="0.2">
      <c r="A39" s="16" t="s">
        <v>111</v>
      </c>
      <c r="B39" s="25">
        <f>'PGT$'!B25+'PGT$'!B27+'PGT$'!B28</f>
        <v>1.3556169999999999E-2</v>
      </c>
      <c r="C39" s="25">
        <f>'PGT$'!B26+'PGT$'!B27+'PGT$'!B28</f>
        <v>0.16626838000000002</v>
      </c>
      <c r="D39" s="33">
        <f>'Fuel Ratio'!G18</f>
        <v>1.7653839534869098E-2</v>
      </c>
      <c r="E39" s="33"/>
      <c r="F39" s="25">
        <f>D39*$C$12</f>
        <v>6.4850118542803439E-2</v>
      </c>
      <c r="G39" s="367">
        <f t="shared" si="5"/>
        <v>7.8406288542803432E-2</v>
      </c>
      <c r="H39" s="26">
        <f t="shared" ref="H39:H44" si="7">$F39+C39</f>
        <v>0.23111849854280347</v>
      </c>
      <c r="I39" s="26"/>
      <c r="J39" s="26">
        <f t="shared" si="6"/>
        <v>0.11306246009803829</v>
      </c>
      <c r="K39" s="26">
        <f t="shared" ref="K39:K44" si="8">H39*$B$4/1.055056</f>
        <v>0.33327461999618746</v>
      </c>
      <c r="M39" s="372"/>
      <c r="N39" s="372"/>
      <c r="O39" s="372"/>
      <c r="P39" s="372"/>
    </row>
    <row r="40" spans="1:18" x14ac:dyDescent="0.2">
      <c r="A40" s="16" t="s">
        <v>107</v>
      </c>
      <c r="B40" s="25">
        <f>(1+'Fuel Ratio'!G14)*Westcoast!C11</f>
        <v>2.219248098176392E-3</v>
      </c>
      <c r="C40" s="25">
        <f>(1+'Fuel Ratio'!G14)*(Westcoast!C9+Westcoast!C11+Westcoast!C38+Westcoast!C44)+'Nova&amp;ANG&amp;GLGT$'!$C$8</f>
        <v>0.22156767450704073</v>
      </c>
      <c r="D40" s="33">
        <f>(1+'Fuel Ratio'!G14)*('Fuel Ratio'!G8+'Fuel Ratio'!G12)+'Fuel Ratio'!G14</f>
        <v>2.8580140196552185E-2</v>
      </c>
      <c r="E40" s="33"/>
      <c r="F40" s="25">
        <f>D40*$C$11</f>
        <v>0.1051123771777038</v>
      </c>
      <c r="G40" s="367">
        <f t="shared" si="5"/>
        <v>0.10733162527588019</v>
      </c>
      <c r="H40" s="26">
        <f t="shared" si="7"/>
        <v>0.32668005168474457</v>
      </c>
      <c r="I40" s="26"/>
      <c r="J40" s="26">
        <f t="shared" si="6"/>
        <v>0.15477301407255092</v>
      </c>
      <c r="K40" s="26">
        <f t="shared" si="8"/>
        <v>0.47107510117977197</v>
      </c>
      <c r="M40" s="372"/>
      <c r="N40" s="372"/>
      <c r="O40" s="372"/>
      <c r="P40" s="372"/>
    </row>
    <row r="41" spans="1:18" x14ac:dyDescent="0.2">
      <c r="A41" s="16" t="s">
        <v>108</v>
      </c>
      <c r="B41" s="25">
        <f>Westcoast!C32</f>
        <v>8.6405026484151007E-3</v>
      </c>
      <c r="C41" s="25">
        <f>Westcoast!C30+Westcoast!C32</f>
        <v>0.15969586783460574</v>
      </c>
      <c r="D41" s="33">
        <f>'Fuel Ratio'!G11</f>
        <v>3.5625517812758911E-2</v>
      </c>
      <c r="E41" s="33"/>
      <c r="F41" s="25">
        <f>D41*$C$11</f>
        <v>0.13102395018823129</v>
      </c>
      <c r="G41" s="367">
        <f t="shared" si="5"/>
        <v>0.13966445283664639</v>
      </c>
      <c r="H41" s="26">
        <f t="shared" si="7"/>
        <v>0.29071981802283703</v>
      </c>
      <c r="I41" s="26"/>
      <c r="J41" s="26">
        <f t="shared" si="6"/>
        <v>0.20139719554940025</v>
      </c>
      <c r="K41" s="26">
        <f t="shared" si="8"/>
        <v>0.41922017271576251</v>
      </c>
      <c r="M41" s="372"/>
      <c r="N41" s="372"/>
      <c r="O41" s="372"/>
      <c r="P41" s="372"/>
    </row>
    <row r="42" spans="1:18" x14ac:dyDescent="0.2">
      <c r="A42" s="362" t="s">
        <v>144</v>
      </c>
      <c r="B42" s="363">
        <f>(1+'Fuel Ratio'!G13)*(Westcoast!C32)+'NWP$'!B6+'NWP$'!B8+'NWP$'!B9</f>
        <v>4.794633328111661E-2</v>
      </c>
      <c r="C42" s="366">
        <f>(1+'Fuel Ratio'!G13)*(Westcoast!C32)+'NWP$'!B7+'NWP$'!B8+'NWP$'!B9</f>
        <v>0.3255463332811166</v>
      </c>
      <c r="D42" s="364">
        <f>(1+'Fuel Ratio'!G13)*'Fuel Ratio'!G11+'Fuel Ratio'!G13</f>
        <v>4.8310069655591675E-2</v>
      </c>
      <c r="E42" s="364"/>
      <c r="F42" s="363">
        <f>D42*$C$11</f>
        <v>0.17767534477428096</v>
      </c>
      <c r="G42" s="368">
        <f t="shared" si="5"/>
        <v>0.22562167805539757</v>
      </c>
      <c r="H42" s="365">
        <f t="shared" si="7"/>
        <v>0.50322167805539753</v>
      </c>
      <c r="I42" s="365"/>
      <c r="J42" s="365">
        <f t="shared" si="6"/>
        <v>0.3253481633487193</v>
      </c>
      <c r="K42" s="365">
        <f t="shared" si="8"/>
        <v>0.72564945941225067</v>
      </c>
      <c r="L42" s="374"/>
      <c r="M42" s="375"/>
      <c r="N42" s="375"/>
      <c r="O42" s="375"/>
      <c r="P42" s="375"/>
    </row>
    <row r="43" spans="1:18" x14ac:dyDescent="0.2">
      <c r="A43" s="16" t="s">
        <v>145</v>
      </c>
      <c r="B43" s="25">
        <f>+'NWP$'!B6+'NWP$'!B8+'NWP$'!B9</f>
        <v>3.9199999999999999E-2</v>
      </c>
      <c r="C43" s="34">
        <f>+'NWP$'!B7+'NWP$'!B8+'NWP$'!B9</f>
        <v>0.31679999999999997</v>
      </c>
      <c r="D43" s="33">
        <f>+'Fuel Ratio'!G13</f>
        <v>1.2248203259439316E-2</v>
      </c>
      <c r="E43" s="33"/>
      <c r="F43" s="25">
        <f>D43*$C$13</f>
        <v>4.4992899801888947E-2</v>
      </c>
      <c r="G43" s="367">
        <f t="shared" si="5"/>
        <v>8.4192899801888946E-2</v>
      </c>
      <c r="H43" s="26">
        <f t="shared" si="7"/>
        <v>0.36179289980188889</v>
      </c>
      <c r="I43" s="26"/>
      <c r="J43" s="26">
        <f t="shared" si="6"/>
        <v>0.12140679722638037</v>
      </c>
      <c r="K43" s="26">
        <f t="shared" si="8"/>
        <v>0.52170809328991175</v>
      </c>
      <c r="M43" s="372"/>
      <c r="N43" s="372"/>
      <c r="O43" s="372"/>
      <c r="P43" s="372"/>
    </row>
    <row r="44" spans="1:18" x14ac:dyDescent="0.2">
      <c r="A44" s="16" t="s">
        <v>112</v>
      </c>
      <c r="B44" s="25">
        <f>Westcoast!C11</f>
        <v>2.1944508040901731E-3</v>
      </c>
      <c r="C44" s="25">
        <f>('Fuel Ratio'!G8+1)*WinterSum!B5+Westcoast!C9+Westcoast!C11+Westcoast!C38</f>
        <v>0.16220040559072488</v>
      </c>
      <c r="D44" s="33">
        <f>'Fuel Ratio'!G8</f>
        <v>7.4551682450130219E-3</v>
      </c>
      <c r="E44" s="33"/>
      <c r="F44" s="25">
        <f>D44*$C$10</f>
        <v>2.6078934859425001E-2</v>
      </c>
      <c r="G44" s="367">
        <f t="shared" si="5"/>
        <v>2.8273385663515175E-2</v>
      </c>
      <c r="H44" s="26">
        <f t="shared" si="7"/>
        <v>0.18827934045014988</v>
      </c>
      <c r="I44" s="26"/>
      <c r="J44" s="26">
        <f t="shared" si="6"/>
        <v>4.0770435609543208E-2</v>
      </c>
      <c r="K44" s="26">
        <f t="shared" si="8"/>
        <v>0.27150023056261485</v>
      </c>
    </row>
    <row r="45" spans="1:18" x14ac:dyDescent="0.2">
      <c r="A45" s="16"/>
      <c r="B45" s="25"/>
      <c r="C45" s="25"/>
      <c r="D45" s="33"/>
      <c r="E45" s="33"/>
      <c r="F45" s="25"/>
      <c r="G45" s="26"/>
      <c r="H45" s="26"/>
      <c r="I45" s="26"/>
      <c r="J45" s="26"/>
      <c r="K45" s="26"/>
    </row>
    <row r="46" spans="1:18" x14ac:dyDescent="0.2">
      <c r="A46" t="s">
        <v>115</v>
      </c>
    </row>
    <row r="47" spans="1:18" x14ac:dyDescent="0.2">
      <c r="A47" t="s">
        <v>110</v>
      </c>
    </row>
    <row r="48" spans="1:18" x14ac:dyDescent="0.2">
      <c r="A48" t="s">
        <v>135</v>
      </c>
    </row>
    <row r="49" spans="1:1" x14ac:dyDescent="0.2">
      <c r="A49" t="s">
        <v>125</v>
      </c>
    </row>
    <row r="50" spans="1:1" x14ac:dyDescent="0.2">
      <c r="A50" t="s">
        <v>151</v>
      </c>
    </row>
  </sheetData>
  <phoneticPr fontId="0" type="noConversion"/>
  <pageMargins left="0.42" right="0.33" top="0.63" bottom="0.54" header="0.5" footer="0.5"/>
  <pageSetup scale="7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N15" sqref="N15"/>
    </sheetView>
  </sheetViews>
  <sheetFormatPr defaultRowHeight="12.75" x14ac:dyDescent="0.2"/>
  <sheetData>
    <row r="1" spans="1:13" x14ac:dyDescent="0.2">
      <c r="A1" s="2" t="s">
        <v>340</v>
      </c>
      <c r="D1" s="2" t="s">
        <v>345</v>
      </c>
    </row>
    <row r="2" spans="1:13" x14ac:dyDescent="0.2">
      <c r="A2" s="2" t="s">
        <v>1</v>
      </c>
    </row>
    <row r="3" spans="1:13" x14ac:dyDescent="0.2">
      <c r="B3" t="s">
        <v>327</v>
      </c>
      <c r="C3" t="s">
        <v>328</v>
      </c>
      <c r="D3" t="s">
        <v>329</v>
      </c>
      <c r="E3" t="s">
        <v>330</v>
      </c>
      <c r="F3" t="s">
        <v>331</v>
      </c>
      <c r="G3" t="s">
        <v>332</v>
      </c>
      <c r="H3" t="s">
        <v>333</v>
      </c>
      <c r="I3" t="s">
        <v>334</v>
      </c>
      <c r="J3" t="s">
        <v>335</v>
      </c>
      <c r="K3" t="s">
        <v>336</v>
      </c>
      <c r="L3" t="s">
        <v>337</v>
      </c>
      <c r="M3" t="s">
        <v>338</v>
      </c>
    </row>
    <row r="4" spans="1:13" x14ac:dyDescent="0.2">
      <c r="A4">
        <v>1997</v>
      </c>
      <c r="B4">
        <v>0.14754</v>
      </c>
      <c r="C4">
        <v>0.14310999999999999</v>
      </c>
      <c r="D4">
        <v>0.16092999999999999</v>
      </c>
      <c r="E4">
        <v>0.12371</v>
      </c>
      <c r="F4">
        <v>0.11197</v>
      </c>
      <c r="G4">
        <v>0.10763</v>
      </c>
      <c r="H4">
        <v>0.1137</v>
      </c>
      <c r="I4">
        <v>0.11976000000000001</v>
      </c>
      <c r="J4">
        <v>0.10481</v>
      </c>
      <c r="K4">
        <v>0.11334</v>
      </c>
      <c r="L4">
        <v>0.16675999999999999</v>
      </c>
      <c r="M4">
        <v>0.19414000000000001</v>
      </c>
    </row>
    <row r="5" spans="1:13" x14ac:dyDescent="0.2">
      <c r="A5">
        <v>1998</v>
      </c>
      <c r="B5">
        <v>0.18135000000000001</v>
      </c>
      <c r="C5">
        <v>0.17115</v>
      </c>
      <c r="D5">
        <v>0.16162000000000001</v>
      </c>
      <c r="E5">
        <v>0.13653999999999999</v>
      </c>
      <c r="F5">
        <v>7.9839999999999994E-2</v>
      </c>
      <c r="G5">
        <v>9.3229999999999993E-2</v>
      </c>
      <c r="H5">
        <v>0.15264</v>
      </c>
      <c r="I5">
        <v>7.714E-2</v>
      </c>
      <c r="J5">
        <v>0.87070000000000003</v>
      </c>
      <c r="K5">
        <v>0.13031999999999999</v>
      </c>
      <c r="L5">
        <v>0.14757000000000001</v>
      </c>
      <c r="M5">
        <v>0.16308</v>
      </c>
    </row>
    <row r="6" spans="1:13" x14ac:dyDescent="0.2">
      <c r="A6">
        <v>1999</v>
      </c>
      <c r="B6">
        <v>0.16803999999999999</v>
      </c>
      <c r="C6">
        <v>0.15276999999999999</v>
      </c>
      <c r="D6">
        <v>0.15775</v>
      </c>
      <c r="E6">
        <v>0.19800999999999999</v>
      </c>
      <c r="F6">
        <v>0.13447999999999999</v>
      </c>
      <c r="G6">
        <v>9.5619999999999997E-2</v>
      </c>
      <c r="H6">
        <v>0.18421999999999999</v>
      </c>
      <c r="I6">
        <v>0.1234</v>
      </c>
      <c r="J6">
        <v>0.13689999999999999</v>
      </c>
      <c r="K6">
        <v>0.13969999999999999</v>
      </c>
      <c r="L6">
        <v>0.17879999999999999</v>
      </c>
      <c r="M6">
        <v>0.20560999999999999</v>
      </c>
    </row>
    <row r="7" spans="1:13" x14ac:dyDescent="0.2">
      <c r="A7">
        <v>2000</v>
      </c>
      <c r="B7">
        <v>0.18820000000000001</v>
      </c>
      <c r="C7">
        <v>0.18439</v>
      </c>
      <c r="D7">
        <v>0.15226000000000001</v>
      </c>
      <c r="E7">
        <v>0.11098</v>
      </c>
      <c r="F7">
        <v>0.12506</v>
      </c>
      <c r="G7">
        <v>0.12708</v>
      </c>
      <c r="H7">
        <v>6.7059999999999995E-2</v>
      </c>
      <c r="I7">
        <v>0.13514999999999999</v>
      </c>
      <c r="J7">
        <v>0.13345000000000001</v>
      </c>
      <c r="K7">
        <v>0.123</v>
      </c>
      <c r="L7">
        <v>0.17815</v>
      </c>
      <c r="M7">
        <v>0.16986999999999999</v>
      </c>
    </row>
    <row r="8" spans="1:13" x14ac:dyDescent="0.2">
      <c r="A8">
        <v>2001</v>
      </c>
      <c r="B8">
        <v>0.17183999999999999</v>
      </c>
      <c r="C8">
        <v>0.19103999999999999</v>
      </c>
      <c r="D8">
        <v>0.17953</v>
      </c>
      <c r="E8">
        <v>0.14047999999999999</v>
      </c>
      <c r="F8">
        <v>0.13517000000000001</v>
      </c>
      <c r="G8" s="2">
        <f>G10+(F8-F10)</f>
        <v>0.123756</v>
      </c>
    </row>
    <row r="10" spans="1:13" x14ac:dyDescent="0.2">
      <c r="A10" s="391" t="s">
        <v>339</v>
      </c>
      <c r="B10">
        <f>AVERAGE(B4:B8)</f>
        <v>0.17139399999999999</v>
      </c>
      <c r="C10">
        <f t="shared" ref="C10:M10" si="0">AVERAGE(C4:C8)</f>
        <v>0.16849199999999998</v>
      </c>
      <c r="D10">
        <f t="shared" si="0"/>
        <v>0.16241800000000001</v>
      </c>
      <c r="E10">
        <f t="shared" si="0"/>
        <v>0.14194399999999999</v>
      </c>
      <c r="F10">
        <f t="shared" si="0"/>
        <v>0.11730399999999999</v>
      </c>
      <c r="G10">
        <f>AVERAGE(G4:G7)</f>
        <v>0.10588999999999998</v>
      </c>
      <c r="H10">
        <f t="shared" si="0"/>
        <v>0.12940499999999999</v>
      </c>
      <c r="I10">
        <f t="shared" si="0"/>
        <v>0.11386250000000001</v>
      </c>
      <c r="J10">
        <f t="shared" si="0"/>
        <v>0.31146499999999999</v>
      </c>
      <c r="K10">
        <f t="shared" si="0"/>
        <v>0.12658999999999998</v>
      </c>
      <c r="L10">
        <f t="shared" si="0"/>
        <v>0.16782</v>
      </c>
      <c r="M10">
        <f t="shared" si="0"/>
        <v>0.18317499999999998</v>
      </c>
    </row>
    <row r="11" spans="1:13" x14ac:dyDescent="0.2">
      <c r="A11" s="391"/>
    </row>
    <row r="13" spans="1:13" x14ac:dyDescent="0.2">
      <c r="A13" s="2" t="s">
        <v>341</v>
      </c>
    </row>
    <row r="14" spans="1:13" x14ac:dyDescent="0.2">
      <c r="B14" t="s">
        <v>327</v>
      </c>
      <c r="C14" t="s">
        <v>328</v>
      </c>
      <c r="D14" t="s">
        <v>329</v>
      </c>
      <c r="E14" t="s">
        <v>330</v>
      </c>
      <c r="F14" t="s">
        <v>331</v>
      </c>
      <c r="G14" t="s">
        <v>332</v>
      </c>
      <c r="H14" t="s">
        <v>333</v>
      </c>
      <c r="I14" t="s">
        <v>334</v>
      </c>
      <c r="J14" t="s">
        <v>335</v>
      </c>
      <c r="K14" t="s">
        <v>336</v>
      </c>
      <c r="L14" t="s">
        <v>337</v>
      </c>
      <c r="M14" t="s">
        <v>338</v>
      </c>
    </row>
    <row r="15" spans="1:13" x14ac:dyDescent="0.2">
      <c r="A15">
        <v>1997</v>
      </c>
      <c r="B15">
        <v>0.18265000000000001</v>
      </c>
      <c r="C15">
        <v>0.15703</v>
      </c>
      <c r="D15">
        <v>0.17849000000000001</v>
      </c>
      <c r="E15">
        <v>0.13136999999999999</v>
      </c>
      <c r="F15">
        <v>0.10763</v>
      </c>
      <c r="G15">
        <v>9.7799999999999998E-2</v>
      </c>
      <c r="H15">
        <v>8.7809999999999999E-2</v>
      </c>
      <c r="I15">
        <v>8.634E-2</v>
      </c>
      <c r="J15">
        <v>0.11026</v>
      </c>
      <c r="K15">
        <v>0.13697999999999999</v>
      </c>
      <c r="L15">
        <v>0.15174000000000001</v>
      </c>
      <c r="M15">
        <v>0.18373</v>
      </c>
    </row>
    <row r="16" spans="1:13" x14ac:dyDescent="0.2">
      <c r="A16">
        <v>1998</v>
      </c>
      <c r="B16">
        <v>0.19324</v>
      </c>
      <c r="C16">
        <v>0.17482</v>
      </c>
      <c r="D16">
        <v>0.16223000000000001</v>
      </c>
      <c r="E16">
        <v>0.13059999999999999</v>
      </c>
      <c r="F16">
        <v>0.10657999999999999</v>
      </c>
      <c r="G16">
        <v>0.10648000000000001</v>
      </c>
      <c r="H16">
        <v>0.10607</v>
      </c>
      <c r="I16">
        <v>0.13922000000000001</v>
      </c>
      <c r="J16">
        <v>0.13314999999999999</v>
      </c>
      <c r="K16">
        <v>0.14246</v>
      </c>
      <c r="L16">
        <v>0.16206999999999999</v>
      </c>
      <c r="M16">
        <v>0.16611999999999999</v>
      </c>
    </row>
    <row r="17" spans="1:13" x14ac:dyDescent="0.2">
      <c r="A17">
        <v>1999</v>
      </c>
      <c r="B17">
        <v>0.16181000000000001</v>
      </c>
      <c r="C17">
        <v>0.13743</v>
      </c>
      <c r="D17">
        <v>0.16361000000000001</v>
      </c>
      <c r="E17">
        <v>0.12429999999999999</v>
      </c>
      <c r="F17">
        <v>0.12365</v>
      </c>
      <c r="G17">
        <v>9.4729999999999995E-2</v>
      </c>
      <c r="H17">
        <v>9.6320000000000003E-2</v>
      </c>
      <c r="I17">
        <v>8.6260000000000003E-2</v>
      </c>
      <c r="J17">
        <v>0.11583</v>
      </c>
      <c r="K17">
        <v>0.12534999999999999</v>
      </c>
      <c r="L17">
        <v>0.15362999999999999</v>
      </c>
      <c r="M17">
        <v>0.17763999999999999</v>
      </c>
    </row>
    <row r="18" spans="1:13" x14ac:dyDescent="0.2">
      <c r="A18">
        <v>2000</v>
      </c>
      <c r="B18">
        <v>0.16650000000000001</v>
      </c>
      <c r="C18">
        <v>0.16489999999999999</v>
      </c>
      <c r="D18">
        <v>0.15623000000000001</v>
      </c>
      <c r="E18">
        <v>0.11643000000000001</v>
      </c>
      <c r="F18">
        <v>0.11533</v>
      </c>
      <c r="G18">
        <v>9.8589999999999997E-2</v>
      </c>
      <c r="H18">
        <v>8.2479999999999998E-2</v>
      </c>
      <c r="I18">
        <v>0.12248000000000001</v>
      </c>
      <c r="J18">
        <v>0.13108</v>
      </c>
      <c r="K18">
        <v>0.14535000000000001</v>
      </c>
      <c r="L18">
        <v>0.19422</v>
      </c>
      <c r="M18">
        <v>0.19108</v>
      </c>
    </row>
    <row r="19" spans="1:13" x14ac:dyDescent="0.2">
      <c r="A19">
        <v>2001</v>
      </c>
      <c r="B19">
        <v>0.17130999999999999</v>
      </c>
      <c r="C19">
        <v>0.18082999999999999</v>
      </c>
      <c r="D19">
        <v>0.14729999999999999</v>
      </c>
      <c r="E19">
        <v>0.12202</v>
      </c>
      <c r="F19">
        <v>0.12413</v>
      </c>
      <c r="G19" s="2">
        <f>G21+(F19-F21)</f>
        <v>0.10806600000000002</v>
      </c>
    </row>
    <row r="21" spans="1:13" x14ac:dyDescent="0.2">
      <c r="A21" s="391" t="s">
        <v>339</v>
      </c>
      <c r="B21">
        <f>AVERAGE(B15:B19)</f>
        <v>0.17510200000000001</v>
      </c>
      <c r="C21">
        <f>AVERAGE(C15:C19)</f>
        <v>0.16300200000000001</v>
      </c>
      <c r="D21">
        <f>AVERAGE(D15:D19)</f>
        <v>0.16157199999999999</v>
      </c>
      <c r="E21">
        <f>AVERAGE(E15:E19)</f>
        <v>0.12494400000000001</v>
      </c>
      <c r="F21">
        <f>AVERAGE(F15:F19)</f>
        <v>0.11546399999999998</v>
      </c>
      <c r="G21">
        <f>AVERAGE(G15:G18)</f>
        <v>9.9400000000000002E-2</v>
      </c>
      <c r="H21">
        <f t="shared" ref="H21:M21" si="1">AVERAGE(H15:H18)</f>
        <v>9.3170000000000003E-2</v>
      </c>
      <c r="I21">
        <f t="shared" si="1"/>
        <v>0.108575</v>
      </c>
      <c r="J21">
        <f t="shared" si="1"/>
        <v>0.12257999999999999</v>
      </c>
      <c r="K21">
        <f t="shared" si="1"/>
        <v>0.13753499999999999</v>
      </c>
      <c r="L21">
        <f t="shared" si="1"/>
        <v>0.16541500000000001</v>
      </c>
      <c r="M21">
        <f t="shared" si="1"/>
        <v>0.17964250000000001</v>
      </c>
    </row>
    <row r="23" spans="1:13" x14ac:dyDescent="0.2">
      <c r="A23" s="2" t="s">
        <v>342</v>
      </c>
    </row>
    <row r="24" spans="1:13" x14ac:dyDescent="0.2">
      <c r="B24" t="s">
        <v>327</v>
      </c>
      <c r="C24" t="s">
        <v>328</v>
      </c>
      <c r="D24" t="s">
        <v>329</v>
      </c>
      <c r="E24" t="s">
        <v>330</v>
      </c>
      <c r="F24" t="s">
        <v>331</v>
      </c>
      <c r="G24" t="s">
        <v>332</v>
      </c>
      <c r="H24" t="s">
        <v>333</v>
      </c>
      <c r="I24" t="s">
        <v>334</v>
      </c>
      <c r="J24" t="s">
        <v>335</v>
      </c>
      <c r="K24" t="s">
        <v>336</v>
      </c>
      <c r="L24" t="s">
        <v>337</v>
      </c>
      <c r="M24" t="s">
        <v>338</v>
      </c>
    </row>
    <row r="25" spans="1:13" x14ac:dyDescent="0.2">
      <c r="A25">
        <v>1997</v>
      </c>
      <c r="B25">
        <v>0.45750999999999997</v>
      </c>
      <c r="C25">
        <v>0.39334000000000002</v>
      </c>
      <c r="D25">
        <v>0.44707999999999998</v>
      </c>
      <c r="E25">
        <v>0.32906000000000002</v>
      </c>
      <c r="F25">
        <v>0.26960000000000001</v>
      </c>
      <c r="G25">
        <v>0.22498000000000001</v>
      </c>
      <c r="H25">
        <v>0.21994</v>
      </c>
      <c r="I25">
        <v>0.21625</v>
      </c>
      <c r="J25">
        <v>0.27617000000000003</v>
      </c>
      <c r="K25">
        <v>0.34310000000000002</v>
      </c>
      <c r="L25">
        <v>0.38007999999999997</v>
      </c>
      <c r="M25">
        <v>0.46021000000000001</v>
      </c>
    </row>
    <row r="26" spans="1:13" x14ac:dyDescent="0.2">
      <c r="A26">
        <v>1998</v>
      </c>
      <c r="B26">
        <v>0.48404000000000003</v>
      </c>
      <c r="C26">
        <v>0.43790000000000001</v>
      </c>
      <c r="D26">
        <v>0.40636</v>
      </c>
      <c r="E26">
        <v>0.32713999999999999</v>
      </c>
      <c r="F26">
        <v>0.26695999999999998</v>
      </c>
      <c r="G26">
        <v>0.26672000000000001</v>
      </c>
      <c r="H26">
        <v>0.26568000000000003</v>
      </c>
      <c r="I26">
        <v>0.34872999999999998</v>
      </c>
      <c r="J26">
        <v>0.33352999999999999</v>
      </c>
      <c r="K26">
        <v>0.35682999999999998</v>
      </c>
      <c r="L26">
        <v>0.40594000000000002</v>
      </c>
      <c r="M26">
        <v>0.41609000000000002</v>
      </c>
    </row>
    <row r="27" spans="1:13" x14ac:dyDescent="0.2">
      <c r="A27">
        <v>1999</v>
      </c>
      <c r="B27">
        <v>0.40531</v>
      </c>
      <c r="C27">
        <v>0.34422999999999998</v>
      </c>
      <c r="D27">
        <v>0.40981000000000001</v>
      </c>
      <c r="E27">
        <v>0.31135000000000002</v>
      </c>
      <c r="F27">
        <v>0.30973000000000001</v>
      </c>
      <c r="G27">
        <v>0.23727000000000001</v>
      </c>
      <c r="H27">
        <v>0.24127000000000001</v>
      </c>
      <c r="I27">
        <v>0.21606</v>
      </c>
      <c r="J27">
        <v>0.29014000000000001</v>
      </c>
      <c r="K27">
        <v>0.31398999999999999</v>
      </c>
      <c r="L27">
        <v>0.38480999999999999</v>
      </c>
      <c r="M27">
        <v>0.44496999999999998</v>
      </c>
    </row>
    <row r="28" spans="1:13" x14ac:dyDescent="0.2">
      <c r="A28">
        <v>2000</v>
      </c>
      <c r="B28">
        <v>0.41704000000000002</v>
      </c>
      <c r="C28">
        <v>0.41304000000000002</v>
      </c>
      <c r="D28">
        <v>0.39134000000000002</v>
      </c>
      <c r="E28">
        <v>0.29165000000000002</v>
      </c>
      <c r="F28">
        <v>0.28887000000000002</v>
      </c>
      <c r="G28">
        <v>0.24695</v>
      </c>
      <c r="H28">
        <v>0.20660000000000001</v>
      </c>
      <c r="I28">
        <v>0.30679000000000001</v>
      </c>
      <c r="J28">
        <v>0.32834000000000002</v>
      </c>
      <c r="K28">
        <v>0.36407</v>
      </c>
      <c r="L28">
        <v>0.48648999999999998</v>
      </c>
      <c r="M28">
        <v>0.47861999999999999</v>
      </c>
    </row>
    <row r="29" spans="1:13" x14ac:dyDescent="0.2">
      <c r="A29">
        <v>2001</v>
      </c>
      <c r="B29">
        <v>0.42909999999999998</v>
      </c>
      <c r="C29">
        <v>0.45295000000000002</v>
      </c>
      <c r="D29">
        <v>0.36895</v>
      </c>
      <c r="E29">
        <v>0.30564000000000002</v>
      </c>
      <c r="F29">
        <v>0.31091000000000002</v>
      </c>
      <c r="G29" s="2">
        <f>G28+(F29-F31)</f>
        <v>0.26864600000000005</v>
      </c>
    </row>
    <row r="31" spans="1:13" x14ac:dyDescent="0.2">
      <c r="A31" s="391" t="s">
        <v>339</v>
      </c>
      <c r="B31">
        <f>AVERAGE(B25:B29)</f>
        <v>0.43859999999999999</v>
      </c>
      <c r="C31">
        <f>AVERAGE(C25:C29)</f>
        <v>0.40829200000000004</v>
      </c>
      <c r="D31">
        <f>AVERAGE(D25:D29)</f>
        <v>0.40470800000000001</v>
      </c>
      <c r="E31">
        <f>AVERAGE(E25:E29)</f>
        <v>0.31296800000000002</v>
      </c>
      <c r="F31">
        <f>AVERAGE(F25:F29)</f>
        <v>0.28921399999999997</v>
      </c>
      <c r="G31">
        <f>AVERAGE(G25:G28)</f>
        <v>0.24398</v>
      </c>
      <c r="H31">
        <f t="shared" ref="H31:M31" si="2">AVERAGE(H25:H28)</f>
        <v>0.23337250000000001</v>
      </c>
      <c r="I31">
        <f t="shared" si="2"/>
        <v>0.27195750000000002</v>
      </c>
      <c r="J31">
        <f t="shared" si="2"/>
        <v>0.30704500000000001</v>
      </c>
      <c r="K31">
        <f t="shared" si="2"/>
        <v>0.34449750000000001</v>
      </c>
      <c r="L31">
        <f t="shared" si="2"/>
        <v>0.41432999999999998</v>
      </c>
      <c r="M31">
        <f t="shared" si="2"/>
        <v>0.44997250000000005</v>
      </c>
    </row>
    <row r="33" spans="1:13" x14ac:dyDescent="0.2">
      <c r="A33" s="2" t="s">
        <v>343</v>
      </c>
    </row>
    <row r="34" spans="1:13" x14ac:dyDescent="0.2">
      <c r="B34" t="s">
        <v>327</v>
      </c>
      <c r="C34" t="s">
        <v>328</v>
      </c>
      <c r="D34" t="s">
        <v>329</v>
      </c>
      <c r="E34" t="s">
        <v>330</v>
      </c>
      <c r="F34" t="s">
        <v>331</v>
      </c>
      <c r="G34" t="s">
        <v>332</v>
      </c>
      <c r="H34" t="s">
        <v>333</v>
      </c>
      <c r="I34" t="s">
        <v>334</v>
      </c>
      <c r="J34" t="s">
        <v>335</v>
      </c>
      <c r="K34" t="s">
        <v>336</v>
      </c>
      <c r="L34" t="s">
        <v>337</v>
      </c>
      <c r="M34" t="s">
        <v>338</v>
      </c>
    </row>
    <row r="35" spans="1:13" x14ac:dyDescent="0.2">
      <c r="A35">
        <v>1997</v>
      </c>
      <c r="B35">
        <v>0.80733999999999995</v>
      </c>
      <c r="C35">
        <v>0.69410000000000005</v>
      </c>
      <c r="D35">
        <v>0.78891999999999995</v>
      </c>
      <c r="E35">
        <v>0.58065999999999995</v>
      </c>
      <c r="F35">
        <v>0.47572999999999999</v>
      </c>
      <c r="G35">
        <v>0.43230000000000002</v>
      </c>
      <c r="H35">
        <v>0.38109999999999999</v>
      </c>
      <c r="I35">
        <v>0.38159999999999999</v>
      </c>
      <c r="J35">
        <v>0.48734</v>
      </c>
      <c r="K35">
        <v>0.60543999999999998</v>
      </c>
      <c r="L35">
        <v>0.67069999999999996</v>
      </c>
      <c r="M35">
        <v>0.81210000000000004</v>
      </c>
    </row>
    <row r="36" spans="1:13" x14ac:dyDescent="0.2">
      <c r="A36">
        <v>1998</v>
      </c>
      <c r="B36">
        <v>0.85414999999999996</v>
      </c>
      <c r="C36">
        <v>0.77273000000000003</v>
      </c>
      <c r="D36">
        <v>0.71706000000000003</v>
      </c>
      <c r="E36">
        <v>0.57726999999999995</v>
      </c>
      <c r="F36">
        <v>0.47077000000000002</v>
      </c>
      <c r="G36">
        <v>0.47033999999999998</v>
      </c>
      <c r="H36">
        <v>0.46850999999999998</v>
      </c>
      <c r="I36">
        <v>0.61497000000000002</v>
      </c>
      <c r="J36">
        <v>0.58816000000000002</v>
      </c>
      <c r="K36">
        <v>0.62926000000000004</v>
      </c>
      <c r="L36">
        <v>0.71587000000000001</v>
      </c>
      <c r="M36">
        <v>0.73375999999999997</v>
      </c>
    </row>
    <row r="37" spans="1:13" x14ac:dyDescent="0.2">
      <c r="A37">
        <v>1999</v>
      </c>
      <c r="B37">
        <v>0.71474000000000004</v>
      </c>
      <c r="C37">
        <v>0.60702999999999996</v>
      </c>
      <c r="D37">
        <v>0.72267999999999999</v>
      </c>
      <c r="E37">
        <v>0.54905000000000004</v>
      </c>
      <c r="F37">
        <v>0.54618999999999995</v>
      </c>
      <c r="G37">
        <v>0.41842000000000001</v>
      </c>
      <c r="H37">
        <v>0.42548000000000002</v>
      </c>
      <c r="I37">
        <v>0.38101000000000002</v>
      </c>
      <c r="J37">
        <v>0.51165000000000005</v>
      </c>
      <c r="K37">
        <v>0.55371000000000004</v>
      </c>
      <c r="L37">
        <v>0.67859000000000003</v>
      </c>
      <c r="M37">
        <v>0.78468000000000004</v>
      </c>
    </row>
    <row r="38" spans="1:13" x14ac:dyDescent="0.2">
      <c r="A38">
        <v>2000</v>
      </c>
      <c r="B38">
        <v>0.73543999999999998</v>
      </c>
      <c r="C38">
        <v>0.72838000000000003</v>
      </c>
      <c r="D38">
        <v>0.69011</v>
      </c>
      <c r="E38">
        <v>0.51431000000000004</v>
      </c>
      <c r="F38">
        <v>0.50941000000000003</v>
      </c>
      <c r="G38">
        <v>0.43548999999999999</v>
      </c>
      <c r="H38">
        <v>0.36434</v>
      </c>
      <c r="I38">
        <v>0.54100999999999999</v>
      </c>
      <c r="J38">
        <v>0.57901000000000002</v>
      </c>
      <c r="K38">
        <v>0.64202999999999999</v>
      </c>
      <c r="L38">
        <v>0.85792000000000002</v>
      </c>
      <c r="M38">
        <v>0.84402999999999995</v>
      </c>
    </row>
    <row r="39" spans="1:13" x14ac:dyDescent="0.2">
      <c r="A39">
        <v>2001</v>
      </c>
      <c r="B39">
        <v>0.75670000000000004</v>
      </c>
      <c r="C39">
        <v>0.79876999999999998</v>
      </c>
      <c r="D39">
        <v>0.65063000000000004</v>
      </c>
      <c r="E39">
        <v>0.53898000000000001</v>
      </c>
      <c r="F39">
        <v>0.54827999999999999</v>
      </c>
      <c r="G39" s="2">
        <f>G41+(F39-F41)</f>
        <v>0.47734150000000003</v>
      </c>
    </row>
    <row r="41" spans="1:13" x14ac:dyDescent="0.2">
      <c r="A41" s="391" t="s">
        <v>339</v>
      </c>
      <c r="B41">
        <f>AVERAGE(B35:B39)</f>
        <v>0.77367399999999997</v>
      </c>
      <c r="C41">
        <f>AVERAGE(C35:C39)</f>
        <v>0.7202019999999999</v>
      </c>
      <c r="D41">
        <f>AVERAGE(D35:D39)</f>
        <v>0.71388000000000007</v>
      </c>
      <c r="E41">
        <f>AVERAGE(E35:E39)</f>
        <v>0.55205399999999993</v>
      </c>
      <c r="F41">
        <f>AVERAGE(F35:F39)</f>
        <v>0.51007599999999997</v>
      </c>
      <c r="G41">
        <f>AVERAGE(G35:G38)</f>
        <v>0.43913750000000001</v>
      </c>
      <c r="H41">
        <f t="shared" ref="H41:M41" si="3">AVERAGE(H35:H38)</f>
        <v>0.40985749999999999</v>
      </c>
      <c r="I41">
        <f t="shared" si="3"/>
        <v>0.4796475</v>
      </c>
      <c r="J41">
        <f t="shared" si="3"/>
        <v>0.54153999999999991</v>
      </c>
      <c r="K41">
        <f t="shared" si="3"/>
        <v>0.60761000000000009</v>
      </c>
      <c r="L41">
        <f t="shared" si="3"/>
        <v>0.73076999999999992</v>
      </c>
      <c r="M41">
        <f t="shared" si="3"/>
        <v>0.79364250000000003</v>
      </c>
    </row>
    <row r="43" spans="1:13" x14ac:dyDescent="0.2">
      <c r="A43" s="73" t="s">
        <v>22</v>
      </c>
      <c r="B43" s="392"/>
      <c r="C43" s="392"/>
    </row>
    <row r="44" spans="1:13" x14ac:dyDescent="0.2">
      <c r="B44" t="s">
        <v>327</v>
      </c>
      <c r="C44" t="s">
        <v>328</v>
      </c>
      <c r="D44" t="s">
        <v>329</v>
      </c>
      <c r="E44" t="s">
        <v>330</v>
      </c>
      <c r="F44" t="s">
        <v>331</v>
      </c>
      <c r="G44" t="s">
        <v>332</v>
      </c>
      <c r="H44" t="s">
        <v>333</v>
      </c>
      <c r="I44" t="s">
        <v>334</v>
      </c>
      <c r="J44" t="s">
        <v>335</v>
      </c>
      <c r="K44" t="s">
        <v>336</v>
      </c>
      <c r="L44" t="s">
        <v>337</v>
      </c>
      <c r="M44" t="s">
        <v>338</v>
      </c>
    </row>
    <row r="45" spans="1:13" x14ac:dyDescent="0.2">
      <c r="A45">
        <v>1997</v>
      </c>
    </row>
    <row r="46" spans="1:13" x14ac:dyDescent="0.2">
      <c r="A46">
        <v>1998</v>
      </c>
    </row>
    <row r="47" spans="1:13" x14ac:dyDescent="0.2">
      <c r="A47">
        <v>1999</v>
      </c>
    </row>
    <row r="48" spans="1:13" x14ac:dyDescent="0.2">
      <c r="A48">
        <v>2000</v>
      </c>
    </row>
    <row r="49" spans="1:13" x14ac:dyDescent="0.2">
      <c r="A49">
        <v>2001</v>
      </c>
    </row>
    <row r="51" spans="1:13" x14ac:dyDescent="0.2">
      <c r="A51" s="391" t="s">
        <v>339</v>
      </c>
    </row>
    <row r="53" spans="1:13" x14ac:dyDescent="0.2">
      <c r="A53" s="73" t="s">
        <v>26</v>
      </c>
      <c r="B53" s="392"/>
      <c r="C53" s="392"/>
    </row>
    <row r="54" spans="1:13" x14ac:dyDescent="0.2">
      <c r="B54" t="s">
        <v>327</v>
      </c>
      <c r="C54" t="s">
        <v>328</v>
      </c>
      <c r="D54" t="s">
        <v>329</v>
      </c>
      <c r="E54" t="s">
        <v>330</v>
      </c>
      <c r="F54" t="s">
        <v>331</v>
      </c>
      <c r="G54" t="s">
        <v>332</v>
      </c>
      <c r="H54" t="s">
        <v>333</v>
      </c>
      <c r="I54" t="s">
        <v>334</v>
      </c>
      <c r="J54" t="s">
        <v>335</v>
      </c>
      <c r="K54" t="s">
        <v>336</v>
      </c>
      <c r="L54" t="s">
        <v>337</v>
      </c>
      <c r="M54" t="s">
        <v>338</v>
      </c>
    </row>
    <row r="55" spans="1:13" x14ac:dyDescent="0.2">
      <c r="A55">
        <v>1997</v>
      </c>
    </row>
    <row r="56" spans="1:13" x14ac:dyDescent="0.2">
      <c r="A56">
        <v>1998</v>
      </c>
    </row>
    <row r="57" spans="1:13" x14ac:dyDescent="0.2">
      <c r="A57">
        <v>1999</v>
      </c>
    </row>
    <row r="58" spans="1:13" x14ac:dyDescent="0.2">
      <c r="A58">
        <v>2000</v>
      </c>
    </row>
    <row r="59" spans="1:13" x14ac:dyDescent="0.2">
      <c r="A59">
        <v>2001</v>
      </c>
    </row>
    <row r="61" spans="1:13" x14ac:dyDescent="0.2">
      <c r="A61" s="391" t="s">
        <v>339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45"/>
  <sheetViews>
    <sheetView workbookViewId="0">
      <selection activeCell="B7" sqref="B7"/>
    </sheetView>
  </sheetViews>
  <sheetFormatPr defaultRowHeight="12.75" x14ac:dyDescent="0.2"/>
  <cols>
    <col min="1" max="1" width="31.5703125" customWidth="1"/>
    <col min="3" max="3" width="11.140625" bestFit="1" customWidth="1"/>
  </cols>
  <sheetData>
    <row r="1" spans="1:4" ht="15.75" x14ac:dyDescent="0.25">
      <c r="A1" s="4" t="s">
        <v>0</v>
      </c>
    </row>
    <row r="2" spans="1:4" x14ac:dyDescent="0.2">
      <c r="D2" t="s">
        <v>326</v>
      </c>
    </row>
    <row r="3" spans="1:4" x14ac:dyDescent="0.2">
      <c r="A3" t="s">
        <v>15</v>
      </c>
      <c r="B3" s="53">
        <f>'Fuel Ratio'!B38</f>
        <v>39.22</v>
      </c>
      <c r="C3" t="s">
        <v>14</v>
      </c>
    </row>
    <row r="4" spans="1:4" x14ac:dyDescent="0.2">
      <c r="A4" t="s">
        <v>16</v>
      </c>
      <c r="B4" s="53">
        <f>'Fuel Ratio'!B39</f>
        <v>38.42</v>
      </c>
      <c r="C4" t="s">
        <v>14</v>
      </c>
    </row>
    <row r="6" spans="1:4" ht="15" x14ac:dyDescent="0.25">
      <c r="A6" s="3" t="s">
        <v>1</v>
      </c>
      <c r="B6" s="9" t="s">
        <v>53</v>
      </c>
      <c r="C6" s="2" t="s">
        <v>74</v>
      </c>
    </row>
    <row r="7" spans="1:4" x14ac:dyDescent="0.2">
      <c r="A7" t="s">
        <v>4</v>
      </c>
      <c r="B7" s="13">
        <f>94.8/B3*12/365</f>
        <v>7.9467422967035267E-2</v>
      </c>
      <c r="C7" s="10">
        <f>B7*1.055056/Summary!$B$4</f>
        <v>5.5265780050912844E-2</v>
      </c>
    </row>
    <row r="8" spans="1:4" x14ac:dyDescent="0.2">
      <c r="A8" t="s">
        <v>2</v>
      </c>
      <c r="B8" s="13">
        <f>3.863/B3</f>
        <v>9.8495665476797556E-2</v>
      </c>
      <c r="C8" s="10">
        <f>B8*1.055056/Summary!$B$4</f>
        <v>6.8499009795083374E-2</v>
      </c>
    </row>
    <row r="9" spans="1:4" x14ac:dyDescent="0.2">
      <c r="A9" t="s">
        <v>3</v>
      </c>
      <c r="B9" s="13">
        <f>2.897/B3</f>
        <v>7.3865374808771034E-2</v>
      </c>
      <c r="C9" s="10">
        <f>B9*1.055056/Summary!$B$4</f>
        <v>5.1369824327299134E-2</v>
      </c>
    </row>
    <row r="10" spans="1:4" x14ac:dyDescent="0.2">
      <c r="A10" t="s">
        <v>17</v>
      </c>
      <c r="B10" s="10">
        <f>0.18583/$B$3</f>
        <v>4.7381438041815402E-3</v>
      </c>
      <c r="C10" s="10">
        <f>B10*1.055056/Summary!$B$4</f>
        <v>3.2951516930417668E-3</v>
      </c>
    </row>
    <row r="11" spans="1:4" x14ac:dyDescent="0.2">
      <c r="A11" t="s">
        <v>344</v>
      </c>
      <c r="B11" s="10">
        <f>'WEI Fuel Tax'!G8/B3</f>
        <v>3.1554309026007141E-3</v>
      </c>
      <c r="C11" s="10">
        <f>B11*1.055056/Summary!$B$4</f>
        <v>2.1944508040901731E-3</v>
      </c>
    </row>
    <row r="12" spans="1:4" x14ac:dyDescent="0.2">
      <c r="B12" s="10"/>
      <c r="C12" s="10"/>
    </row>
    <row r="13" spans="1:4" ht="15" x14ac:dyDescent="0.25">
      <c r="A13" s="3" t="s">
        <v>20</v>
      </c>
      <c r="B13" s="10"/>
      <c r="C13" s="10"/>
    </row>
    <row r="14" spans="1:4" x14ac:dyDescent="0.2">
      <c r="A14" t="s">
        <v>5</v>
      </c>
      <c r="B14" s="13">
        <f>66.87/B4*12/365</f>
        <v>5.722190925103221E-2</v>
      </c>
      <c r="C14" s="10">
        <f>B14*1.055056/Summary!$B$4</f>
        <v>3.9795092538393695E-2</v>
      </c>
    </row>
    <row r="15" spans="1:4" x14ac:dyDescent="0.2">
      <c r="A15" t="s">
        <v>8</v>
      </c>
      <c r="B15" s="13">
        <f>2.521/B4</f>
        <v>6.5616866215512742E-2</v>
      </c>
      <c r="C15" s="10">
        <f>B15*1.055056/Summary!$B$4</f>
        <v>4.5633382340849189E-2</v>
      </c>
    </row>
    <row r="16" spans="1:4" x14ac:dyDescent="0.2">
      <c r="A16" t="s">
        <v>9</v>
      </c>
      <c r="B16" s="13">
        <f>1.891/B4</f>
        <v>4.9219156689224358E-2</v>
      </c>
      <c r="C16" s="10">
        <f>B16*1.055056/Summary!$B$4</f>
        <v>3.4229562081136783E-2</v>
      </c>
    </row>
    <row r="17" spans="1:3" x14ac:dyDescent="0.2">
      <c r="A17" t="s">
        <v>17</v>
      </c>
      <c r="B17" s="10">
        <f>0.164364/$B$4</f>
        <v>4.2780843310775635E-3</v>
      </c>
      <c r="C17" s="10">
        <f>B17*1.055056/Summary!$B$4</f>
        <v>2.9752024018529703E-3</v>
      </c>
    </row>
    <row r="18" spans="1:3" x14ac:dyDescent="0.2">
      <c r="A18" t="s">
        <v>18</v>
      </c>
      <c r="B18" s="10">
        <f>'WEI Fuel Tax'!G19/$B$4</f>
        <v>2.8127537740760024E-3</v>
      </c>
      <c r="C18" s="10">
        <f>B18*1.055056/Summary!$B$4</f>
        <v>1.9561353018826698E-3</v>
      </c>
    </row>
    <row r="19" spans="1:3" x14ac:dyDescent="0.2">
      <c r="B19" s="10"/>
      <c r="C19" s="10"/>
    </row>
    <row r="20" spans="1:3" ht="15" x14ac:dyDescent="0.25">
      <c r="A20" s="3" t="s">
        <v>19</v>
      </c>
      <c r="B20" s="10"/>
      <c r="C20" s="10"/>
    </row>
    <row r="21" spans="1:3" x14ac:dyDescent="0.2">
      <c r="A21" t="s">
        <v>6</v>
      </c>
      <c r="B21" s="13">
        <f>162.19/B4*12/365</f>
        <v>0.1387890154243295</v>
      </c>
      <c r="C21" s="10">
        <f>B21*1.055056/Summary!$B$4</f>
        <v>9.6521101522387812E-2</v>
      </c>
    </row>
    <row r="22" spans="1:3" x14ac:dyDescent="0.2">
      <c r="A22" t="s">
        <v>10</v>
      </c>
      <c r="B22" s="13">
        <f>6.121/B4</f>
        <v>0.15931806350858929</v>
      </c>
      <c r="C22" s="10">
        <f>B22*1.055056/Summary!$B$4</f>
        <v>0.11079806953920586</v>
      </c>
    </row>
    <row r="23" spans="1:3" x14ac:dyDescent="0.2">
      <c r="A23" t="s">
        <v>11</v>
      </c>
      <c r="B23" s="13">
        <f>4.591/B4</f>
        <v>0.11949505465903175</v>
      </c>
      <c r="C23" s="10">
        <f>B23*1.055056/Summary!$B$4</f>
        <v>8.3103077479904267E-2</v>
      </c>
    </row>
    <row r="24" spans="1:3" x14ac:dyDescent="0.2">
      <c r="A24" t="s">
        <v>17</v>
      </c>
      <c r="B24" s="10">
        <f>0.411704/$B$4</f>
        <v>1.0715877147319105E-2</v>
      </c>
      <c r="C24" s="10">
        <f>B24*1.055056/Summary!$B$4</f>
        <v>7.4523784384200632E-3</v>
      </c>
    </row>
    <row r="25" spans="1:3" x14ac:dyDescent="0.2">
      <c r="A25" t="s">
        <v>18</v>
      </c>
      <c r="B25" s="10">
        <f>'WEI Fuel Tax'!G29/$B$4</f>
        <v>6.9923477355543998E-3</v>
      </c>
      <c r="C25" s="10">
        <f>B25*1.055056/Summary!$B$4</f>
        <v>4.8628423769693681E-3</v>
      </c>
    </row>
    <row r="26" spans="1:3" x14ac:dyDescent="0.2">
      <c r="B26" s="10"/>
      <c r="C26" s="10"/>
    </row>
    <row r="27" spans="1:3" ht="15" x14ac:dyDescent="0.25">
      <c r="A27" s="3" t="s">
        <v>21</v>
      </c>
      <c r="B27" s="10"/>
      <c r="C27" s="10"/>
    </row>
    <row r="28" spans="1:3" x14ac:dyDescent="0.2">
      <c r="A28" t="s">
        <v>7</v>
      </c>
      <c r="B28" s="13">
        <f>295.42/B4*12/365</f>
        <v>0.25279641739105629</v>
      </c>
      <c r="C28" s="10">
        <f>B28*1.055056/Summary!$B$4</f>
        <v>0.17580777983688148</v>
      </c>
    </row>
    <row r="29" spans="1:3" x14ac:dyDescent="0.2">
      <c r="A29" t="s">
        <v>12</v>
      </c>
      <c r="B29" s="13">
        <f>11.127/B4</f>
        <v>0.289614783966684</v>
      </c>
      <c r="C29" s="10">
        <f>B29*1.055056/Summary!$B$4</f>
        <v>0.20141318734892066</v>
      </c>
    </row>
    <row r="30" spans="1:3" x14ac:dyDescent="0.2">
      <c r="A30" t="s">
        <v>13</v>
      </c>
      <c r="B30" s="13">
        <f>8.345/B4</f>
        <v>0.21720458094742323</v>
      </c>
      <c r="C30" s="10">
        <f>B30*1.055056/Summary!$B$4</f>
        <v>0.15105536518619064</v>
      </c>
    </row>
    <row r="31" spans="1:3" x14ac:dyDescent="0.2">
      <c r="A31" t="s">
        <v>17</v>
      </c>
      <c r="B31" s="10">
        <f>0.72602/$B$4</f>
        <v>1.8896928682977616E-2</v>
      </c>
      <c r="C31" s="10">
        <f>B31*1.055056/Summary!$B$4</f>
        <v>1.3141907277708583E-2</v>
      </c>
    </row>
    <row r="32" spans="1:3" x14ac:dyDescent="0.2">
      <c r="A32" t="s">
        <v>18</v>
      </c>
      <c r="B32" s="10">
        <f>'WEI Fuel Tax'!G39/$B$4</f>
        <v>1.2424297241020302E-2</v>
      </c>
      <c r="C32" s="10">
        <f>B32*1.055056/Summary!$B$4</f>
        <v>8.6405026484151007E-3</v>
      </c>
    </row>
    <row r="33" spans="1:3" x14ac:dyDescent="0.2">
      <c r="B33" s="11"/>
      <c r="C33" s="10"/>
    </row>
    <row r="34" spans="1:3" x14ac:dyDescent="0.2">
      <c r="B34" s="11"/>
      <c r="C34" s="10"/>
    </row>
    <row r="35" spans="1:3" ht="15" x14ac:dyDescent="0.25">
      <c r="A35" s="3" t="s">
        <v>22</v>
      </c>
      <c r="B35" s="11"/>
      <c r="C35" s="10"/>
    </row>
    <row r="36" spans="1:3" x14ac:dyDescent="0.2">
      <c r="A36" t="s">
        <v>23</v>
      </c>
      <c r="B36" s="13">
        <f>9.57/B3*12/365</f>
        <v>8.02218605268489E-3</v>
      </c>
      <c r="C36" s="10">
        <f>B36*1.055056/Summary!$B$4</f>
        <v>5.5790455177978475E-3</v>
      </c>
    </row>
    <row r="37" spans="1:3" x14ac:dyDescent="0.2">
      <c r="A37" t="s">
        <v>24</v>
      </c>
      <c r="B37" s="13">
        <f>0.42/B3</f>
        <v>1.0708822029576747E-2</v>
      </c>
      <c r="C37" s="10">
        <f>B37*1.055056/Summary!$B$4</f>
        <v>7.4474719425148906E-3</v>
      </c>
    </row>
    <row r="38" spans="1:3" x14ac:dyDescent="0.2">
      <c r="A38" t="s">
        <v>25</v>
      </c>
      <c r="B38" s="13">
        <f>0.315/B3</f>
        <v>8.0316165221825594E-3</v>
      </c>
      <c r="C38" s="10">
        <f>B38*1.055056/Summary!$B$4</f>
        <v>5.5856039568861673E-3</v>
      </c>
    </row>
    <row r="39" spans="1:3" x14ac:dyDescent="0.2">
      <c r="B39" s="11"/>
      <c r="C39" s="10"/>
    </row>
    <row r="40" spans="1:3" x14ac:dyDescent="0.2">
      <c r="B40" s="11"/>
      <c r="C40" s="10"/>
    </row>
    <row r="41" spans="1:3" ht="15" x14ac:dyDescent="0.25">
      <c r="A41" s="3" t="s">
        <v>26</v>
      </c>
      <c r="B41" s="11"/>
      <c r="C41" s="10"/>
    </row>
    <row r="42" spans="1:3" x14ac:dyDescent="0.2">
      <c r="A42" t="s">
        <v>27</v>
      </c>
      <c r="B42" s="13">
        <f>26.51/B3*12/365</f>
        <v>2.2222377456288026E-2</v>
      </c>
      <c r="C42" s="10">
        <f>B42*1.055056/Summary!$B$4</f>
        <v>1.5454597353899783E-2</v>
      </c>
    </row>
    <row r="43" spans="1:3" x14ac:dyDescent="0.2">
      <c r="A43" t="s">
        <v>28</v>
      </c>
      <c r="B43" s="13">
        <f>1.162/B3</f>
        <v>2.9627740948495664E-2</v>
      </c>
      <c r="C43" s="10">
        <f>B43*1.055056/Summary!$B$4</f>
        <v>2.0604672374291193E-2</v>
      </c>
    </row>
    <row r="44" spans="1:3" x14ac:dyDescent="0.2">
      <c r="A44" t="s">
        <v>29</v>
      </c>
      <c r="B44" s="13">
        <f>0.872/B3</f>
        <v>2.2233554309026009E-2</v>
      </c>
      <c r="C44" s="10">
        <f>B44*1.055056/Summary!$B$4</f>
        <v>1.54623703187452E-2</v>
      </c>
    </row>
    <row r="45" spans="1:3" x14ac:dyDescent="0.2">
      <c r="A45" t="s">
        <v>45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11"/>
  <sheetViews>
    <sheetView workbookViewId="0">
      <selection activeCell="G30" sqref="G30"/>
    </sheetView>
  </sheetViews>
  <sheetFormatPr defaultRowHeight="12.75" x14ac:dyDescent="0.2"/>
  <cols>
    <col min="1" max="1" width="23.85546875" customWidth="1"/>
  </cols>
  <sheetData>
    <row r="1" spans="1:8" ht="15.75" x14ac:dyDescent="0.25">
      <c r="A1" s="4" t="s">
        <v>40</v>
      </c>
    </row>
    <row r="3" spans="1:8" x14ac:dyDescent="0.2">
      <c r="B3" s="6">
        <v>36923</v>
      </c>
      <c r="H3" s="6"/>
    </row>
    <row r="4" spans="1:8" x14ac:dyDescent="0.2">
      <c r="A4" t="s">
        <v>41</v>
      </c>
      <c r="B4" s="54">
        <v>0.27760000000000001</v>
      </c>
      <c r="C4" t="s">
        <v>38</v>
      </c>
      <c r="H4" s="50"/>
    </row>
    <row r="5" spans="1:8" x14ac:dyDescent="0.2">
      <c r="A5" t="s">
        <v>42</v>
      </c>
      <c r="B5" s="54">
        <v>2.96E-3</v>
      </c>
      <c r="C5" t="s">
        <v>38</v>
      </c>
      <c r="H5" s="50"/>
    </row>
    <row r="6" spans="1:8" x14ac:dyDescent="0.2">
      <c r="A6" t="s">
        <v>43</v>
      </c>
      <c r="B6" s="54">
        <v>0.03</v>
      </c>
      <c r="C6" t="s">
        <v>38</v>
      </c>
      <c r="H6" s="50"/>
    </row>
    <row r="7" spans="1:8" x14ac:dyDescent="0.2">
      <c r="A7" t="s">
        <v>122</v>
      </c>
      <c r="B7" s="54">
        <v>0.30759999999999998</v>
      </c>
      <c r="C7" t="s">
        <v>38</v>
      </c>
      <c r="H7" s="50"/>
    </row>
    <row r="8" spans="1:8" x14ac:dyDescent="0.2">
      <c r="A8" t="s">
        <v>133</v>
      </c>
      <c r="B8" s="54">
        <v>7.0000000000000001E-3</v>
      </c>
      <c r="C8" t="s">
        <v>38</v>
      </c>
      <c r="H8" s="50"/>
    </row>
    <row r="9" spans="1:8" x14ac:dyDescent="0.2">
      <c r="A9" t="s">
        <v>36</v>
      </c>
      <c r="B9" s="54">
        <v>2.2000000000000001E-3</v>
      </c>
      <c r="C9" t="s">
        <v>38</v>
      </c>
      <c r="H9" s="50"/>
    </row>
    <row r="11" spans="1:8" x14ac:dyDescent="0.2">
      <c r="A11" t="s">
        <v>138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42"/>
  <sheetViews>
    <sheetView topLeftCell="A3" workbookViewId="0">
      <selection activeCell="C3" sqref="C3"/>
    </sheetView>
  </sheetViews>
  <sheetFormatPr defaultRowHeight="12.75" x14ac:dyDescent="0.2"/>
  <cols>
    <col min="1" max="1" width="23.5703125" customWidth="1"/>
    <col min="3" max="3" width="11.28515625" bestFit="1" customWidth="1"/>
  </cols>
  <sheetData>
    <row r="1" spans="1:3" ht="15.75" x14ac:dyDescent="0.25">
      <c r="A1" s="4" t="s">
        <v>46</v>
      </c>
    </row>
    <row r="3" spans="1:3" x14ac:dyDescent="0.2">
      <c r="A3" t="s">
        <v>143</v>
      </c>
      <c r="B3" s="38">
        <f>'Fuel Ratio'!B38</f>
        <v>39.22</v>
      </c>
      <c r="C3" t="s">
        <v>14</v>
      </c>
    </row>
    <row r="4" spans="1:3" x14ac:dyDescent="0.2">
      <c r="A4" t="s">
        <v>142</v>
      </c>
      <c r="B4" s="38">
        <f>'Fuel Ratio'!B37</f>
        <v>37.9</v>
      </c>
      <c r="C4" t="s">
        <v>14</v>
      </c>
    </row>
    <row r="5" spans="1:3" x14ac:dyDescent="0.2">
      <c r="B5" s="1"/>
    </row>
    <row r="6" spans="1:3" x14ac:dyDescent="0.2">
      <c r="B6" s="9" t="s">
        <v>53</v>
      </c>
      <c r="C6" s="2" t="s">
        <v>74</v>
      </c>
    </row>
    <row r="7" spans="1:3" x14ac:dyDescent="0.2">
      <c r="A7" t="s">
        <v>78</v>
      </c>
      <c r="B7" s="13">
        <f>218.03*12/365/B3</f>
        <v>0.18276669018462766</v>
      </c>
      <c r="C7" s="10">
        <f>B7*1.055056/Summary!$B$4</f>
        <v>0.12710546439346548</v>
      </c>
    </row>
    <row r="8" spans="1:3" x14ac:dyDescent="0.2">
      <c r="A8" t="s">
        <v>79</v>
      </c>
      <c r="B8" s="13">
        <f>8.24/B3</f>
        <v>0.21009688934217238</v>
      </c>
      <c r="C8" s="10">
        <f>B8*1.055056/Summary!$B$4</f>
        <v>0.14611230668172071</v>
      </c>
    </row>
    <row r="9" spans="1:3" x14ac:dyDescent="0.2">
      <c r="A9" t="s">
        <v>48</v>
      </c>
      <c r="B9" s="13">
        <f>184.82*12/365/B4</f>
        <v>0.16032385151986123</v>
      </c>
      <c r="C9" s="10">
        <f>B9*1.055056/Summary!$B$4</f>
        <v>0.11149754684617551</v>
      </c>
    </row>
    <row r="10" spans="1:3" x14ac:dyDescent="0.2">
      <c r="A10" t="s">
        <v>49</v>
      </c>
      <c r="B10" s="13">
        <f>1.1*B9</f>
        <v>0.17635623667184736</v>
      </c>
      <c r="C10" s="10">
        <f>B10*1.055056/Summary!$B$4</f>
        <v>0.12264730153079308</v>
      </c>
    </row>
    <row r="11" spans="1:3" x14ac:dyDescent="0.2">
      <c r="B11" s="11"/>
      <c r="C11" s="10"/>
    </row>
    <row r="12" spans="1:3" x14ac:dyDescent="0.2">
      <c r="B12" s="11"/>
      <c r="C12" s="10"/>
    </row>
    <row r="13" spans="1:3" ht="15.75" x14ac:dyDescent="0.25">
      <c r="A13" s="4" t="s">
        <v>47</v>
      </c>
      <c r="B13" s="11"/>
      <c r="C13" s="10"/>
    </row>
    <row r="14" spans="1:3" x14ac:dyDescent="0.2">
      <c r="B14" s="11"/>
      <c r="C14" s="10"/>
    </row>
    <row r="15" spans="1:3" x14ac:dyDescent="0.2">
      <c r="A15" t="s">
        <v>51</v>
      </c>
      <c r="B15" s="13">
        <f>0.0128135690547*170.7*12/365</f>
        <v>7.1910451648349263E-2</v>
      </c>
      <c r="C15" s="10">
        <f>B15*1.055056/Summary!$B$4</f>
        <v>5.0010269060921334E-2</v>
      </c>
    </row>
    <row r="16" spans="1:3" x14ac:dyDescent="0.2">
      <c r="A16" t="s">
        <v>43</v>
      </c>
      <c r="B16" s="13">
        <f>0.0000299312892*170.7</f>
        <v>5.1092710664399996E-3</v>
      </c>
      <c r="C16" s="10">
        <f>B16*1.055056/Summary!$B$4</f>
        <v>3.5532528983039744E-3</v>
      </c>
    </row>
    <row r="17" spans="1:3" x14ac:dyDescent="0.2">
      <c r="A17" t="s">
        <v>50</v>
      </c>
      <c r="B17" s="13">
        <f>0.000496727976*170.7</f>
        <v>8.4791465503199992E-2</v>
      </c>
      <c r="C17" s="10">
        <f>B17*1.055056/Summary!$B$4</f>
        <v>5.8968396202281434E-2</v>
      </c>
    </row>
    <row r="18" spans="1:3" x14ac:dyDescent="0.2">
      <c r="A18" t="s">
        <v>52</v>
      </c>
      <c r="B18" s="13">
        <f>0.003558953236</f>
        <v>3.558953236E-3</v>
      </c>
      <c r="C18" s="10">
        <f>B18*1.055056/Summary!$B$4</f>
        <v>2.4750812271067462E-3</v>
      </c>
    </row>
    <row r="20" spans="1:3" ht="15.75" x14ac:dyDescent="0.25">
      <c r="A20" s="4" t="s">
        <v>154</v>
      </c>
    </row>
    <row r="22" spans="1:3" x14ac:dyDescent="0.2">
      <c r="A22" t="s">
        <v>51</v>
      </c>
      <c r="C22" s="52">
        <f>10.278*12/365</f>
        <v>0.33790684931506854</v>
      </c>
    </row>
    <row r="23" spans="1:3" x14ac:dyDescent="0.2">
      <c r="A23" t="s">
        <v>43</v>
      </c>
      <c r="C23" s="52">
        <v>1.0800000000000001E-2</v>
      </c>
    </row>
    <row r="24" spans="1:3" x14ac:dyDescent="0.2">
      <c r="A24" t="s">
        <v>50</v>
      </c>
      <c r="C24" s="52">
        <v>0.25216</v>
      </c>
    </row>
    <row r="25" spans="1:3" x14ac:dyDescent="0.2">
      <c r="A25" t="s">
        <v>36</v>
      </c>
      <c r="C25" s="52">
        <v>2.2000000000000001E-3</v>
      </c>
    </row>
    <row r="26" spans="1:3" x14ac:dyDescent="0.2">
      <c r="A26" t="s">
        <v>155</v>
      </c>
      <c r="C26" s="52">
        <v>7.0000000000000001E-3</v>
      </c>
    </row>
    <row r="27" spans="1:3" x14ac:dyDescent="0.2">
      <c r="A27" t="s">
        <v>156</v>
      </c>
      <c r="C27" s="52">
        <v>0</v>
      </c>
    </row>
    <row r="29" spans="1:3" ht="15.75" x14ac:dyDescent="0.25">
      <c r="A29" s="4" t="s">
        <v>163</v>
      </c>
    </row>
    <row r="31" spans="1:3" x14ac:dyDescent="0.2">
      <c r="A31" t="s">
        <v>164</v>
      </c>
      <c r="C31" s="52">
        <v>3.5999999999999997E-2</v>
      </c>
    </row>
    <row r="32" spans="1:3" x14ac:dyDescent="0.2">
      <c r="A32" t="s">
        <v>314</v>
      </c>
      <c r="C32" s="52">
        <v>5.9999999999999995E-4</v>
      </c>
    </row>
    <row r="33" spans="1:3" x14ac:dyDescent="0.2">
      <c r="A33" t="s">
        <v>165</v>
      </c>
      <c r="C33" s="17">
        <v>821.65179999999998</v>
      </c>
    </row>
    <row r="34" spans="1:3" x14ac:dyDescent="0.2">
      <c r="A34" t="s">
        <v>166</v>
      </c>
      <c r="C34" s="17">
        <f>$C$31*C33/100</f>
        <v>0.29579464799999999</v>
      </c>
    </row>
    <row r="35" spans="1:3" x14ac:dyDescent="0.2">
      <c r="A35" t="s">
        <v>315</v>
      </c>
      <c r="C35" s="17">
        <f>C33*$C$32/100</f>
        <v>4.9299107999999994E-3</v>
      </c>
    </row>
    <row r="36" spans="1:3" x14ac:dyDescent="0.2">
      <c r="A36" t="s">
        <v>167</v>
      </c>
      <c r="C36" s="17">
        <v>968.59730000000002</v>
      </c>
    </row>
    <row r="37" spans="1:3" x14ac:dyDescent="0.2">
      <c r="A37" t="s">
        <v>168</v>
      </c>
      <c r="C37" s="17">
        <f>$C$31*C36/100</f>
        <v>0.34869502800000002</v>
      </c>
    </row>
    <row r="38" spans="1:3" x14ac:dyDescent="0.2">
      <c r="A38" t="s">
        <v>316</v>
      </c>
      <c r="C38" s="17">
        <f>C36*$C$32/100</f>
        <v>5.8115837999999998E-3</v>
      </c>
    </row>
    <row r="39" spans="1:3" x14ac:dyDescent="0.2">
      <c r="A39" t="s">
        <v>169</v>
      </c>
      <c r="C39" s="17">
        <v>1214.7699</v>
      </c>
    </row>
    <row r="40" spans="1:3" x14ac:dyDescent="0.2">
      <c r="A40" t="s">
        <v>170</v>
      </c>
      <c r="C40" s="17">
        <f>$C$31*C39/100</f>
        <v>0.43731716399999998</v>
      </c>
    </row>
    <row r="41" spans="1:3" x14ac:dyDescent="0.2">
      <c r="A41" t="s">
        <v>317</v>
      </c>
      <c r="C41" s="17">
        <f>C39*$C$32/100</f>
        <v>7.2886193999999989E-3</v>
      </c>
    </row>
    <row r="42" spans="1:3" x14ac:dyDescent="0.2">
      <c r="A42" t="s">
        <v>36</v>
      </c>
      <c r="C42">
        <v>2.2000000000000001E-3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Mids</vt:lpstr>
      <vt:lpstr>Sheet1</vt:lpstr>
      <vt:lpstr>Summary</vt:lpstr>
      <vt:lpstr>SummerSum</vt:lpstr>
      <vt:lpstr>WinterSum</vt:lpstr>
      <vt:lpstr>WEI Fuel Tax</vt:lpstr>
      <vt:lpstr>Westcoast</vt:lpstr>
      <vt:lpstr>NWP$</vt:lpstr>
      <vt:lpstr>Nova&amp;ANG&amp;GLGT$</vt:lpstr>
      <vt:lpstr>PGT$</vt:lpstr>
      <vt:lpstr>TCPL$</vt:lpstr>
      <vt:lpstr>Cost Components</vt:lpstr>
      <vt:lpstr>Fuel Ratio</vt:lpstr>
      <vt:lpstr>Change Comp</vt:lpstr>
      <vt:lpstr>Summary!Print_Area</vt:lpstr>
      <vt:lpstr>SummerSum!Print_Area</vt:lpstr>
      <vt:lpstr>WinterSum!Print_Area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jpearso3</dc:creator>
  <cp:lastModifiedBy>Felienne</cp:lastModifiedBy>
  <cp:lastPrinted>2001-07-03T16:49:22Z</cp:lastPrinted>
  <dcterms:created xsi:type="dcterms:W3CDTF">2000-07-18T18:47:15Z</dcterms:created>
  <dcterms:modified xsi:type="dcterms:W3CDTF">2014-09-04T19:45:49Z</dcterms:modified>
</cp:coreProperties>
</file>