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workbookProtection workbookPassword="CAC3" lockStructure="1"/>
  <bookViews>
    <workbookView xWindow="570" yWindow="525" windowWidth="11430" windowHeight="9525" tabRatio="745" activeTab="3"/>
  </bookViews>
  <sheets>
    <sheet name="BS Rec" sheetId="1" r:id="rId1"/>
    <sheet name="Reconciliation" sheetId="2" r:id="rId2"/>
    <sheet name="Monthly GL Rec" sheetId="5" r:id="rId3"/>
    <sheet name="Accrual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ImportAccess">Accrual!$A$14:$S$23</definedName>
    <definedName name="_xlnm.Print_Area" localSheetId="3">Accrual!$B$1:$V$58</definedName>
    <definedName name="_xlnm.Print_Area" localSheetId="0">'BS Rec'!$A$1:$F$44</definedName>
    <definedName name="_xlnm.Print_Area" localSheetId="2">'Monthly GL Rec'!$A$1:$G$79</definedName>
    <definedName name="_xlnm.Print_Area" localSheetId="1">Reconciliation!$A$1:$P$53</definedName>
    <definedName name="wrn.RollDetail." hidden="1">{"BookBal",#N/A,FALSE,"Roll-1";"DailyChange",#N/A,FALSE,"Roll-1";"Schedules",#N/A,FALSE,"Roll-1"}</definedName>
  </definedNames>
  <calcPr calcId="152511"/>
</workbook>
</file>

<file path=xl/calcChain.xml><?xml version="1.0" encoding="utf-8"?>
<calcChain xmlns="http://schemas.openxmlformats.org/spreadsheetml/2006/main">
  <c r="E5" i="3" l="1"/>
  <c r="A20" i="3" s="1"/>
  <c r="E6" i="3"/>
  <c r="E7" i="3"/>
  <c r="S15" i="3"/>
  <c r="A16" i="3"/>
  <c r="M16" i="3"/>
  <c r="M38" i="3" s="1"/>
  <c r="M39" i="3" s="1"/>
  <c r="M49" i="3" s="1"/>
  <c r="N16" i="3"/>
  <c r="O16" i="3"/>
  <c r="Q16" i="3"/>
  <c r="Q38" i="3" s="1"/>
  <c r="Q39" i="3" s="1"/>
  <c r="S17" i="3"/>
  <c r="A18" i="3"/>
  <c r="S18" i="3"/>
  <c r="S19" i="3"/>
  <c r="S20" i="3"/>
  <c r="S21" i="3"/>
  <c r="A22" i="3"/>
  <c r="S22" i="3"/>
  <c r="S23" i="3"/>
  <c r="A24" i="3"/>
  <c r="S24" i="3"/>
  <c r="A25" i="3"/>
  <c r="S25" i="3"/>
  <c r="F26" i="3"/>
  <c r="G26" i="3"/>
  <c r="H26" i="3"/>
  <c r="I26" i="3"/>
  <c r="J26" i="3"/>
  <c r="K26" i="3"/>
  <c r="L26" i="3"/>
  <c r="N26" i="3"/>
  <c r="O26" i="3"/>
  <c r="P26" i="3"/>
  <c r="Q26" i="3"/>
  <c r="R26" i="3"/>
  <c r="S29" i="3"/>
  <c r="S30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7" i="3"/>
  <c r="K38" i="3"/>
  <c r="L38" i="3"/>
  <c r="L39" i="3" s="1"/>
  <c r="L49" i="3" s="1"/>
  <c r="N38" i="3"/>
  <c r="N39" i="3" s="1"/>
  <c r="N49" i="3" s="1"/>
  <c r="O38" i="3"/>
  <c r="P38" i="3"/>
  <c r="F39" i="3"/>
  <c r="G39" i="3"/>
  <c r="G49" i="3" s="1"/>
  <c r="H39" i="3"/>
  <c r="H49" i="3" s="1"/>
  <c r="I39" i="3"/>
  <c r="I49" i="3" s="1"/>
  <c r="J39" i="3"/>
  <c r="J49" i="3" s="1"/>
  <c r="K39" i="3"/>
  <c r="K49" i="3" s="1"/>
  <c r="O39" i="3"/>
  <c r="O49" i="3" s="1"/>
  <c r="P39" i="3"/>
  <c r="P49" i="3" s="1"/>
  <c r="R39" i="3"/>
  <c r="R49" i="3" s="1"/>
  <c r="S44" i="3"/>
  <c r="N45" i="3"/>
  <c r="S45" i="3" s="1"/>
  <c r="S46" i="3" s="1"/>
  <c r="O45" i="3"/>
  <c r="P45" i="3"/>
  <c r="P46" i="3" s="1"/>
  <c r="Q45" i="3"/>
  <c r="Q46" i="3" s="1"/>
  <c r="F46" i="3"/>
  <c r="F49" i="3" s="1"/>
  <c r="G46" i="3"/>
  <c r="H46" i="3"/>
  <c r="I46" i="3"/>
  <c r="J46" i="3"/>
  <c r="K46" i="3"/>
  <c r="L46" i="3"/>
  <c r="M46" i="3"/>
  <c r="N46" i="3"/>
  <c r="O46" i="3"/>
  <c r="R46" i="3"/>
  <c r="S54" i="3"/>
  <c r="F65" i="1" s="1"/>
  <c r="F68" i="1" s="1"/>
  <c r="B58" i="3"/>
  <c r="B7" i="1"/>
  <c r="D11" i="1"/>
  <c r="F13" i="1"/>
  <c r="F15" i="1"/>
  <c r="F17" i="1"/>
  <c r="F19" i="1"/>
  <c r="F21" i="1" s="1"/>
  <c r="D21" i="1"/>
  <c r="F23" i="1"/>
  <c r="F25" i="1" s="1"/>
  <c r="D32" i="1"/>
  <c r="F32" i="1"/>
  <c r="B33" i="1"/>
  <c r="B61" i="1" s="1"/>
  <c r="D33" i="1"/>
  <c r="D61" i="1" s="1"/>
  <c r="F35" i="1"/>
  <c r="F38" i="1"/>
  <c r="F41" i="1" s="1"/>
  <c r="F63" i="1"/>
  <c r="A73" i="1"/>
  <c r="B2" i="5"/>
  <c r="B5" i="5"/>
  <c r="F11" i="5"/>
  <c r="D13" i="5"/>
  <c r="E13" i="5"/>
  <c r="F13" i="5"/>
  <c r="G13" i="5"/>
  <c r="F19" i="5"/>
  <c r="F69" i="5" s="1"/>
  <c r="D21" i="5"/>
  <c r="F21" i="5" s="1"/>
  <c r="G21" i="5" s="1"/>
  <c r="E21" i="5"/>
  <c r="F24" i="5"/>
  <c r="D27" i="5"/>
  <c r="E27" i="5"/>
  <c r="F27" i="5"/>
  <c r="G27" i="5" s="1"/>
  <c r="F31" i="5"/>
  <c r="D34" i="5"/>
  <c r="E34" i="5"/>
  <c r="F34" i="5" s="1"/>
  <c r="G34" i="5" s="1"/>
  <c r="D39" i="5"/>
  <c r="F39" i="5" s="1"/>
  <c r="G39" i="5" s="1"/>
  <c r="E39" i="5"/>
  <c r="F41" i="5"/>
  <c r="D44" i="5"/>
  <c r="E44" i="5"/>
  <c r="F44" i="5"/>
  <c r="G44" i="5"/>
  <c r="D49" i="5"/>
  <c r="F49" i="5" s="1"/>
  <c r="G49" i="5" s="1"/>
  <c r="E49" i="5"/>
  <c r="F51" i="5"/>
  <c r="D55" i="5"/>
  <c r="E55" i="5"/>
  <c r="F55" i="5"/>
  <c r="G55" i="5"/>
  <c r="F58" i="5"/>
  <c r="D61" i="5"/>
  <c r="F61" i="5" s="1"/>
  <c r="G61" i="5" s="1"/>
  <c r="E61" i="5"/>
  <c r="F64" i="5"/>
  <c r="D66" i="5"/>
  <c r="F66" i="5" s="1"/>
  <c r="G66" i="5" s="1"/>
  <c r="E66" i="5"/>
  <c r="E69" i="5" s="1"/>
  <c r="E75" i="5" s="1"/>
  <c r="F68" i="5"/>
  <c r="C69" i="5"/>
  <c r="E73" i="5"/>
  <c r="P13" i="2"/>
  <c r="D15" i="2"/>
  <c r="E15" i="2"/>
  <c r="F15" i="2"/>
  <c r="G15" i="2"/>
  <c r="G44" i="2" s="1"/>
  <c r="H15" i="2"/>
  <c r="H44" i="2" s="1"/>
  <c r="I15" i="2"/>
  <c r="I44" i="2" s="1"/>
  <c r="J15" i="2"/>
  <c r="J44" i="2" s="1"/>
  <c r="K15" i="2"/>
  <c r="L15" i="2"/>
  <c r="M15" i="2"/>
  <c r="N15" i="2"/>
  <c r="O15" i="2"/>
  <c r="O44" i="2" s="1"/>
  <c r="O46" i="2" s="1"/>
  <c r="P15" i="2"/>
  <c r="G17" i="2"/>
  <c r="H17" i="2"/>
  <c r="I17" i="2"/>
  <c r="J17" i="2"/>
  <c r="K17" i="2"/>
  <c r="L17" i="2"/>
  <c r="M17" i="2"/>
  <c r="N17" i="2"/>
  <c r="G18" i="2"/>
  <c r="G45" i="2" s="1"/>
  <c r="H18" i="2"/>
  <c r="I18" i="2"/>
  <c r="J18" i="2"/>
  <c r="K18" i="2"/>
  <c r="L18" i="2"/>
  <c r="M18" i="2"/>
  <c r="M20" i="2" s="1"/>
  <c r="N18" i="2"/>
  <c r="N20" i="2" s="1"/>
  <c r="P18" i="2"/>
  <c r="D20" i="2"/>
  <c r="E20" i="2"/>
  <c r="F20" i="2"/>
  <c r="G20" i="2"/>
  <c r="J20" i="2"/>
  <c r="K20" i="2"/>
  <c r="L20" i="2"/>
  <c r="O20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P25" i="2"/>
  <c r="P26" i="2"/>
  <c r="P30" i="2" s="1"/>
  <c r="P27" i="2"/>
  <c r="P28" i="2"/>
  <c r="D30" i="2"/>
  <c r="D35" i="2" s="1"/>
  <c r="D38" i="2" s="1"/>
  <c r="E30" i="2"/>
  <c r="E35" i="2" s="1"/>
  <c r="E38" i="2" s="1"/>
  <c r="F30" i="2"/>
  <c r="G30" i="2"/>
  <c r="H30" i="2"/>
  <c r="I30" i="2"/>
  <c r="I35" i="2" s="1"/>
  <c r="J30" i="2"/>
  <c r="K30" i="2"/>
  <c r="L30" i="2"/>
  <c r="L35" i="2" s="1"/>
  <c r="L38" i="2" s="1"/>
  <c r="M30" i="2"/>
  <c r="M35" i="2" s="1"/>
  <c r="N30" i="2"/>
  <c r="O30" i="2"/>
  <c r="G32" i="2"/>
  <c r="H32" i="2"/>
  <c r="I32" i="2"/>
  <c r="J32" i="2"/>
  <c r="K32" i="2"/>
  <c r="L32" i="2"/>
  <c r="M32" i="2"/>
  <c r="N32" i="2"/>
  <c r="G33" i="2"/>
  <c r="H33" i="2"/>
  <c r="I33" i="2"/>
  <c r="J33" i="2"/>
  <c r="J45" i="2" s="1"/>
  <c r="J51" i="2" s="1"/>
  <c r="K33" i="2"/>
  <c r="K45" i="2" s="1"/>
  <c r="L33" i="2"/>
  <c r="L45" i="2" s="1"/>
  <c r="M33" i="2"/>
  <c r="N33" i="2"/>
  <c r="N35" i="2" s="1"/>
  <c r="N38" i="2" s="1"/>
  <c r="F35" i="2"/>
  <c r="F38" i="2" s="1"/>
  <c r="G35" i="2"/>
  <c r="G38" i="2" s="1"/>
  <c r="H35" i="2"/>
  <c r="O35" i="2"/>
  <c r="O38" i="2" s="1"/>
  <c r="D44" i="2"/>
  <c r="D46" i="2" s="1"/>
  <c r="E44" i="2"/>
  <c r="E46" i="2" s="1"/>
  <c r="F44" i="2"/>
  <c r="F46" i="2" s="1"/>
  <c r="K44" i="2"/>
  <c r="K59" i="2" s="1"/>
  <c r="L44" i="2"/>
  <c r="L46" i="2" s="1"/>
  <c r="M44" i="2"/>
  <c r="N44" i="2"/>
  <c r="C71" i="5" s="1"/>
  <c r="D45" i="2"/>
  <c r="D51" i="2" s="1"/>
  <c r="E45" i="2"/>
  <c r="F45" i="2"/>
  <c r="H45" i="2"/>
  <c r="H51" i="2" s="1"/>
  <c r="I45" i="2"/>
  <c r="O45" i="2"/>
  <c r="O50" i="2" s="1"/>
  <c r="G49" i="2"/>
  <c r="H49" i="2"/>
  <c r="H50" i="2" s="1"/>
  <c r="I49" i="2"/>
  <c r="I51" i="2" s="1"/>
  <c r="J49" i="2"/>
  <c r="J50" i="2" s="1"/>
  <c r="K49" i="2"/>
  <c r="L49" i="2"/>
  <c r="M49" i="2"/>
  <c r="N49" i="2"/>
  <c r="D50" i="2"/>
  <c r="E50" i="2"/>
  <c r="F50" i="2"/>
  <c r="E51" i="2"/>
  <c r="F51" i="2"/>
  <c r="B53" i="2"/>
  <c r="P44" i="2" l="1"/>
  <c r="H59" i="2"/>
  <c r="H46" i="2"/>
  <c r="G59" i="2"/>
  <c r="G46" i="2"/>
  <c r="L51" i="2"/>
  <c r="L50" i="2"/>
  <c r="M38" i="2"/>
  <c r="K51" i="2"/>
  <c r="K50" i="2"/>
  <c r="K46" i="2"/>
  <c r="J46" i="2"/>
  <c r="J59" i="2"/>
  <c r="F71" i="5"/>
  <c r="F70" i="5" s="1"/>
  <c r="C70" i="5"/>
  <c r="G50" i="2"/>
  <c r="G51" i="2"/>
  <c r="I59" i="2"/>
  <c r="I46" i="2"/>
  <c r="Q49" i="3"/>
  <c r="A23" i="3"/>
  <c r="A19" i="3"/>
  <c r="N59" i="2"/>
  <c r="I20" i="2"/>
  <c r="I38" i="2" s="1"/>
  <c r="N45" i="2"/>
  <c r="M59" i="2"/>
  <c r="O51" i="2"/>
  <c r="M45" i="2"/>
  <c r="P20" i="2"/>
  <c r="H20" i="2"/>
  <c r="H38" i="2" s="1"/>
  <c r="D69" i="5"/>
  <c r="E74" i="5" s="1"/>
  <c r="F75" i="5" s="1"/>
  <c r="M26" i="3"/>
  <c r="S38" i="3"/>
  <c r="A21" i="3"/>
  <c r="A17" i="3"/>
  <c r="A15" i="3"/>
  <c r="S16" i="3"/>
  <c r="S26" i="3" s="1"/>
  <c r="S31" i="3" s="1"/>
  <c r="L59" i="2"/>
  <c r="K35" i="2"/>
  <c r="K38" i="2" s="1"/>
  <c r="P33" i="2"/>
  <c r="P45" i="2" s="1"/>
  <c r="I50" i="2"/>
  <c r="N46" i="2"/>
  <c r="F77" i="5" s="1"/>
  <c r="F78" i="5" s="1"/>
  <c r="J35" i="2"/>
  <c r="J38" i="2" s="1"/>
  <c r="S39" i="3" l="1"/>
  <c r="S49" i="3" s="1"/>
  <c r="U46" i="3"/>
  <c r="N50" i="2"/>
  <c r="N51" i="2"/>
  <c r="P46" i="2"/>
  <c r="P35" i="2"/>
  <c r="P38" i="2" s="1"/>
  <c r="M50" i="2"/>
  <c r="M51" i="2"/>
  <c r="M46" i="2"/>
  <c r="S51" i="3" l="1"/>
  <c r="S56" i="3"/>
</calcChain>
</file>

<file path=xl/sharedStrings.xml><?xml version="1.0" encoding="utf-8"?>
<sst xmlns="http://schemas.openxmlformats.org/spreadsheetml/2006/main" count="228" uniqueCount="160">
  <si>
    <t xml:space="preserve">               Business Analysis &amp; Reporting - Portfolio Accounting</t>
  </si>
  <si>
    <t xml:space="preserve">               Balance Sheet Reconciliation</t>
  </si>
  <si>
    <t>Book:</t>
  </si>
  <si>
    <t>Month:</t>
  </si>
  <si>
    <t xml:space="preserve">Mark to Market Assets/Liabilities </t>
  </si>
  <si>
    <t>General Ledger Account</t>
  </si>
  <si>
    <t>Subledger</t>
  </si>
  <si>
    <t>Total</t>
  </si>
  <si>
    <t>Total  MTM Assets/Liab</t>
  </si>
  <si>
    <t>Daily Position Report - Amounts from Roll Forward</t>
  </si>
  <si>
    <t>Explanation of Difference:</t>
  </si>
  <si>
    <t>Credit Reserve</t>
  </si>
  <si>
    <t>(company/major/sub/sl)</t>
  </si>
  <si>
    <t>Credit Reserves:</t>
  </si>
  <si>
    <t>Book(s):</t>
  </si>
  <si>
    <t>Subledger:</t>
  </si>
  <si>
    <t xml:space="preserve">Mark to Market </t>
  </si>
  <si>
    <t>(Inc)/Exp ($'s)</t>
  </si>
  <si>
    <t>Total MTM Assets/Liability</t>
  </si>
  <si>
    <t>MTM Income Per DPR</t>
  </si>
  <si>
    <t>MTM Variance</t>
  </si>
  <si>
    <t>Liquidations</t>
  </si>
  <si>
    <t>Total Liquidations</t>
  </si>
  <si>
    <t>Liquidation Income Per DPR</t>
  </si>
  <si>
    <t>Liquidation Variance</t>
  </si>
  <si>
    <t>Total Variance</t>
  </si>
  <si>
    <t>TOTAL G/L</t>
  </si>
  <si>
    <t>TOTAL DPR</t>
  </si>
  <si>
    <t>TOTAL VARIANCE</t>
  </si>
  <si>
    <t>Responsibility Codes:  Financial Ops (FO), Financial Settlements (FS), Client Services (CS), Risk Management (RM), To Be Determined (TBD)</t>
  </si>
  <si>
    <t>Types of Variances:  Prior Year Adjustments (P), Current Year Adjustments - Timing (T), Exposure (E), Other (O)</t>
  </si>
  <si>
    <t>Resp.</t>
  </si>
  <si>
    <t>Bookcode</t>
  </si>
  <si>
    <t>Month</t>
  </si>
  <si>
    <t>Code</t>
  </si>
  <si>
    <t>Type</t>
  </si>
  <si>
    <t>Description</t>
  </si>
  <si>
    <t>Total**</t>
  </si>
  <si>
    <t>Subtotal</t>
  </si>
  <si>
    <t>INCEPTION TO DATE RECONCILIATION</t>
  </si>
  <si>
    <t>OUTSTANDING G/L ADJUSTMENTS:</t>
  </si>
  <si>
    <t>TOTAL OUTSTANDING G/L ADJUSTMENTS</t>
  </si>
  <si>
    <t>OUTSTANDING DPR ADJUSTMENTS:</t>
  </si>
  <si>
    <t>TOTAL OUSTANDING DPR ADJUSTMENTS</t>
  </si>
  <si>
    <t>Check</t>
  </si>
  <si>
    <t>TOTAL OUTSTANDING VARIANCES - BY MONTH</t>
  </si>
  <si>
    <t>*  FOR RESPONSIBILITY CODE:         RM = (DR)/CR</t>
  </si>
  <si>
    <t>DPR OVER/(UNDER) G/L -  INCEPTION TO DATE</t>
  </si>
  <si>
    <t xml:space="preserve">   FOR RESPONSIBILITY CODE:       FS or FO = DR/(CR)</t>
  </si>
  <si>
    <t>**  IF THE AMOUNT IN THIS COLUMN IS:</t>
  </si>
  <si>
    <t>ACCRUAL (HYPERION)</t>
  </si>
  <si>
    <t xml:space="preserve">    (BRACKETED) = DPR IS LESS THAN THE G/L</t>
  </si>
  <si>
    <t xml:space="preserve">    W/O BRACKETS = DPR IS GREATER THAN THE G/L</t>
  </si>
  <si>
    <t>DIFFERENCE</t>
  </si>
  <si>
    <t>Adjustments</t>
  </si>
  <si>
    <t>Rho &amp; Drift</t>
  </si>
  <si>
    <t>Broker Fees</t>
  </si>
  <si>
    <t>Prior Month Adjustments</t>
  </si>
  <si>
    <t>TOTAL DPR MTM Income</t>
  </si>
  <si>
    <t>End vs Beginning Bal</t>
  </si>
  <si>
    <t>SUBTOTAL - 2000 VARIANCE ONLY</t>
  </si>
  <si>
    <t>Mark to Market</t>
  </si>
  <si>
    <t>Monthly Reconcilation of G/L and Liquidation Schedule</t>
  </si>
  <si>
    <t>Less Prior</t>
  </si>
  <si>
    <t>Plus</t>
  </si>
  <si>
    <t xml:space="preserve"> </t>
  </si>
  <si>
    <t xml:space="preserve">Adj. to be </t>
  </si>
  <si>
    <t>Account Number</t>
  </si>
  <si>
    <t>Order</t>
  </si>
  <si>
    <t>Per G/L</t>
  </si>
  <si>
    <t>Booked Next Month</t>
  </si>
  <si>
    <t>Liquidation</t>
  </si>
  <si>
    <t>Out of Balance</t>
  </si>
  <si>
    <t>364.51009600</t>
  </si>
  <si>
    <t>Third Pty Liquidations</t>
  </si>
  <si>
    <t>364.450150000</t>
  </si>
  <si>
    <t>500002???</t>
  </si>
  <si>
    <t>Prior Month Accrual</t>
  </si>
  <si>
    <t>Current Month Accrual</t>
  </si>
  <si>
    <t>InterCompanies/InnerBook</t>
  </si>
  <si>
    <t>364.45016000.967</t>
  </si>
  <si>
    <t>967.45016000.364</t>
  </si>
  <si>
    <t>967.45015000.364</t>
  </si>
  <si>
    <t>967.45016000.967</t>
  </si>
  <si>
    <t>42000000</t>
  </si>
  <si>
    <t>Accrual for LTD Dpr</t>
  </si>
  <si>
    <t>Total Value for Nymex Daily</t>
  </si>
  <si>
    <t>Total Value Reconciliation</t>
  </si>
  <si>
    <t>Roll Ties</t>
  </si>
  <si>
    <t>Items to be Booked</t>
  </si>
  <si>
    <t>Outage:</t>
  </si>
  <si>
    <t>967.45016000.012</t>
  </si>
  <si>
    <t>Profit Center</t>
  </si>
  <si>
    <t>Total (M$)</t>
  </si>
  <si>
    <t>967.21060000</t>
  </si>
  <si>
    <t>967.25100000</t>
  </si>
  <si>
    <t>967.30300000</t>
  </si>
  <si>
    <t>967.33100000</t>
  </si>
  <si>
    <t>(company/account)</t>
  </si>
  <si>
    <t xml:space="preserve">               Enron North America</t>
  </si>
  <si>
    <t>Enron North America</t>
  </si>
  <si>
    <t>FS Variance</t>
  </si>
  <si>
    <t>364.45015000.1J2</t>
  </si>
  <si>
    <t>364.45016000.78P</t>
  </si>
  <si>
    <t>Third Party Accrual</t>
  </si>
  <si>
    <t>364.20011000</t>
  </si>
  <si>
    <t>LESS 2001 ADJ TO DPR VS 2000 ACTUAL:</t>
  </si>
  <si>
    <t>LESS 2001 ADJ TO G/L VS 2000 DPR:</t>
  </si>
  <si>
    <t>G/L VARIANCES VS 2001 DPR (SEE ABOVE)</t>
  </si>
  <si>
    <t>DPR VARIANCES VS 2001 G/L (SEE ABOVE)</t>
  </si>
  <si>
    <t>G/L VARIANCES VS 2000 DPR</t>
  </si>
  <si>
    <t xml:space="preserve">DPR VARIANCES VS 2000 G/L </t>
  </si>
  <si>
    <t>Outstanding</t>
  </si>
  <si>
    <t>Feb-01*</t>
  </si>
  <si>
    <t>Mar-01*</t>
  </si>
  <si>
    <t>Apr-01*</t>
  </si>
  <si>
    <t>May-01*</t>
  </si>
  <si>
    <t>Jun-01*</t>
  </si>
  <si>
    <t>Jul-01*</t>
  </si>
  <si>
    <t>Aug-01*</t>
  </si>
  <si>
    <t>Sep-01*</t>
  </si>
  <si>
    <t>Oct-01*</t>
  </si>
  <si>
    <t>Nov-01*</t>
  </si>
  <si>
    <t>Dec-01*</t>
  </si>
  <si>
    <t>Jan-01*</t>
  </si>
  <si>
    <t>967.45016000.1Y2</t>
  </si>
  <si>
    <t>2000 ADJ *</t>
  </si>
  <si>
    <t xml:space="preserve">               Income Statement Reconciliation - 2001 YTD</t>
  </si>
  <si>
    <t>42000000 Mark to Market</t>
  </si>
  <si>
    <t>51009600 Broker Fees</t>
  </si>
  <si>
    <t>45016000 Liquidations</t>
  </si>
  <si>
    <t>45015000 Third Party Accr</t>
  </si>
  <si>
    <t>45016000 Rho &amp; Drift</t>
  </si>
  <si>
    <t>Accrual</t>
  </si>
  <si>
    <t>967.20011000</t>
  </si>
  <si>
    <t>Accrual from LTD Rec</t>
  </si>
  <si>
    <t>FT Katy</t>
  </si>
  <si>
    <t>G/L Profit Center  27094 (Final Close)</t>
  </si>
  <si>
    <t>Other G/L Entries</t>
  </si>
  <si>
    <t>Total G/L</t>
  </si>
  <si>
    <t>May</t>
  </si>
  <si>
    <t>FO</t>
  </si>
  <si>
    <t>E</t>
  </si>
  <si>
    <t>Broker fees on stmt but not in correct pc</t>
  </si>
  <si>
    <t>O</t>
  </si>
  <si>
    <t>Miscellaneous Rounding</t>
  </si>
  <si>
    <t>Jun</t>
  </si>
  <si>
    <t>FS</t>
  </si>
  <si>
    <t>Duke Energy Trading &amp; Marketing (Offset PC 11837-$32 Rounding diff )</t>
  </si>
  <si>
    <t>El Paso Merchange Energy (offset with pc 11816; deal v99538.1 $74,550 )</t>
  </si>
  <si>
    <t>Jul</t>
  </si>
  <si>
    <t>Aug</t>
  </si>
  <si>
    <t>RM</t>
  </si>
  <si>
    <t>Broker fees not taken - added to DPR (2nd WD) after liquidations ran</t>
  </si>
  <si>
    <t>Texaco Natural Gas Inc - net w/ PC 11829 - revalue VB9536 using fixed price of 3.7405 and float of 3.79 (inv 0107903)</t>
  </si>
  <si>
    <t>Oct</t>
  </si>
  <si>
    <t>ZH book didn't book liquidations with Katy - will book in Nov</t>
  </si>
  <si>
    <t>Broker fees taken by DPR but not booked in GL - offset in FT Texas</t>
  </si>
  <si>
    <t>Nov</t>
  </si>
  <si>
    <t>Third party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</si>
</sst>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0_);\(0\)"/>
    <numFmt numFmtId="166" formatCode="0.000"/>
    <numFmt numFmtId="168" formatCode="0_);[Red]\(0\)"/>
  </numFmts>
  <fonts count="21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</font>
    <font>
      <b/>
      <sz val="12"/>
      <name val="Arial"/>
    </font>
    <font>
      <b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u/>
      <sz val="10"/>
      <name val="Arial"/>
      <family val="2"/>
    </font>
    <font>
      <sz val="8"/>
      <color indexed="55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48"/>
      <name val="Arial"/>
      <family val="2"/>
    </font>
    <font>
      <i/>
      <sz val="8"/>
      <name val="Arial"/>
      <family val="2"/>
    </font>
    <font>
      <b/>
      <sz val="10"/>
      <color indexed="5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259">
    <xf numFmtId="0" fontId="0" fillId="0" borderId="0" xfId="0"/>
    <xf numFmtId="0" fontId="5" fillId="0" borderId="0" xfId="0" applyFont="1"/>
    <xf numFmtId="0" fontId="4" fillId="0" borderId="0" xfId="0" applyFont="1"/>
    <xf numFmtId="0" fontId="2" fillId="0" borderId="0" xfId="0" quotePrefix="1" applyFont="1"/>
    <xf numFmtId="0" fontId="1" fillId="0" borderId="1" xfId="0" applyFont="1" applyBorder="1"/>
    <xf numFmtId="0" fontId="1" fillId="0" borderId="2" xfId="0" applyFont="1" applyBorder="1"/>
    <xf numFmtId="0" fontId="6" fillId="0" borderId="0" xfId="0" applyFont="1"/>
    <xf numFmtId="0" fontId="7" fillId="0" borderId="0" xfId="0" applyFont="1"/>
    <xf numFmtId="164" fontId="8" fillId="0" borderId="0" xfId="0" applyNumberFormat="1" applyFont="1"/>
    <xf numFmtId="0" fontId="0" fillId="0" borderId="2" xfId="0" applyBorder="1"/>
    <xf numFmtId="0" fontId="7" fillId="0" borderId="0" xfId="0" applyFont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7" fontId="1" fillId="0" borderId="4" xfId="0" applyNumberFormat="1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17" fontId="1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38" fontId="0" fillId="0" borderId="0" xfId="0" applyNumberFormat="1"/>
    <xf numFmtId="0" fontId="9" fillId="0" borderId="0" xfId="0" applyFont="1"/>
    <xf numFmtId="38" fontId="9" fillId="0" borderId="0" xfId="0" applyNumberFormat="1" applyFont="1"/>
    <xf numFmtId="0" fontId="1" fillId="0" borderId="3" xfId="0" applyFont="1" applyBorder="1"/>
    <xf numFmtId="38" fontId="1" fillId="0" borderId="3" xfId="0" applyNumberFormat="1" applyFont="1" applyBorder="1" applyAlignment="1">
      <alignment horizontal="center"/>
    </xf>
    <xf numFmtId="0" fontId="1" fillId="0" borderId="4" xfId="0" applyFont="1" applyBorder="1"/>
    <xf numFmtId="38" fontId="0" fillId="0" borderId="4" xfId="0" applyNumberFormat="1" applyBorder="1"/>
    <xf numFmtId="0" fontId="0" fillId="0" borderId="1" xfId="0" applyBorder="1"/>
    <xf numFmtId="165" fontId="0" fillId="0" borderId="3" xfId="0" applyNumberFormat="1" applyBorder="1"/>
    <xf numFmtId="38" fontId="0" fillId="0" borderId="3" xfId="0" applyNumberFormat="1" applyBorder="1"/>
    <xf numFmtId="0" fontId="4" fillId="0" borderId="7" xfId="0" applyFont="1" applyBorder="1" applyAlignment="1">
      <alignment horizontal="center"/>
    </xf>
    <xf numFmtId="0" fontId="0" fillId="0" borderId="8" xfId="0" applyBorder="1"/>
    <xf numFmtId="38" fontId="0" fillId="0" borderId="8" xfId="0" applyNumberFormat="1" applyBorder="1"/>
    <xf numFmtId="165" fontId="0" fillId="0" borderId="8" xfId="0" applyNumberFormat="1" applyBorder="1"/>
    <xf numFmtId="0" fontId="4" fillId="0" borderId="2" xfId="0" applyFont="1" applyBorder="1"/>
    <xf numFmtId="165" fontId="0" fillId="0" borderId="4" xfId="0" applyNumberFormat="1" applyBorder="1"/>
    <xf numFmtId="165" fontId="0" fillId="0" borderId="0" xfId="0" applyNumberFormat="1"/>
    <xf numFmtId="0" fontId="1" fillId="2" borderId="5" xfId="0" applyFont="1" applyFill="1" applyBorder="1"/>
    <xf numFmtId="0" fontId="0" fillId="2" borderId="9" xfId="0" applyFill="1" applyBorder="1"/>
    <xf numFmtId="165" fontId="0" fillId="2" borderId="9" xfId="0" applyNumberFormat="1" applyFill="1" applyBorder="1"/>
    <xf numFmtId="38" fontId="0" fillId="0" borderId="9" xfId="0" applyNumberFormat="1" applyBorder="1"/>
    <xf numFmtId="0" fontId="4" fillId="0" borderId="7" xfId="0" applyFont="1" applyBorder="1"/>
    <xf numFmtId="0" fontId="1" fillId="0" borderId="7" xfId="0" applyFont="1" applyBorder="1"/>
    <xf numFmtId="0" fontId="1" fillId="0" borderId="8" xfId="0" applyFont="1" applyBorder="1"/>
    <xf numFmtId="38" fontId="4" fillId="0" borderId="8" xfId="0" applyNumberFormat="1" applyFont="1" applyBorder="1"/>
    <xf numFmtId="40" fontId="0" fillId="0" borderId="2" xfId="0" applyNumberFormat="1" applyBorder="1"/>
    <xf numFmtId="40" fontId="0" fillId="0" borderId="5" xfId="0" applyNumberFormat="1" applyBorder="1"/>
    <xf numFmtId="40" fontId="0" fillId="0" borderId="10" xfId="0" applyNumberFormat="1" applyBorder="1"/>
    <xf numFmtId="40" fontId="0" fillId="0" borderId="6" xfId="0" applyNumberFormat="1" applyBorder="1"/>
    <xf numFmtId="40" fontId="0" fillId="0" borderId="0" xfId="0" applyNumberFormat="1"/>
    <xf numFmtId="40" fontId="0" fillId="2" borderId="11" xfId="0" applyNumberFormat="1" applyFill="1" applyBorder="1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44" fontId="0" fillId="0" borderId="0" xfId="3" applyFont="1"/>
    <xf numFmtId="40" fontId="0" fillId="0" borderId="0" xfId="0" applyNumberFormat="1" applyBorder="1"/>
    <xf numFmtId="0" fontId="1" fillId="0" borderId="0" xfId="0" applyFont="1"/>
    <xf numFmtId="40" fontId="0" fillId="0" borderId="9" xfId="0" applyNumberFormat="1" applyBorder="1"/>
    <xf numFmtId="40" fontId="0" fillId="0" borderId="3" xfId="0" applyNumberFormat="1" applyBorder="1"/>
    <xf numFmtId="17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40" fontId="0" fillId="0" borderId="4" xfId="0" applyNumberFormat="1" applyBorder="1"/>
    <xf numFmtId="40" fontId="0" fillId="0" borderId="12" xfId="0" applyNumberFormat="1" applyBorder="1"/>
    <xf numFmtId="0" fontId="0" fillId="0" borderId="0" xfId="0" applyAlignment="1">
      <alignment horizontal="center"/>
    </xf>
    <xf numFmtId="40" fontId="1" fillId="0" borderId="4" xfId="0" applyNumberFormat="1" applyFont="1" applyBorder="1"/>
    <xf numFmtId="40" fontId="4" fillId="0" borderId="4" xfId="0" applyNumberFormat="1" applyFont="1" applyBorder="1"/>
    <xf numFmtId="17" fontId="0" fillId="0" borderId="2" xfId="0" applyNumberFormat="1" applyBorder="1" applyAlignment="1">
      <alignment horizontal="left"/>
    </xf>
    <xf numFmtId="0" fontId="1" fillId="0" borderId="2" xfId="0" applyFont="1" applyBorder="1" applyAlignment="1">
      <alignment horizontal="centerContinuous"/>
    </xf>
    <xf numFmtId="0" fontId="1" fillId="0" borderId="4" xfId="0" applyFont="1" applyBorder="1" applyAlignment="1">
      <alignment horizontal="centerContinuous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40" fontId="0" fillId="0" borderId="15" xfId="0" applyNumberFormat="1" applyBorder="1"/>
    <xf numFmtId="40" fontId="4" fillId="0" borderId="15" xfId="0" applyNumberFormat="1" applyFont="1" applyBorder="1"/>
    <xf numFmtId="40" fontId="1" fillId="0" borderId="16" xfId="0" applyNumberFormat="1" applyFont="1" applyBorder="1"/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40" fontId="0" fillId="0" borderId="7" xfId="0" applyNumberFormat="1" applyBorder="1"/>
    <xf numFmtId="40" fontId="4" fillId="0" borderId="7" xfId="0" applyNumberFormat="1" applyFont="1" applyBorder="1"/>
    <xf numFmtId="40" fontId="1" fillId="0" borderId="7" xfId="0" applyNumberFormat="1" applyFont="1" applyBorder="1"/>
    <xf numFmtId="0" fontId="10" fillId="0" borderId="17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1" fillId="0" borderId="0" xfId="0" applyFont="1" applyBorder="1" applyAlignment="1">
      <alignment horizontal="centerContinuous"/>
    </xf>
    <xf numFmtId="0" fontId="1" fillId="0" borderId="17" xfId="0" applyFont="1" applyBorder="1" applyAlignment="1">
      <alignment horizontal="centerContinuous"/>
    </xf>
    <xf numFmtId="40" fontId="4" fillId="0" borderId="5" xfId="0" applyNumberFormat="1" applyFont="1" applyBorder="1"/>
    <xf numFmtId="40" fontId="1" fillId="0" borderId="5" xfId="0" applyNumberFormat="1" applyFont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Continuous"/>
    </xf>
    <xf numFmtId="0" fontId="1" fillId="0" borderId="12" xfId="0" applyFont="1" applyBorder="1" applyAlignment="1">
      <alignment horizontal="centerContinuous"/>
    </xf>
    <xf numFmtId="0" fontId="0" fillId="0" borderId="7" xfId="0" applyBorder="1"/>
    <xf numFmtId="40" fontId="1" fillId="0" borderId="21" xfId="0" applyNumberFormat="1" applyFont="1" applyBorder="1"/>
    <xf numFmtId="40" fontId="1" fillId="0" borderId="0" xfId="0" applyNumberFormat="1" applyFont="1" applyBorder="1"/>
    <xf numFmtId="40" fontId="3" fillId="0" borderId="0" xfId="0" applyNumberFormat="1" applyFont="1" applyBorder="1"/>
    <xf numFmtId="0" fontId="0" fillId="0" borderId="0" xfId="0" applyBorder="1"/>
    <xf numFmtId="0" fontId="3" fillId="0" borderId="0" xfId="0" applyFont="1" applyAlignment="1">
      <alignment horizontal="center"/>
    </xf>
    <xf numFmtId="40" fontId="1" fillId="0" borderId="19" xfId="0" applyNumberFormat="1" applyFont="1" applyBorder="1"/>
    <xf numFmtId="40" fontId="1" fillId="0" borderId="12" xfId="0" applyNumberFormat="1" applyFont="1" applyBorder="1"/>
    <xf numFmtId="40" fontId="0" fillId="0" borderId="22" xfId="0" applyNumberFormat="1" applyBorder="1"/>
    <xf numFmtId="40" fontId="0" fillId="0" borderId="23" xfId="0" applyNumberFormat="1" applyBorder="1"/>
    <xf numFmtId="40" fontId="0" fillId="0" borderId="24" xfId="0" applyNumberFormat="1" applyBorder="1"/>
    <xf numFmtId="40" fontId="0" fillId="0" borderId="25" xfId="0" applyNumberFormat="1" applyBorder="1"/>
    <xf numFmtId="0" fontId="12" fillId="0" borderId="0" xfId="0" applyFont="1"/>
    <xf numFmtId="0" fontId="12" fillId="0" borderId="0" xfId="0" applyFont="1" applyAlignment="1">
      <alignment horizontal="left"/>
    </xf>
    <xf numFmtId="0" fontId="1" fillId="0" borderId="0" xfId="0" applyFont="1" applyBorder="1" applyAlignment="1">
      <alignment horizontal="center"/>
    </xf>
    <xf numFmtId="40" fontId="13" fillId="0" borderId="23" xfId="0" applyNumberFormat="1" applyFont="1" applyBorder="1"/>
    <xf numFmtId="0" fontId="4" fillId="0" borderId="17" xfId="0" applyFont="1" applyBorder="1"/>
    <xf numFmtId="165" fontId="0" fillId="0" borderId="0" xfId="0" applyNumberFormat="1" applyBorder="1"/>
    <xf numFmtId="0" fontId="4" fillId="0" borderId="18" xfId="0" applyFont="1" applyBorder="1"/>
    <xf numFmtId="0" fontId="1" fillId="0" borderId="26" xfId="0" applyFont="1" applyBorder="1" applyAlignment="1">
      <alignment horizontal="center"/>
    </xf>
    <xf numFmtId="0" fontId="0" fillId="0" borderId="27" xfId="0" applyBorder="1"/>
    <xf numFmtId="165" fontId="0" fillId="0" borderId="27" xfId="0" applyNumberFormat="1" applyBorder="1"/>
    <xf numFmtId="0" fontId="0" fillId="0" borderId="19" xfId="0" applyBorder="1"/>
    <xf numFmtId="165" fontId="0" fillId="0" borderId="19" xfId="0" applyNumberFormat="1" applyBorder="1"/>
    <xf numFmtId="40" fontId="0" fillId="0" borderId="4" xfId="0" applyNumberFormat="1" applyBorder="1" applyAlignment="1">
      <alignment horizontal="right"/>
    </xf>
    <xf numFmtId="40" fontId="4" fillId="0" borderId="4" xfId="0" applyNumberFormat="1" applyFont="1" applyBorder="1" applyAlignment="1">
      <alignment horizontal="right"/>
    </xf>
    <xf numFmtId="40" fontId="0" fillId="0" borderId="15" xfId="0" applyNumberFormat="1" applyBorder="1" applyAlignment="1">
      <alignment horizontal="right"/>
    </xf>
    <xf numFmtId="40" fontId="0" fillId="0" borderId="7" xfId="0" applyNumberFormat="1" applyBorder="1" applyAlignment="1">
      <alignment horizontal="right"/>
    </xf>
    <xf numFmtId="40" fontId="4" fillId="0" borderId="5" xfId="0" applyNumberFormat="1" applyFont="1" applyBorder="1" applyAlignment="1">
      <alignment horizontal="right"/>
    </xf>
    <xf numFmtId="40" fontId="0" fillId="0" borderId="2" xfId="0" applyNumberFormat="1" applyBorder="1" applyAlignment="1">
      <alignment horizontal="right"/>
    </xf>
    <xf numFmtId="40" fontId="0" fillId="0" borderId="7" xfId="0" applyNumberFormat="1" applyBorder="1" applyAlignment="1"/>
    <xf numFmtId="0" fontId="14" fillId="0" borderId="0" xfId="0" applyFont="1"/>
    <xf numFmtId="0" fontId="15" fillId="0" borderId="0" xfId="0" applyFont="1"/>
    <xf numFmtId="0" fontId="0" fillId="0" borderId="0" xfId="0" applyAlignment="1">
      <alignment horizontal="right"/>
    </xf>
    <xf numFmtId="43" fontId="0" fillId="0" borderId="0" xfId="0" applyNumberFormat="1"/>
    <xf numFmtId="40" fontId="0" fillId="0" borderId="28" xfId="0" applyNumberFormat="1" applyBorder="1"/>
    <xf numFmtId="0" fontId="0" fillId="0" borderId="5" xfId="0" applyBorder="1"/>
    <xf numFmtId="39" fontId="0" fillId="0" borderId="0" xfId="0" applyNumberFormat="1" applyAlignment="1">
      <alignment horizontal="right"/>
    </xf>
    <xf numFmtId="166" fontId="0" fillId="0" borderId="0" xfId="0" applyNumberFormat="1" applyAlignment="1">
      <alignment horizontal="centerContinuous"/>
    </xf>
    <xf numFmtId="39" fontId="0" fillId="0" borderId="0" xfId="0" applyNumberFormat="1" applyAlignment="1">
      <alignment horizontal="centerContinuous"/>
    </xf>
    <xf numFmtId="39" fontId="1" fillId="0" borderId="0" xfId="0" applyNumberFormat="1" applyFont="1"/>
    <xf numFmtId="3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9" xfId="0" applyFont="1" applyBorder="1"/>
    <xf numFmtId="39" fontId="1" fillId="0" borderId="19" xfId="0" applyNumberFormat="1" applyFont="1" applyBorder="1"/>
    <xf numFmtId="39" fontId="1" fillId="0" borderId="19" xfId="0" applyNumberFormat="1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Border="1"/>
    <xf numFmtId="39" fontId="1" fillId="0" borderId="0" xfId="0" applyNumberFormat="1" applyFont="1" applyBorder="1"/>
    <xf numFmtId="39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quotePrefix="1" applyFont="1" applyBorder="1" applyAlignment="1">
      <alignment horizontal="right"/>
    </xf>
    <xf numFmtId="39" fontId="17" fillId="0" borderId="0" xfId="0" applyNumberFormat="1" applyFont="1" applyBorder="1"/>
    <xf numFmtId="39" fontId="1" fillId="3" borderId="0" xfId="0" applyNumberFormat="1" applyFont="1" applyFill="1" applyBorder="1" applyAlignment="1">
      <alignment horizontal="right"/>
    </xf>
    <xf numFmtId="39" fontId="1" fillId="3" borderId="19" xfId="0" applyNumberFormat="1" applyFont="1" applyFill="1" applyBorder="1" applyAlignment="1">
      <alignment horizontal="right"/>
    </xf>
    <xf numFmtId="39" fontId="1" fillId="0" borderId="29" xfId="0" applyNumberFormat="1" applyFont="1" applyBorder="1" applyAlignment="1">
      <alignment horizontal="right"/>
    </xf>
    <xf numFmtId="39" fontId="1" fillId="0" borderId="30" xfId="0" applyNumberFormat="1" applyFont="1" applyBorder="1" applyAlignment="1">
      <alignment horizontal="right"/>
    </xf>
    <xf numFmtId="0" fontId="15" fillId="0" borderId="0" xfId="0" applyFont="1" applyBorder="1" applyAlignment="1">
      <alignment horizontal="right"/>
    </xf>
    <xf numFmtId="39" fontId="18" fillId="0" borderId="0" xfId="0" applyNumberFormat="1" applyFont="1" applyBorder="1"/>
    <xf numFmtId="43" fontId="1" fillId="0" borderId="0" xfId="0" applyNumberFormat="1" applyFont="1" applyAlignment="1">
      <alignment horizontal="center"/>
    </xf>
    <xf numFmtId="39" fontId="15" fillId="0" borderId="0" xfId="0" applyNumberFormat="1" applyFont="1" applyBorder="1"/>
    <xf numFmtId="39" fontId="1" fillId="0" borderId="0" xfId="0" quotePrefix="1" applyNumberFormat="1" applyFont="1" applyAlignment="1">
      <alignment horizontal="right"/>
    </xf>
    <xf numFmtId="39" fontId="17" fillId="0" borderId="0" xfId="0" quotePrefix="1" applyNumberFormat="1" applyFont="1"/>
    <xf numFmtId="39" fontId="0" fillId="3" borderId="0" xfId="0" applyNumberFormat="1" applyFill="1" applyAlignment="1">
      <alignment horizontal="right"/>
    </xf>
    <xf numFmtId="39" fontId="18" fillId="0" borderId="0" xfId="0" applyNumberFormat="1" applyFont="1"/>
    <xf numFmtId="39" fontId="15" fillId="0" borderId="0" xfId="0" applyNumberFormat="1" applyFont="1"/>
    <xf numFmtId="39" fontId="17" fillId="0" borderId="0" xfId="0" applyNumberFormat="1" applyFont="1"/>
    <xf numFmtId="39" fontId="13" fillId="3" borderId="0" xfId="0" applyNumberFormat="1" applyFont="1" applyFill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13" fillId="0" borderId="0" xfId="0" applyFont="1"/>
    <xf numFmtId="39" fontId="1" fillId="0" borderId="0" xfId="0" applyNumberFormat="1" applyFont="1" applyAlignment="1">
      <alignment horizontal="right"/>
    </xf>
    <xf numFmtId="39" fontId="1" fillId="0" borderId="30" xfId="0" applyNumberFormat="1" applyFont="1" applyBorder="1"/>
    <xf numFmtId="39" fontId="0" fillId="0" borderId="0" xfId="0" applyNumberFormat="1"/>
    <xf numFmtId="39" fontId="19" fillId="0" borderId="30" xfId="0" applyNumberFormat="1" applyFont="1" applyBorder="1"/>
    <xf numFmtId="39" fontId="1" fillId="3" borderId="26" xfId="0" applyNumberFormat="1" applyFont="1" applyFill="1" applyBorder="1"/>
    <xf numFmtId="39" fontId="13" fillId="3" borderId="27" xfId="0" applyNumberFormat="1" applyFont="1" applyFill="1" applyBorder="1" applyAlignment="1">
      <alignment horizontal="right"/>
    </xf>
    <xf numFmtId="39" fontId="13" fillId="3" borderId="3" xfId="0" applyNumberFormat="1" applyFont="1" applyFill="1" applyBorder="1" applyAlignment="1">
      <alignment horizontal="right"/>
    </xf>
    <xf numFmtId="39" fontId="1" fillId="3" borderId="17" xfId="0" applyNumberFormat="1" applyFont="1" applyFill="1" applyBorder="1"/>
    <xf numFmtId="39" fontId="13" fillId="3" borderId="8" xfId="0" applyNumberFormat="1" applyFont="1" applyFill="1" applyBorder="1" applyAlignment="1">
      <alignment horizontal="right"/>
    </xf>
    <xf numFmtId="39" fontId="1" fillId="3" borderId="18" xfId="0" applyNumberFormat="1" applyFont="1" applyFill="1" applyBorder="1"/>
    <xf numFmtId="39" fontId="13" fillId="3" borderId="19" xfId="0" applyNumberFormat="1" applyFont="1" applyFill="1" applyBorder="1" applyAlignment="1">
      <alignment horizontal="right"/>
    </xf>
    <xf numFmtId="39" fontId="13" fillId="3" borderId="4" xfId="0" applyNumberFormat="1" applyFont="1" applyFill="1" applyBorder="1" applyAlignment="1">
      <alignment horizontal="right"/>
    </xf>
    <xf numFmtId="39" fontId="16" fillId="0" borderId="0" xfId="0" applyNumberFormat="1" applyFont="1" applyAlignment="1">
      <alignment horizontal="right"/>
    </xf>
    <xf numFmtId="39" fontId="0" fillId="0" borderId="0" xfId="1" applyNumberFormat="1" applyFont="1" applyAlignment="1">
      <alignment horizontal="right"/>
    </xf>
    <xf numFmtId="39" fontId="1" fillId="0" borderId="0" xfId="1" applyNumberFormat="1" applyFont="1" applyAlignment="1">
      <alignment horizontal="right"/>
    </xf>
    <xf numFmtId="39" fontId="1" fillId="0" borderId="30" xfId="1" applyNumberFormat="1" applyFont="1" applyBorder="1" applyAlignment="1">
      <alignment horizontal="right"/>
    </xf>
    <xf numFmtId="39" fontId="1" fillId="0" borderId="0" xfId="1" applyNumberFormat="1" applyFont="1" applyBorder="1" applyAlignment="1">
      <alignment horizontal="right"/>
    </xf>
    <xf numFmtId="39" fontId="1" fillId="0" borderId="0" xfId="2" applyNumberFormat="1" applyFont="1" applyBorder="1" applyAlignment="1">
      <alignment horizontal="right"/>
    </xf>
    <xf numFmtId="39" fontId="1" fillId="0" borderId="0" xfId="2" applyNumberFormat="1" applyFont="1" applyAlignment="1">
      <alignment horizontal="right"/>
    </xf>
    <xf numFmtId="39" fontId="19" fillId="0" borderId="0" xfId="0" applyNumberFormat="1" applyFont="1" applyAlignment="1">
      <alignment horizontal="right"/>
    </xf>
    <xf numFmtId="39" fontId="1" fillId="0" borderId="30" xfId="2" applyNumberFormat="1" applyFont="1" applyBorder="1" applyAlignment="1">
      <alignment horizontal="right"/>
    </xf>
    <xf numFmtId="40" fontId="0" fillId="0" borderId="0" xfId="1" applyNumberFormat="1" applyFont="1"/>
    <xf numFmtId="40" fontId="1" fillId="0" borderId="2" xfId="1" applyNumberFormat="1" applyFont="1" applyBorder="1"/>
    <xf numFmtId="40" fontId="0" fillId="0" borderId="2" xfId="1" applyNumberFormat="1" applyFont="1" applyBorder="1"/>
    <xf numFmtId="40" fontId="0" fillId="0" borderId="10" xfId="1" applyNumberFormat="1" applyFont="1" applyBorder="1"/>
    <xf numFmtId="40" fontId="0" fillId="0" borderId="5" xfId="1" applyNumberFormat="1" applyFont="1" applyBorder="1"/>
    <xf numFmtId="40" fontId="0" fillId="0" borderId="28" xfId="1" applyNumberFormat="1" applyFont="1" applyBorder="1"/>
    <xf numFmtId="40" fontId="0" fillId="0" borderId="6" xfId="1" applyNumberFormat="1" applyFont="1" applyBorder="1"/>
    <xf numFmtId="40" fontId="0" fillId="2" borderId="11" xfId="1" applyNumberFormat="1" applyFont="1" applyFill="1" applyBorder="1"/>
    <xf numFmtId="40" fontId="0" fillId="0" borderId="22" xfId="1" applyNumberFormat="1" applyFont="1" applyBorder="1"/>
    <xf numFmtId="40" fontId="0" fillId="0" borderId="25" xfId="1" applyNumberFormat="1" applyFont="1" applyBorder="1"/>
    <xf numFmtId="40" fontId="0" fillId="0" borderId="23" xfId="1" applyNumberFormat="1" applyFont="1" applyBorder="1"/>
    <xf numFmtId="40" fontId="0" fillId="0" borderId="0" xfId="1" applyNumberFormat="1" applyFont="1" applyAlignment="1">
      <alignment horizontal="center"/>
    </xf>
    <xf numFmtId="40" fontId="1" fillId="0" borderId="2" xfId="1" applyNumberFormat="1" applyFont="1" applyBorder="1" applyAlignment="1">
      <alignment horizontal="left"/>
    </xf>
    <xf numFmtId="0" fontId="11" fillId="4" borderId="17" xfId="0" applyFont="1" applyFill="1" applyBorder="1" applyAlignment="1">
      <alignment horizontal="left"/>
    </xf>
    <xf numFmtId="0" fontId="0" fillId="4" borderId="0" xfId="0" applyFill="1" applyBorder="1" applyAlignment="1">
      <alignment horizontal="center"/>
    </xf>
    <xf numFmtId="0" fontId="11" fillId="5" borderId="17" xfId="0" applyFont="1" applyFill="1" applyBorder="1" applyAlignment="1">
      <alignment horizontal="left"/>
    </xf>
    <xf numFmtId="0" fontId="0" fillId="5" borderId="0" xfId="0" applyFill="1" applyBorder="1" applyAlignment="1">
      <alignment horizontal="center"/>
    </xf>
    <xf numFmtId="0" fontId="4" fillId="0" borderId="7" xfId="0" quotePrefix="1" applyFont="1" applyBorder="1" applyAlignment="1">
      <alignment horizontal="center"/>
    </xf>
    <xf numFmtId="0" fontId="9" fillId="0" borderId="0" xfId="0" applyFont="1" applyAlignment="1">
      <alignment horizontal="left"/>
    </xf>
    <xf numFmtId="164" fontId="1" fillId="0" borderId="0" xfId="0" applyNumberFormat="1" applyFont="1" applyBorder="1" applyAlignment="1">
      <alignment horizontal="centerContinuous"/>
    </xf>
    <xf numFmtId="39" fontId="13" fillId="3" borderId="0" xfId="0" applyNumberFormat="1" applyFont="1" applyFill="1" applyAlignment="1">
      <alignment horizontal="right"/>
    </xf>
    <xf numFmtId="0" fontId="20" fillId="0" borderId="7" xfId="0" quotePrefix="1" applyFont="1" applyBorder="1" applyAlignment="1">
      <alignment horizontal="center"/>
    </xf>
    <xf numFmtId="0" fontId="0" fillId="0" borderId="0" xfId="0" applyFill="1"/>
    <xf numFmtId="17" fontId="0" fillId="0" borderId="2" xfId="0" applyNumberForma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40" fontId="4" fillId="0" borderId="4" xfId="0" applyNumberFormat="1" applyFont="1" applyFill="1" applyBorder="1"/>
    <xf numFmtId="40" fontId="0" fillId="0" borderId="4" xfId="0" applyNumberFormat="1" applyFill="1" applyBorder="1"/>
    <xf numFmtId="40" fontId="0" fillId="0" borderId="4" xfId="0" applyNumberFormat="1" applyFill="1" applyBorder="1" applyAlignment="1">
      <alignment horizontal="right"/>
    </xf>
    <xf numFmtId="40" fontId="0" fillId="0" borderId="5" xfId="0" applyNumberFormat="1" applyFill="1" applyBorder="1"/>
    <xf numFmtId="40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40" fontId="20" fillId="0" borderId="7" xfId="0" applyNumberFormat="1" applyFont="1" applyBorder="1"/>
    <xf numFmtId="0" fontId="4" fillId="0" borderId="17" xfId="0" applyFont="1" applyFill="1" applyBorder="1" applyAlignment="1">
      <alignment horizontal="left"/>
    </xf>
    <xf numFmtId="40" fontId="0" fillId="0" borderId="0" xfId="1" applyNumberFormat="1" applyFont="1" applyBorder="1"/>
    <xf numFmtId="40" fontId="13" fillId="0" borderId="0" xfId="0" applyNumberFormat="1" applyFont="1" applyBorder="1"/>
    <xf numFmtId="0" fontId="1" fillId="0" borderId="0" xfId="0" applyFont="1" applyFill="1" applyBorder="1" applyAlignment="1">
      <alignment horizontal="center"/>
    </xf>
    <xf numFmtId="43" fontId="0" fillId="0" borderId="0" xfId="1" applyFont="1"/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left"/>
    </xf>
    <xf numFmtId="168" fontId="1" fillId="0" borderId="4" xfId="0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20" fillId="0" borderId="17" xfId="0" quotePrefix="1" applyFont="1" applyBorder="1" applyAlignment="1">
      <alignment horizontal="center"/>
    </xf>
    <xf numFmtId="0" fontId="1" fillId="0" borderId="0" xfId="0" applyFont="1" applyFill="1" applyBorder="1"/>
    <xf numFmtId="38" fontId="4" fillId="0" borderId="0" xfId="0" applyNumberFormat="1" applyFont="1" applyBorder="1"/>
    <xf numFmtId="164" fontId="9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0" fontId="0" fillId="4" borderId="0" xfId="0" applyFill="1"/>
    <xf numFmtId="17" fontId="0" fillId="4" borderId="2" xfId="0" applyNumberForma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40" fontId="4" fillId="4" borderId="4" xfId="0" applyNumberFormat="1" applyFont="1" applyFill="1" applyBorder="1"/>
    <xf numFmtId="40" fontId="0" fillId="4" borderId="4" xfId="0" applyNumberFormat="1" applyFill="1" applyBorder="1"/>
    <xf numFmtId="40" fontId="0" fillId="4" borderId="4" xfId="0" applyNumberFormat="1" applyFill="1" applyBorder="1" applyAlignment="1">
      <alignment horizontal="right"/>
    </xf>
    <xf numFmtId="40" fontId="0" fillId="4" borderId="5" xfId="0" applyNumberFormat="1" applyFill="1" applyBorder="1"/>
    <xf numFmtId="40" fontId="0" fillId="4" borderId="0" xfId="0" applyNumberFormat="1" applyFill="1" applyBorder="1"/>
    <xf numFmtId="0" fontId="0" fillId="4" borderId="4" xfId="0" applyFill="1" applyBorder="1" applyAlignment="1">
      <alignment horizontal="left" wrapText="1"/>
    </xf>
    <xf numFmtId="0" fontId="0" fillId="5" borderId="0" xfId="0" applyFill="1"/>
    <xf numFmtId="17" fontId="0" fillId="5" borderId="2" xfId="0" applyNumberForma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left" wrapText="1"/>
    </xf>
    <xf numFmtId="40" fontId="4" fillId="5" borderId="4" xfId="0" applyNumberFormat="1" applyFont="1" applyFill="1" applyBorder="1"/>
    <xf numFmtId="40" fontId="0" fillId="5" borderId="4" xfId="0" applyNumberFormat="1" applyFill="1" applyBorder="1"/>
    <xf numFmtId="40" fontId="0" fillId="5" borderId="4" xfId="0" applyNumberFormat="1" applyFill="1" applyBorder="1" applyAlignment="1">
      <alignment horizontal="right"/>
    </xf>
    <xf numFmtId="40" fontId="0" fillId="5" borderId="5" xfId="0" applyNumberFormat="1" applyFill="1" applyBorder="1"/>
    <xf numFmtId="40" fontId="0" fillId="5" borderId="0" xfId="0" applyNumberFormat="1" applyFill="1" applyBorder="1"/>
    <xf numFmtId="0" fontId="1" fillId="2" borderId="31" xfId="0" applyFont="1" applyFill="1" applyBorder="1"/>
    <xf numFmtId="0" fontId="1" fillId="2" borderId="29" xfId="0" applyFont="1" applyFill="1" applyBorder="1"/>
    <xf numFmtId="0" fontId="1" fillId="2" borderId="9" xfId="0" applyFont="1" applyFill="1" applyBorder="1"/>
    <xf numFmtId="0" fontId="1" fillId="0" borderId="26" xfId="0" applyFont="1" applyBorder="1" applyAlignment="1">
      <alignment horizontal="left"/>
    </xf>
    <xf numFmtId="0" fontId="1" fillId="0" borderId="27" xfId="0" applyFont="1" applyBorder="1" applyAlignment="1">
      <alignment horizontal="left"/>
    </xf>
    <xf numFmtId="0" fontId="1" fillId="0" borderId="3" xfId="0" applyFont="1" applyBorder="1" applyAlignment="1">
      <alignment horizontal="left"/>
    </xf>
  </cellXfs>
  <cellStyles count="4">
    <cellStyle name="Comma" xfId="1" builtinId="3"/>
    <cellStyle name="Comma_REC11828 GD Market" xfId="2"/>
    <cellStyle name="Currency" xfId="3" builtinId="4"/>
    <cellStyle name="Normal" xfId="0" builtinId="0"/>
  </cellStyles>
  <dxfs count="2">
    <dxf>
      <font>
        <condense val="0"/>
        <extend val="0"/>
        <color indexed="9"/>
      </font>
    </dxf>
    <dxf>
      <font>
        <b/>
        <i val="0"/>
        <condense val="0"/>
        <extend val="0"/>
        <color indexed="9"/>
      </font>
      <fill>
        <patternFill>
          <bgColor indexed="1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10" Type="http://schemas.openxmlformats.org/officeDocument/2006/relationships/externalLink" Target="externalLinks/externalLink6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57150</xdr:colOff>
      <xdr:row>2</xdr:row>
      <xdr:rowOff>209550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6675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19050</xdr:rowOff>
    </xdr:from>
    <xdr:to>
      <xdr:col>1</xdr:col>
      <xdr:colOff>714375</xdr:colOff>
      <xdr:row>3</xdr:row>
      <xdr:rowOff>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9050"/>
          <a:ext cx="66675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0</xdr:col>
      <xdr:colOff>704850</xdr:colOff>
      <xdr:row>4</xdr:row>
      <xdr:rowOff>57150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8100"/>
          <a:ext cx="6667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9525</xdr:rowOff>
    </xdr:from>
    <xdr:to>
      <xdr:col>2</xdr:col>
      <xdr:colOff>180975</xdr:colOff>
      <xdr:row>2</xdr:row>
      <xdr:rowOff>219075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9525"/>
          <a:ext cx="66675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</xdr:col>
      <xdr:colOff>0</xdr:colOff>
      <xdr:row>28</xdr:row>
      <xdr:rowOff>104775</xdr:rowOff>
    </xdr:from>
    <xdr:to>
      <xdr:col>20</xdr:col>
      <xdr:colOff>704850</xdr:colOff>
      <xdr:row>44</xdr:row>
      <xdr:rowOff>66675</xdr:rowOff>
    </xdr:to>
    <xdr:sp macro="" textlink="">
      <xdr:nvSpPr>
        <xdr:cNvPr id="3074" name="Drawing 2"/>
        <xdr:cNvSpPr>
          <a:spLocks/>
        </xdr:cNvSpPr>
      </xdr:nvSpPr>
      <xdr:spPr bwMode="auto">
        <a:xfrm>
          <a:off x="14716125" y="6400800"/>
          <a:ext cx="704850" cy="2600325"/>
        </a:xfrm>
        <a:custGeom>
          <a:avLst/>
          <a:gdLst>
            <a:gd name="T0" fmla="*/ 0 w 16384"/>
            <a:gd name="T1" fmla="*/ 1016 h 16384"/>
            <a:gd name="T2" fmla="*/ 2445 w 16384"/>
            <a:gd name="T3" fmla="*/ 635 h 16384"/>
            <a:gd name="T4" fmla="*/ 4647 w 16384"/>
            <a:gd name="T5" fmla="*/ 317 h 16384"/>
            <a:gd name="T6" fmla="*/ 5869 w 16384"/>
            <a:gd name="T7" fmla="*/ 190 h 16384"/>
            <a:gd name="T8" fmla="*/ 6847 w 16384"/>
            <a:gd name="T9" fmla="*/ 127 h 16384"/>
            <a:gd name="T10" fmla="*/ 7825 w 16384"/>
            <a:gd name="T11" fmla="*/ 63 h 16384"/>
            <a:gd name="T12" fmla="*/ 9048 w 16384"/>
            <a:gd name="T13" fmla="*/ 0 h 16384"/>
            <a:gd name="T14" fmla="*/ 10027 w 16384"/>
            <a:gd name="T15" fmla="*/ 0 h 16384"/>
            <a:gd name="T16" fmla="*/ 11004 w 16384"/>
            <a:gd name="T17" fmla="*/ 63 h 16384"/>
            <a:gd name="T18" fmla="*/ 11737 w 16384"/>
            <a:gd name="T19" fmla="*/ 190 h 16384"/>
            <a:gd name="T20" fmla="*/ 12716 w 16384"/>
            <a:gd name="T21" fmla="*/ 317 h 16384"/>
            <a:gd name="T22" fmla="*/ 13449 w 16384"/>
            <a:gd name="T23" fmla="*/ 571 h 16384"/>
            <a:gd name="T24" fmla="*/ 13939 w 16384"/>
            <a:gd name="T25" fmla="*/ 889 h 16384"/>
            <a:gd name="T26" fmla="*/ 14672 w 16384"/>
            <a:gd name="T27" fmla="*/ 1206 h 16384"/>
            <a:gd name="T28" fmla="*/ 15161 w 16384"/>
            <a:gd name="T29" fmla="*/ 1652 h 16384"/>
            <a:gd name="T30" fmla="*/ 15407 w 16384"/>
            <a:gd name="T31" fmla="*/ 1906 h 16384"/>
            <a:gd name="T32" fmla="*/ 15651 w 16384"/>
            <a:gd name="T33" fmla="*/ 2160 h 16384"/>
            <a:gd name="T34" fmla="*/ 15895 w 16384"/>
            <a:gd name="T35" fmla="*/ 2541 h 16384"/>
            <a:gd name="T36" fmla="*/ 15895 w 16384"/>
            <a:gd name="T37" fmla="*/ 2858 h 16384"/>
            <a:gd name="T38" fmla="*/ 16140 w 16384"/>
            <a:gd name="T39" fmla="*/ 3302 h 16384"/>
            <a:gd name="T40" fmla="*/ 16140 w 16384"/>
            <a:gd name="T41" fmla="*/ 3747 h 16384"/>
            <a:gd name="T42" fmla="*/ 16384 w 16384"/>
            <a:gd name="T43" fmla="*/ 4636 h 16384"/>
            <a:gd name="T44" fmla="*/ 16384 w 16384"/>
            <a:gd name="T45" fmla="*/ 5716 h 16384"/>
            <a:gd name="T46" fmla="*/ 16384 w 16384"/>
            <a:gd name="T47" fmla="*/ 6795 h 16384"/>
            <a:gd name="T48" fmla="*/ 16384 w 16384"/>
            <a:gd name="T49" fmla="*/ 7875 h 16384"/>
            <a:gd name="T50" fmla="*/ 16384 w 16384"/>
            <a:gd name="T51" fmla="*/ 9017 h 16384"/>
            <a:gd name="T52" fmla="*/ 16140 w 16384"/>
            <a:gd name="T53" fmla="*/ 10161 h 16384"/>
            <a:gd name="T54" fmla="*/ 16140 w 16384"/>
            <a:gd name="T55" fmla="*/ 11304 h 16384"/>
            <a:gd name="T56" fmla="*/ 15895 w 16384"/>
            <a:gd name="T57" fmla="*/ 12383 h 16384"/>
            <a:gd name="T58" fmla="*/ 15895 w 16384"/>
            <a:gd name="T59" fmla="*/ 13399 h 16384"/>
            <a:gd name="T60" fmla="*/ 15651 w 16384"/>
            <a:gd name="T61" fmla="*/ 14352 h 16384"/>
            <a:gd name="T62" fmla="*/ 15651 w 16384"/>
            <a:gd name="T63" fmla="*/ 14733 h 16384"/>
            <a:gd name="T64" fmla="*/ 15407 w 16384"/>
            <a:gd name="T65" fmla="*/ 15114 h 16384"/>
            <a:gd name="T66" fmla="*/ 15407 w 16384"/>
            <a:gd name="T67" fmla="*/ 15495 h 16384"/>
            <a:gd name="T68" fmla="*/ 15407 w 16384"/>
            <a:gd name="T69" fmla="*/ 15813 h 16384"/>
            <a:gd name="T70" fmla="*/ 15407 w 16384"/>
            <a:gd name="T71" fmla="*/ 16130 h 16384"/>
            <a:gd name="T72" fmla="*/ 15407 w 16384"/>
            <a:gd name="T73" fmla="*/ 16384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</a:cxnLst>
          <a:rect l="0" t="0" r="r" b="b"/>
          <a:pathLst>
            <a:path w="16384" h="16384">
              <a:moveTo>
                <a:pt x="0" y="1016"/>
              </a:moveTo>
              <a:lnTo>
                <a:pt x="2445" y="635"/>
              </a:lnTo>
              <a:lnTo>
                <a:pt x="4647" y="317"/>
              </a:lnTo>
              <a:lnTo>
                <a:pt x="5869" y="190"/>
              </a:lnTo>
              <a:lnTo>
                <a:pt x="6847" y="127"/>
              </a:lnTo>
              <a:lnTo>
                <a:pt x="7825" y="63"/>
              </a:lnTo>
              <a:lnTo>
                <a:pt x="9048" y="0"/>
              </a:lnTo>
              <a:lnTo>
                <a:pt x="10027" y="0"/>
              </a:lnTo>
              <a:lnTo>
                <a:pt x="11004" y="63"/>
              </a:lnTo>
              <a:lnTo>
                <a:pt x="11737" y="190"/>
              </a:lnTo>
              <a:lnTo>
                <a:pt x="12716" y="317"/>
              </a:lnTo>
              <a:lnTo>
                <a:pt x="13449" y="571"/>
              </a:lnTo>
              <a:lnTo>
                <a:pt x="13939" y="889"/>
              </a:lnTo>
              <a:lnTo>
                <a:pt x="14672" y="1206"/>
              </a:lnTo>
              <a:lnTo>
                <a:pt x="15161" y="1652"/>
              </a:lnTo>
              <a:lnTo>
                <a:pt x="15407" y="1906"/>
              </a:lnTo>
              <a:lnTo>
                <a:pt x="15651" y="2160"/>
              </a:lnTo>
              <a:lnTo>
                <a:pt x="15895" y="2541"/>
              </a:lnTo>
              <a:lnTo>
                <a:pt x="15895" y="2858"/>
              </a:lnTo>
              <a:lnTo>
                <a:pt x="16140" y="3302"/>
              </a:lnTo>
              <a:lnTo>
                <a:pt x="16140" y="3747"/>
              </a:lnTo>
              <a:lnTo>
                <a:pt x="16384" y="4636"/>
              </a:lnTo>
              <a:lnTo>
                <a:pt x="16384" y="5716"/>
              </a:lnTo>
              <a:lnTo>
                <a:pt x="16384" y="6795"/>
              </a:lnTo>
              <a:lnTo>
                <a:pt x="16384" y="7875"/>
              </a:lnTo>
              <a:lnTo>
                <a:pt x="16384" y="9017"/>
              </a:lnTo>
              <a:lnTo>
                <a:pt x="16140" y="10161"/>
              </a:lnTo>
              <a:lnTo>
                <a:pt x="16140" y="11304"/>
              </a:lnTo>
              <a:lnTo>
                <a:pt x="15895" y="12383"/>
              </a:lnTo>
              <a:lnTo>
                <a:pt x="15895" y="13399"/>
              </a:lnTo>
              <a:lnTo>
                <a:pt x="15651" y="14352"/>
              </a:lnTo>
              <a:lnTo>
                <a:pt x="15651" y="14733"/>
              </a:lnTo>
              <a:lnTo>
                <a:pt x="15407" y="15114"/>
              </a:lnTo>
              <a:lnTo>
                <a:pt x="15407" y="15495"/>
              </a:lnTo>
              <a:lnTo>
                <a:pt x="15407" y="15813"/>
              </a:lnTo>
              <a:lnTo>
                <a:pt x="15407" y="16130"/>
              </a:lnTo>
              <a:lnTo>
                <a:pt x="15407" y="16384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1/0401/Regions/FT-KATY-TX04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Nov!JBK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Accrual%20Gas%20Three%2001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1/0501/Regions/Katy-05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1/0601/Regions/Katy-06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1/0701/Regions/Katy-07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1/0801/Regions/Katy-08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1/0901/Regions/Katy-09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1/1001/Regions/Katy-10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1/1101/Regions/Katy-11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1/1101/Regions/Katy-1101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TopPages"/>
      <sheetName val="Roll-1"/>
      <sheetName val="Roll-2"/>
      <sheetName val="Roll-3"/>
      <sheetName val="Roll-5"/>
      <sheetName val="Roll-6"/>
      <sheetName val="Orig Sched"/>
      <sheetName val="Roll-4"/>
      <sheetName val="CURVES"/>
      <sheetName val="Daily Macro"/>
      <sheetName val="Monthly Macro"/>
      <sheetName val="Module1"/>
      <sheetName val="Module2"/>
      <sheetName val="Module3"/>
    </sheetNames>
    <sheetDataSet>
      <sheetData sheetId="0">
        <row r="33">
          <cell r="AE33">
            <v>0</v>
          </cell>
        </row>
        <row r="35">
          <cell r="AE35">
            <v>0</v>
          </cell>
        </row>
        <row r="53">
          <cell r="AE53">
            <v>268133.57449999999</v>
          </cell>
        </row>
        <row r="56">
          <cell r="AE56">
            <v>259105.32279999997</v>
          </cell>
        </row>
        <row r="62">
          <cell r="AE62">
            <v>9028.1762999999992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"/>
      <sheetName val="SUMMARY"/>
      <sheetName val="RollTie"/>
      <sheetName val="SAP Standard"/>
      <sheetName val="SAP InterCo"/>
    </sheetNames>
    <sheetDataSet>
      <sheetData sheetId="0"/>
      <sheetData sheetId="1">
        <row r="7">
          <cell r="F7">
            <v>262649</v>
          </cell>
        </row>
        <row r="104">
          <cell r="I104">
            <v>-1040390</v>
          </cell>
        </row>
        <row r="105">
          <cell r="I105">
            <v>-22425.01</v>
          </cell>
        </row>
        <row r="106">
          <cell r="I106">
            <v>0</v>
          </cell>
        </row>
        <row r="109">
          <cell r="I109">
            <v>0</v>
          </cell>
        </row>
        <row r="111">
          <cell r="I111">
            <v>0</v>
          </cell>
        </row>
        <row r="115">
          <cell r="I115">
            <v>262649</v>
          </cell>
        </row>
      </sheetData>
      <sheetData sheetId="2">
        <row r="16">
          <cell r="G16">
            <v>6757.4960000016727</v>
          </cell>
        </row>
      </sheetData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-CALC"/>
      <sheetName val="Flex File Template"/>
    </sheetNames>
    <sheetDataSet>
      <sheetData sheetId="0">
        <row r="18">
          <cell r="F18">
            <v>69918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A Flash"/>
      <sheetName val="Report"/>
      <sheetName val="Postid"/>
      <sheetName val="Top Pages"/>
      <sheetName val="Input"/>
      <sheetName val="Roll-1"/>
      <sheetName val="Roll-2"/>
      <sheetName val="Roll-3"/>
      <sheetName val="Roll-16"/>
      <sheetName val="WeaponX"/>
      <sheetName val="KATY Physical"/>
      <sheetName val="Phys Sum-KATY"/>
      <sheetName val="Positions"/>
      <sheetName val="Daily Macros"/>
      <sheetName val="Monthly Macros"/>
    </sheetNames>
    <sheetDataSet>
      <sheetData sheetId="0"/>
      <sheetData sheetId="1">
        <row r="33">
          <cell r="AQ33">
            <v>259105.32559999998</v>
          </cell>
        </row>
        <row r="35">
          <cell r="AQ35">
            <v>9028.1767999999993</v>
          </cell>
        </row>
        <row r="53">
          <cell r="AQ53">
            <v>1484449.2100999998</v>
          </cell>
        </row>
        <row r="56">
          <cell r="AQ56">
            <v>1287260.8217</v>
          </cell>
        </row>
        <row r="62">
          <cell r="AQ62">
            <v>465322.98579999991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A Flash"/>
      <sheetName val="Report"/>
      <sheetName val="Postid"/>
      <sheetName val="Input"/>
      <sheetName val="Top Pages"/>
      <sheetName val="Roll-1"/>
      <sheetName val="Roll-2"/>
      <sheetName val="Roll-3"/>
      <sheetName val="Roll-16"/>
      <sheetName val="WeaponX"/>
      <sheetName val="KATY Physical"/>
      <sheetName val="Phys Sum-KATY"/>
      <sheetName val="Sheet1"/>
      <sheetName val="Analysis"/>
      <sheetName val="Positions"/>
      <sheetName val="Daily Macros"/>
      <sheetName val="Monthly Macros"/>
    </sheetNames>
    <sheetDataSet>
      <sheetData sheetId="0"/>
      <sheetData sheetId="1">
        <row r="33">
          <cell r="AQ33">
            <v>1287260.8217</v>
          </cell>
        </row>
        <row r="35">
          <cell r="AQ35">
            <v>465322.98579999991</v>
          </cell>
        </row>
        <row r="53">
          <cell r="AQ53">
            <v>1053178.2955</v>
          </cell>
        </row>
        <row r="56">
          <cell r="AQ56">
            <v>1829522.6401999998</v>
          </cell>
        </row>
        <row r="62">
          <cell r="AQ62">
            <v>976239.46279999986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A Flash"/>
      <sheetName val="Report"/>
      <sheetName val="Input"/>
      <sheetName val="Postid"/>
      <sheetName val="Top Pages"/>
      <sheetName val="Roll-1"/>
      <sheetName val="Roll-2"/>
      <sheetName val="Roll-3"/>
      <sheetName val="Roll-16"/>
      <sheetName val="Roll-17"/>
      <sheetName val="WeaponX"/>
      <sheetName val="KATY Physical"/>
      <sheetName val="Phys Sum-KATY"/>
      <sheetName val="Orig Sched"/>
      <sheetName val="Sheet1"/>
      <sheetName val="Analysis"/>
      <sheetName val="Positions"/>
      <sheetName val="Daily Macros"/>
      <sheetName val="Monthly Macros"/>
    </sheetNames>
    <sheetDataSet>
      <sheetData sheetId="0"/>
      <sheetData sheetId="1">
        <row r="33">
          <cell r="AQ33">
            <v>1829522.6401999998</v>
          </cell>
        </row>
        <row r="35">
          <cell r="AQ35">
            <v>976239.46279999986</v>
          </cell>
        </row>
        <row r="53">
          <cell r="AQ53">
            <v>-400339.10889999988</v>
          </cell>
        </row>
        <row r="56">
          <cell r="AQ56">
            <v>1047490.2583000001</v>
          </cell>
        </row>
        <row r="62">
          <cell r="AQ62">
            <v>1357932.7357999999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A Flash"/>
      <sheetName val="Report"/>
      <sheetName val="Input"/>
      <sheetName val="Postid"/>
      <sheetName val="Top Pages"/>
      <sheetName val="Roll-1"/>
      <sheetName val="Roll-2"/>
      <sheetName val="Roll-3"/>
      <sheetName val="Roll-16"/>
      <sheetName val="Roll-17"/>
      <sheetName val="WeaponX"/>
      <sheetName val="KATY Physical"/>
      <sheetName val="Phys Sum-KATY"/>
      <sheetName val="Orig Sched"/>
      <sheetName val="Sheet1"/>
      <sheetName val="Analysis"/>
      <sheetName val="Positions"/>
      <sheetName val="Daily Macros"/>
      <sheetName val="Monthly Macros"/>
    </sheetNames>
    <sheetDataSet>
      <sheetData sheetId="0"/>
      <sheetData sheetId="1">
        <row r="33">
          <cell r="AQ33">
            <v>1047490.2583000001</v>
          </cell>
        </row>
        <row r="35">
          <cell r="AQ35">
            <v>1357932.7357999999</v>
          </cell>
        </row>
        <row r="53">
          <cell r="AQ53">
            <v>1164928.8332999998</v>
          </cell>
        </row>
        <row r="56">
          <cell r="AQ56">
            <v>1156229.6342</v>
          </cell>
        </row>
        <row r="62">
          <cell r="AQ62">
            <v>2414121.9223999996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A Flash"/>
      <sheetName val="Report"/>
      <sheetName val="Input"/>
      <sheetName val="Postid"/>
      <sheetName val="Top Pages"/>
      <sheetName val="Roll-1"/>
      <sheetName val="Roll-2"/>
      <sheetName val="Roll-3"/>
      <sheetName val="Roll-16"/>
      <sheetName val="Roll-17"/>
      <sheetName val="WeaponX"/>
      <sheetName val="KATY Physical"/>
      <sheetName val="Phys Sum-KATY"/>
      <sheetName val="Orig Sched"/>
      <sheetName val="Sheet1"/>
      <sheetName val="Analysis"/>
      <sheetName val="Positions"/>
      <sheetName val="Daily Macros"/>
      <sheetName val="Monthly Macros"/>
    </sheetNames>
    <sheetDataSet>
      <sheetData sheetId="0"/>
      <sheetData sheetId="1">
        <row r="33">
          <cell r="AQ33">
            <v>1156229.6342</v>
          </cell>
        </row>
        <row r="35">
          <cell r="AQ35">
            <v>2414121.9223999996</v>
          </cell>
        </row>
        <row r="53">
          <cell r="AQ53">
            <v>-9976.3331999996863</v>
          </cell>
        </row>
        <row r="56">
          <cell r="AQ56">
            <v>-48432.165499999996</v>
          </cell>
        </row>
        <row r="62">
          <cell r="AQ62">
            <v>3608807.3888999997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A Flash"/>
      <sheetName val="Report"/>
      <sheetName val="Input"/>
      <sheetName val="Postid"/>
      <sheetName val="Top Pages"/>
      <sheetName val="Roll-1"/>
      <sheetName val="Roll-2"/>
      <sheetName val="Roll-3"/>
      <sheetName val="Roll-16"/>
      <sheetName val="Roll-17"/>
      <sheetName val="WeaponX"/>
      <sheetName val="KATY Physical"/>
      <sheetName val="Phys Sum-KATY"/>
      <sheetName val="Orig Sched"/>
      <sheetName val="Sheet1"/>
      <sheetName val="Analysis"/>
      <sheetName val="Positions"/>
      <sheetName val="Daily Macros"/>
      <sheetName val="Monthly Macros"/>
    </sheetNames>
    <sheetDataSet>
      <sheetData sheetId="0"/>
      <sheetData sheetId="1">
        <row r="33">
          <cell r="AQ33">
            <v>-48432.165499999996</v>
          </cell>
        </row>
        <row r="35">
          <cell r="AQ35">
            <v>3608807.3888999997</v>
          </cell>
        </row>
        <row r="53">
          <cell r="AQ53">
            <v>-480605.96340000024</v>
          </cell>
        </row>
        <row r="56">
          <cell r="AQ56">
            <v>-1236101.9186000002</v>
          </cell>
        </row>
        <row r="62">
          <cell r="AQ62">
            <v>4315875.2104000002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A Flash"/>
      <sheetName val="Report"/>
      <sheetName val="Input"/>
      <sheetName val="Postid"/>
      <sheetName val="Top Pages"/>
      <sheetName val="Roll-1"/>
      <sheetName val="Roll-2"/>
      <sheetName val="Roll-3"/>
      <sheetName val="Roll-16"/>
      <sheetName val="Roll-17"/>
      <sheetName val="WeaponX"/>
      <sheetName val="KATY Physical"/>
      <sheetName val="Phys Sum-KATY"/>
      <sheetName val="Orig Sched"/>
      <sheetName val="Sheet1"/>
      <sheetName val="Analysis"/>
      <sheetName val="Positions"/>
      <sheetName val="Daily Macros"/>
      <sheetName val="Monthly Macros"/>
    </sheetNames>
    <sheetDataSet>
      <sheetData sheetId="0"/>
      <sheetData sheetId="1">
        <row r="56">
          <cell r="AQ56">
            <v>393200.9657</v>
          </cell>
        </row>
        <row r="57">
          <cell r="AQ57">
            <v>7796.6543000000011</v>
          </cell>
        </row>
        <row r="58">
          <cell r="AQ58">
            <v>-913.13860000000011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A Flash"/>
      <sheetName val="Report"/>
      <sheetName val="Input"/>
      <sheetName val="Postid"/>
      <sheetName val="Top Pages"/>
      <sheetName val="Roll-1"/>
      <sheetName val="Roll-2"/>
      <sheetName val="Roll-3"/>
      <sheetName val="Roll-16"/>
      <sheetName val="Roll-17"/>
      <sheetName val="WeaponX"/>
      <sheetName val="KATY Physical"/>
      <sheetName val="Phys Sum-KATY"/>
      <sheetName val="Orig Sched"/>
      <sheetName val="Sheet1"/>
      <sheetName val="Analysis"/>
      <sheetName val="Positions"/>
      <sheetName val="Daily Macros"/>
      <sheetName val="Monthly Macros"/>
    </sheetNames>
    <sheetDataSet>
      <sheetData sheetId="0"/>
      <sheetData sheetId="1">
        <row r="33">
          <cell r="AQ33">
            <v>-1236101.9186000002</v>
          </cell>
        </row>
        <row r="35">
          <cell r="AQ35">
            <v>4315875.2104000002</v>
          </cell>
        </row>
        <row r="49">
          <cell r="AQ49">
            <v>-8994</v>
          </cell>
        </row>
        <row r="53">
          <cell r="AQ53">
            <v>806501.86259999988</v>
          </cell>
        </row>
        <row r="56">
          <cell r="AQ56">
            <v>393200.9657</v>
          </cell>
        </row>
        <row r="62">
          <cell r="AQ62">
            <v>3493074.1886999994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zoomScale="80" workbookViewId="0">
      <selection activeCell="D20" sqref="D20"/>
    </sheetView>
  </sheetViews>
  <sheetFormatPr defaultRowHeight="12.75" x14ac:dyDescent="0.2"/>
  <cols>
    <col min="2" max="2" width="25.42578125" style="2" customWidth="1"/>
    <col min="3" max="3" width="2.85546875" customWidth="1"/>
    <col min="4" max="4" width="19.7109375" customWidth="1"/>
    <col min="5" max="5" width="2.5703125" customWidth="1"/>
    <col min="6" max="6" width="19.7109375" style="25" customWidth="1"/>
    <col min="7" max="7" width="2.85546875" customWidth="1"/>
  </cols>
  <sheetData>
    <row r="1" spans="1:6" ht="18" x14ac:dyDescent="0.25">
      <c r="A1" s="1" t="s">
        <v>99</v>
      </c>
    </row>
    <row r="2" spans="1:6" ht="18" x14ac:dyDescent="0.25">
      <c r="A2" s="1" t="s">
        <v>0</v>
      </c>
    </row>
    <row r="3" spans="1:6" ht="18" x14ac:dyDescent="0.25">
      <c r="A3" s="1" t="s">
        <v>1</v>
      </c>
    </row>
    <row r="4" spans="1:6" x14ac:dyDescent="0.2">
      <c r="A4" s="3"/>
    </row>
    <row r="6" spans="1:6" ht="15.75" x14ac:dyDescent="0.25">
      <c r="A6" s="7" t="s">
        <v>2</v>
      </c>
      <c r="B6" s="203" t="s">
        <v>136</v>
      </c>
      <c r="D6" s="125"/>
    </row>
    <row r="7" spans="1:6" s="26" customFormat="1" ht="15.75" x14ac:dyDescent="0.25">
      <c r="A7" s="7" t="s">
        <v>3</v>
      </c>
      <c r="B7" s="231">
        <f>Reconciliation!D8</f>
        <v>37225</v>
      </c>
      <c r="F7" s="27"/>
    </row>
    <row r="9" spans="1:6" ht="15.75" x14ac:dyDescent="0.25">
      <c r="A9" s="6" t="s">
        <v>4</v>
      </c>
    </row>
    <row r="10" spans="1:6" x14ac:dyDescent="0.2">
      <c r="B10" s="15" t="s">
        <v>5</v>
      </c>
      <c r="C10" s="28"/>
      <c r="D10" s="13" t="s">
        <v>92</v>
      </c>
      <c r="E10" s="13"/>
      <c r="F10" s="29" t="s">
        <v>93</v>
      </c>
    </row>
    <row r="11" spans="1:6" x14ac:dyDescent="0.2">
      <c r="B11" s="16" t="s">
        <v>98</v>
      </c>
      <c r="C11" s="30"/>
      <c r="D11" s="14">
        <f>Reconciliation!D7</f>
        <v>27094</v>
      </c>
      <c r="E11" s="30"/>
      <c r="F11" s="31"/>
    </row>
    <row r="12" spans="1:6" x14ac:dyDescent="0.2">
      <c r="B12" s="32"/>
      <c r="C12" s="18"/>
      <c r="D12" s="33"/>
      <c r="E12" s="33"/>
      <c r="F12" s="34"/>
    </row>
    <row r="13" spans="1:6" x14ac:dyDescent="0.2">
      <c r="B13" s="202" t="s">
        <v>94</v>
      </c>
      <c r="C13" s="36"/>
      <c r="D13" s="37">
        <v>39651229</v>
      </c>
      <c r="E13" s="38"/>
      <c r="F13" s="37">
        <f>+D13/1000</f>
        <v>39651.228999999999</v>
      </c>
    </row>
    <row r="14" spans="1:6" x14ac:dyDescent="0.2">
      <c r="B14" s="202"/>
      <c r="C14" s="36"/>
      <c r="D14" s="37"/>
      <c r="E14" s="38"/>
      <c r="F14" s="37"/>
    </row>
    <row r="15" spans="1:6" x14ac:dyDescent="0.2">
      <c r="B15" s="202" t="s">
        <v>95</v>
      </c>
      <c r="C15" s="36"/>
      <c r="D15" s="37">
        <v>1341965</v>
      </c>
      <c r="E15" s="38"/>
      <c r="F15" s="37">
        <f>+D15/1000</f>
        <v>1341.9649999999999</v>
      </c>
    </row>
    <row r="16" spans="1:6" x14ac:dyDescent="0.2">
      <c r="B16" s="35"/>
      <c r="C16" s="36"/>
      <c r="D16" s="37"/>
      <c r="E16" s="38"/>
      <c r="F16" s="37"/>
    </row>
    <row r="17" spans="1:6" x14ac:dyDescent="0.2">
      <c r="B17" s="202" t="s">
        <v>96</v>
      </c>
      <c r="C17" s="36"/>
      <c r="D17" s="37">
        <v>-38789660</v>
      </c>
      <c r="E17" s="38"/>
      <c r="F17" s="37">
        <f>+D17/1000</f>
        <v>-38789.660000000003</v>
      </c>
    </row>
    <row r="18" spans="1:6" x14ac:dyDescent="0.2">
      <c r="B18" s="35"/>
      <c r="C18" s="36"/>
      <c r="D18" s="37"/>
      <c r="E18" s="38"/>
      <c r="F18" s="37"/>
    </row>
    <row r="19" spans="1:6" x14ac:dyDescent="0.2">
      <c r="B19" s="202" t="s">
        <v>97</v>
      </c>
      <c r="C19" s="36"/>
      <c r="D19" s="37">
        <v>-1810333</v>
      </c>
      <c r="E19" s="38"/>
      <c r="F19" s="37">
        <f>+D19/1000</f>
        <v>-1810.3330000000001</v>
      </c>
    </row>
    <row r="20" spans="1:6" x14ac:dyDescent="0.2">
      <c r="B20" s="39"/>
      <c r="C20" s="19"/>
      <c r="D20" s="31"/>
      <c r="E20" s="40"/>
      <c r="F20" s="31"/>
    </row>
    <row r="21" spans="1:6" x14ac:dyDescent="0.2">
      <c r="B21" s="16" t="s">
        <v>8</v>
      </c>
      <c r="C21" s="19"/>
      <c r="D21" s="31">
        <f>SUM(D12:D20)</f>
        <v>393201</v>
      </c>
      <c r="E21" s="40"/>
      <c r="F21" s="31">
        <f>SUM(F12:F20)</f>
        <v>393.20099999999229</v>
      </c>
    </row>
    <row r="22" spans="1:6" x14ac:dyDescent="0.2">
      <c r="D22" s="41"/>
      <c r="E22" s="41"/>
    </row>
    <row r="23" spans="1:6" ht="14.25" customHeight="1" x14ac:dyDescent="0.2">
      <c r="B23" s="42" t="s">
        <v>9</v>
      </c>
      <c r="C23" s="43"/>
      <c r="D23" s="44"/>
      <c r="E23" s="44"/>
      <c r="F23" s="45">
        <f>[8]Report!$AQ$56/1000</f>
        <v>393.20096569999998</v>
      </c>
    </row>
    <row r="24" spans="1:6" x14ac:dyDescent="0.2">
      <c r="D24" s="41"/>
      <c r="E24" s="41"/>
    </row>
    <row r="25" spans="1:6" x14ac:dyDescent="0.2">
      <c r="B25" s="113" t="s">
        <v>10</v>
      </c>
      <c r="C25" s="114"/>
      <c r="D25" s="115"/>
      <c r="E25" s="115"/>
      <c r="F25" s="45">
        <f>+F23-F21</f>
        <v>-3.4299992307751381E-5</v>
      </c>
    </row>
    <row r="26" spans="1:6" x14ac:dyDescent="0.2">
      <c r="B26" s="110"/>
      <c r="C26" s="98"/>
      <c r="D26" s="111"/>
      <c r="E26" s="111"/>
      <c r="F26" s="37"/>
    </row>
    <row r="27" spans="1:6" x14ac:dyDescent="0.2">
      <c r="B27" s="110"/>
      <c r="C27" s="98"/>
      <c r="D27" s="111"/>
      <c r="E27" s="111"/>
      <c r="F27" s="37"/>
    </row>
    <row r="28" spans="1:6" x14ac:dyDescent="0.2">
      <c r="B28" s="112"/>
      <c r="C28" s="116"/>
      <c r="D28" s="117"/>
      <c r="E28" s="117"/>
      <c r="F28" s="31"/>
    </row>
    <row r="31" spans="1:6" ht="15.75" x14ac:dyDescent="0.25">
      <c r="A31" s="6" t="s">
        <v>104</v>
      </c>
    </row>
    <row r="32" spans="1:6" x14ac:dyDescent="0.2">
      <c r="B32" s="15" t="s">
        <v>5</v>
      </c>
      <c r="C32" s="28"/>
      <c r="D32" s="13" t="str">
        <f>D10</f>
        <v>Profit Center</v>
      </c>
      <c r="E32" s="13"/>
      <c r="F32" s="29" t="str">
        <f>F10</f>
        <v>Total (M$)</v>
      </c>
    </row>
    <row r="33" spans="1:6" x14ac:dyDescent="0.2">
      <c r="B33" s="16" t="str">
        <f>B11</f>
        <v>(company/account)</v>
      </c>
      <c r="C33" s="30"/>
      <c r="D33" s="14">
        <f>D11</f>
        <v>27094</v>
      </c>
      <c r="E33" s="30"/>
      <c r="F33" s="31"/>
    </row>
    <row r="34" spans="1:6" x14ac:dyDescent="0.2">
      <c r="B34" s="47"/>
      <c r="C34" s="48"/>
      <c r="D34" s="48"/>
      <c r="E34" s="48"/>
      <c r="F34" s="37"/>
    </row>
    <row r="35" spans="1:6" x14ac:dyDescent="0.2">
      <c r="B35" s="206" t="s">
        <v>105</v>
      </c>
      <c r="C35" s="48"/>
      <c r="D35" s="49">
        <v>0</v>
      </c>
      <c r="E35" s="48"/>
      <c r="F35" s="37">
        <f>D35/1000</f>
        <v>0</v>
      </c>
    </row>
    <row r="36" spans="1:6" x14ac:dyDescent="0.2">
      <c r="B36" s="39"/>
      <c r="C36" s="19"/>
      <c r="D36" s="40"/>
      <c r="E36" s="40"/>
      <c r="F36" s="31"/>
    </row>
    <row r="37" spans="1:6" x14ac:dyDescent="0.2">
      <c r="D37" s="41"/>
      <c r="E37" s="41"/>
    </row>
    <row r="38" spans="1:6" x14ac:dyDescent="0.2">
      <c r="B38" s="42" t="s">
        <v>9</v>
      </c>
      <c r="C38" s="43"/>
      <c r="D38" s="44"/>
      <c r="E38" s="44"/>
      <c r="F38" s="45">
        <f>[10]SUMMARY!$F$7/1000*0</f>
        <v>0</v>
      </c>
    </row>
    <row r="39" spans="1:6" x14ac:dyDescent="0.2">
      <c r="D39" s="41"/>
      <c r="E39" s="41"/>
    </row>
    <row r="40" spans="1:6" x14ac:dyDescent="0.2">
      <c r="B40" s="15" t="s">
        <v>10</v>
      </c>
      <c r="C40" s="18"/>
      <c r="D40" s="33"/>
      <c r="E40" s="33"/>
      <c r="F40" s="34"/>
    </row>
    <row r="41" spans="1:6" x14ac:dyDescent="0.2">
      <c r="B41" s="46"/>
      <c r="C41" s="36"/>
      <c r="D41" s="38"/>
      <c r="E41" s="38"/>
      <c r="F41" s="37">
        <f>+F35-F38</f>
        <v>0</v>
      </c>
    </row>
    <row r="42" spans="1:6" x14ac:dyDescent="0.2">
      <c r="B42" s="46"/>
      <c r="C42" s="36"/>
      <c r="D42" s="38"/>
      <c r="E42" s="38"/>
      <c r="F42" s="37"/>
    </row>
    <row r="43" spans="1:6" x14ac:dyDescent="0.2">
      <c r="B43" s="39"/>
      <c r="C43" s="19"/>
      <c r="D43" s="40"/>
      <c r="E43" s="40"/>
      <c r="F43" s="31"/>
    </row>
    <row r="46" spans="1:6" hidden="1" x14ac:dyDescent="0.2"/>
    <row r="47" spans="1:6" ht="15.75" hidden="1" x14ac:dyDescent="0.25">
      <c r="A47" s="6" t="s">
        <v>11</v>
      </c>
    </row>
    <row r="48" spans="1:6" hidden="1" x14ac:dyDescent="0.2">
      <c r="B48" s="4" t="s">
        <v>5</v>
      </c>
      <c r="C48" s="28"/>
      <c r="D48" s="13" t="s">
        <v>6</v>
      </c>
      <c r="E48" s="13"/>
      <c r="F48" s="29" t="s">
        <v>7</v>
      </c>
    </row>
    <row r="49" spans="1:6" hidden="1" x14ac:dyDescent="0.2">
      <c r="B49" s="16" t="s">
        <v>12</v>
      </c>
      <c r="C49" s="30"/>
      <c r="D49" s="30"/>
      <c r="E49" s="30"/>
      <c r="F49" s="31"/>
    </row>
    <row r="50" spans="1:6" hidden="1" x14ac:dyDescent="0.2">
      <c r="B50" s="39"/>
      <c r="C50" s="19"/>
      <c r="D50" s="40"/>
      <c r="E50" s="40"/>
      <c r="F50" s="31"/>
    </row>
    <row r="51" spans="1:6" hidden="1" x14ac:dyDescent="0.2">
      <c r="D51" s="41"/>
      <c r="E51" s="41"/>
    </row>
    <row r="52" spans="1:6" hidden="1" x14ac:dyDescent="0.2">
      <c r="D52" s="41"/>
      <c r="E52" s="41"/>
    </row>
    <row r="53" spans="1:6" hidden="1" x14ac:dyDescent="0.2">
      <c r="B53" s="15" t="s">
        <v>13</v>
      </c>
      <c r="C53" s="18"/>
      <c r="D53" s="33"/>
      <c r="E53" s="33"/>
      <c r="F53" s="34"/>
    </row>
    <row r="54" spans="1:6" hidden="1" x14ac:dyDescent="0.2">
      <c r="B54" s="46"/>
      <c r="C54" s="36"/>
      <c r="D54" s="38"/>
      <c r="E54" s="38"/>
      <c r="F54" s="37"/>
    </row>
    <row r="55" spans="1:6" hidden="1" x14ac:dyDescent="0.2">
      <c r="B55" s="46"/>
      <c r="C55" s="36"/>
      <c r="D55" s="38"/>
      <c r="E55" s="38"/>
      <c r="F55" s="37"/>
    </row>
    <row r="56" spans="1:6" hidden="1" x14ac:dyDescent="0.2">
      <c r="B56" s="39"/>
      <c r="C56" s="19"/>
      <c r="D56" s="40"/>
      <c r="E56" s="40"/>
      <c r="F56" s="31"/>
    </row>
    <row r="57" spans="1:6" hidden="1" x14ac:dyDescent="0.2"/>
    <row r="58" spans="1:6" hidden="1" x14ac:dyDescent="0.2"/>
    <row r="59" spans="1:6" ht="15.75" x14ac:dyDescent="0.25">
      <c r="A59" s="6" t="s">
        <v>133</v>
      </c>
    </row>
    <row r="60" spans="1:6" x14ac:dyDescent="0.2">
      <c r="B60" s="15" t="s">
        <v>5</v>
      </c>
      <c r="C60" s="28"/>
      <c r="D60" s="13" t="s">
        <v>92</v>
      </c>
      <c r="E60" s="13"/>
      <c r="F60" s="29" t="s">
        <v>7</v>
      </c>
    </row>
    <row r="61" spans="1:6" x14ac:dyDescent="0.2">
      <c r="B61" s="16" t="str">
        <f>B33</f>
        <v>(company/account)</v>
      </c>
      <c r="C61" s="5"/>
      <c r="D61" s="226">
        <f>D33</f>
        <v>27094</v>
      </c>
      <c r="E61" s="30"/>
      <c r="F61" s="31"/>
    </row>
    <row r="62" spans="1:6" x14ac:dyDescent="0.2">
      <c r="B62" s="227"/>
      <c r="C62" s="141"/>
      <c r="D62" s="108"/>
      <c r="E62" s="141"/>
      <c r="F62" s="37"/>
    </row>
    <row r="63" spans="1:6" x14ac:dyDescent="0.2">
      <c r="B63" s="228" t="s">
        <v>134</v>
      </c>
      <c r="C63" s="229"/>
      <c r="D63" s="230">
        <v>69918</v>
      </c>
      <c r="E63" s="141"/>
      <c r="F63" s="37">
        <f>+(D63)/1000</f>
        <v>69.918000000000006</v>
      </c>
    </row>
    <row r="64" spans="1:6" x14ac:dyDescent="0.2">
      <c r="B64" s="112"/>
      <c r="D64" s="41"/>
      <c r="E64" s="41"/>
      <c r="F64" s="31"/>
    </row>
    <row r="65" spans="1:6" x14ac:dyDescent="0.2">
      <c r="B65" s="253" t="s">
        <v>135</v>
      </c>
      <c r="C65" s="254"/>
      <c r="D65" s="254"/>
      <c r="E65" s="255"/>
      <c r="F65" s="45">
        <f>-Accrual!S54/1000</f>
        <v>69.918000000000006</v>
      </c>
    </row>
    <row r="66" spans="1:6" x14ac:dyDescent="0.2">
      <c r="D66" s="41"/>
      <c r="E66" s="41"/>
    </row>
    <row r="67" spans="1:6" x14ac:dyDescent="0.2">
      <c r="B67" s="256" t="s">
        <v>10</v>
      </c>
      <c r="C67" s="257"/>
      <c r="D67" s="257"/>
      <c r="E67" s="257"/>
      <c r="F67" s="258"/>
    </row>
    <row r="68" spans="1:6" x14ac:dyDescent="0.2">
      <c r="B68" s="46"/>
      <c r="C68" s="36"/>
      <c r="D68" s="38"/>
      <c r="E68" s="38"/>
      <c r="F68" s="37">
        <f>+F63-F65</f>
        <v>0</v>
      </c>
    </row>
    <row r="69" spans="1:6" x14ac:dyDescent="0.2">
      <c r="B69" s="46"/>
      <c r="C69" s="36"/>
      <c r="D69" s="38"/>
      <c r="E69" s="38"/>
      <c r="F69" s="37"/>
    </row>
    <row r="70" spans="1:6" x14ac:dyDescent="0.2">
      <c r="B70" s="39"/>
      <c r="C70" s="19"/>
      <c r="D70" s="40"/>
      <c r="E70" s="40"/>
      <c r="F70" s="31"/>
    </row>
    <row r="73" spans="1:6" x14ac:dyDescent="0.2">
      <c r="A73" s="106" t="str">
        <f ca="1">CELL("filename")</f>
        <v>C:\Users\Felienne\Enron\EnronSpreadsheets\[kam_keiser__18014__Reco!J11.xls]Accrual</v>
      </c>
    </row>
  </sheetData>
  <mergeCells count="2">
    <mergeCell ref="B65:E65"/>
    <mergeCell ref="B67:F67"/>
  </mergeCells>
  <phoneticPr fontId="0" type="noConversion"/>
  <pageMargins left="0.75" right="0.75" top="1" bottom="1" header="0.5" footer="0.5"/>
  <pageSetup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59"/>
  <sheetViews>
    <sheetView zoomScale="80" workbookViewId="0">
      <pane xSplit="3" ySplit="9" topLeftCell="J22" activePane="bottomRight" state="frozen"/>
      <selection activeCell="B7" sqref="B7"/>
      <selection pane="topRight" activeCell="B7" sqref="B7"/>
      <selection pane="bottomLeft" activeCell="B7" sqref="B7"/>
      <selection pane="bottomRight" activeCell="N46" sqref="N46"/>
    </sheetView>
  </sheetViews>
  <sheetFormatPr defaultRowHeight="12.75" x14ac:dyDescent="0.2"/>
  <cols>
    <col min="1" max="1" width="2.140625" customWidth="1"/>
    <col min="2" max="2" width="26.7109375" customWidth="1"/>
    <col min="3" max="3" width="2.7109375" customWidth="1"/>
    <col min="4" max="4" width="16.140625" bestFit="1" customWidth="1"/>
    <col min="5" max="5" width="16" customWidth="1"/>
    <col min="6" max="6" width="14" bestFit="1" customWidth="1"/>
    <col min="7" max="7" width="12.85546875" customWidth="1"/>
    <col min="8" max="9" width="14.42578125" bestFit="1" customWidth="1"/>
    <col min="10" max="10" width="12.85546875" customWidth="1"/>
    <col min="11" max="11" width="14.42578125" style="185" bestFit="1" customWidth="1"/>
    <col min="12" max="12" width="14" customWidth="1"/>
    <col min="13" max="13" width="15.42578125" customWidth="1"/>
    <col min="14" max="14" width="15" customWidth="1"/>
    <col min="15" max="15" width="15" hidden="1" customWidth="1"/>
    <col min="16" max="16" width="16" customWidth="1"/>
  </cols>
  <sheetData>
    <row r="1" spans="1:16" ht="18" x14ac:dyDescent="0.25">
      <c r="B1" s="1" t="s">
        <v>99</v>
      </c>
    </row>
    <row r="2" spans="1:16" ht="18" x14ac:dyDescent="0.25">
      <c r="B2" s="1" t="s">
        <v>0</v>
      </c>
    </row>
    <row r="3" spans="1:16" ht="18" x14ac:dyDescent="0.25">
      <c r="B3" s="1" t="s">
        <v>127</v>
      </c>
    </row>
    <row r="4" spans="1:16" x14ac:dyDescent="0.2">
      <c r="A4" s="3"/>
      <c r="B4" s="2"/>
    </row>
    <row r="6" spans="1:16" ht="15.75" x14ac:dyDescent="0.25">
      <c r="B6" s="10" t="s">
        <v>14</v>
      </c>
      <c r="C6" s="8"/>
      <c r="D6" s="203" t="s">
        <v>136</v>
      </c>
    </row>
    <row r="7" spans="1:16" ht="15.75" x14ac:dyDescent="0.25">
      <c r="B7" s="10" t="s">
        <v>92</v>
      </c>
      <c r="D7" s="203">
        <v>27094</v>
      </c>
    </row>
    <row r="8" spans="1:16" ht="15.75" x14ac:dyDescent="0.25">
      <c r="B8" s="10" t="s">
        <v>3</v>
      </c>
      <c r="D8" s="231">
        <v>37225</v>
      </c>
    </row>
    <row r="9" spans="1:16" ht="15.75" x14ac:dyDescent="0.25">
      <c r="B9" s="7"/>
      <c r="C9" s="8"/>
    </row>
    <row r="10" spans="1:16" ht="15.75" x14ac:dyDescent="0.25">
      <c r="A10" s="6" t="s">
        <v>16</v>
      </c>
    </row>
    <row r="11" spans="1:16" x14ac:dyDescent="0.2">
      <c r="B11" s="15" t="s">
        <v>5</v>
      </c>
      <c r="D11" s="20">
        <v>36892</v>
      </c>
      <c r="E11" s="20">
        <v>36923</v>
      </c>
      <c r="F11" s="20">
        <v>36951</v>
      </c>
      <c r="G11" s="20">
        <v>36982</v>
      </c>
      <c r="H11" s="20">
        <v>37012</v>
      </c>
      <c r="I11" s="20">
        <v>37043</v>
      </c>
      <c r="J11" s="20">
        <v>37073</v>
      </c>
      <c r="K11" s="20">
        <v>37104</v>
      </c>
      <c r="L11" s="20">
        <v>37135</v>
      </c>
      <c r="M11" s="20">
        <v>37165</v>
      </c>
      <c r="N11" s="20">
        <v>37196</v>
      </c>
      <c r="O11" s="20">
        <v>37226</v>
      </c>
      <c r="P11" s="15" t="s">
        <v>7</v>
      </c>
    </row>
    <row r="12" spans="1:16" x14ac:dyDescent="0.2">
      <c r="B12" s="16" t="s">
        <v>12</v>
      </c>
      <c r="D12" s="5" t="s">
        <v>17</v>
      </c>
      <c r="E12" s="5" t="s">
        <v>17</v>
      </c>
      <c r="F12" s="5" t="s">
        <v>17</v>
      </c>
      <c r="G12" s="5" t="s">
        <v>17</v>
      </c>
      <c r="H12" s="5" t="s">
        <v>17</v>
      </c>
      <c r="I12" s="5" t="s">
        <v>17</v>
      </c>
      <c r="J12" s="5" t="s">
        <v>17</v>
      </c>
      <c r="K12" s="197" t="s">
        <v>17</v>
      </c>
      <c r="L12" s="5" t="s">
        <v>17</v>
      </c>
      <c r="M12" s="5" t="s">
        <v>17</v>
      </c>
      <c r="N12" s="5" t="s">
        <v>17</v>
      </c>
      <c r="O12" s="5" t="s">
        <v>17</v>
      </c>
      <c r="P12" s="5" t="s">
        <v>17</v>
      </c>
    </row>
    <row r="13" spans="1:16" x14ac:dyDescent="0.2">
      <c r="B13" s="224" t="s">
        <v>128</v>
      </c>
      <c r="D13" s="50">
        <v>0</v>
      </c>
      <c r="E13" s="50">
        <v>0</v>
      </c>
      <c r="F13" s="50">
        <v>0</v>
      </c>
      <c r="G13" s="50">
        <v>-259106</v>
      </c>
      <c r="H13" s="50">
        <v>-1028155</v>
      </c>
      <c r="I13" s="50">
        <v>-542261</v>
      </c>
      <c r="J13" s="50">
        <v>782033</v>
      </c>
      <c r="K13" s="187">
        <v>-108742</v>
      </c>
      <c r="L13" s="50">
        <v>1204665</v>
      </c>
      <c r="M13" s="50">
        <v>1187667</v>
      </c>
      <c r="N13" s="50">
        <v>-1629302</v>
      </c>
      <c r="O13" s="50"/>
      <c r="P13" s="51">
        <f>SUM(D13:O13)</f>
        <v>-393201</v>
      </c>
    </row>
    <row r="14" spans="1:16" x14ac:dyDescent="0.2">
      <c r="B14" s="9"/>
      <c r="D14" s="50"/>
      <c r="E14" s="50"/>
      <c r="F14" s="50"/>
      <c r="G14" s="50"/>
      <c r="H14" s="50">
        <v>0</v>
      </c>
      <c r="I14" s="50"/>
      <c r="J14" s="50"/>
      <c r="K14" s="187"/>
      <c r="L14" s="50"/>
      <c r="M14" s="50"/>
      <c r="N14" s="50"/>
      <c r="O14" s="50"/>
      <c r="P14" s="51"/>
    </row>
    <row r="15" spans="1:16" ht="13.5" thickBot="1" x14ac:dyDescent="0.25">
      <c r="B15" s="16" t="s">
        <v>18</v>
      </c>
      <c r="D15" s="52">
        <f t="shared" ref="D15:P15" si="0">SUM(D13:D14)</f>
        <v>0</v>
      </c>
      <c r="E15" s="52">
        <f t="shared" si="0"/>
        <v>0</v>
      </c>
      <c r="F15" s="52">
        <f t="shared" si="0"/>
        <v>0</v>
      </c>
      <c r="G15" s="52">
        <f t="shared" si="0"/>
        <v>-259106</v>
      </c>
      <c r="H15" s="52">
        <f t="shared" si="0"/>
        <v>-1028155</v>
      </c>
      <c r="I15" s="52">
        <f t="shared" si="0"/>
        <v>-542261</v>
      </c>
      <c r="J15" s="52">
        <f t="shared" si="0"/>
        <v>782033</v>
      </c>
      <c r="K15" s="188">
        <f t="shared" si="0"/>
        <v>-108742</v>
      </c>
      <c r="L15" s="52">
        <f t="shared" si="0"/>
        <v>1204665</v>
      </c>
      <c r="M15" s="52">
        <f t="shared" si="0"/>
        <v>1187667</v>
      </c>
      <c r="N15" s="52">
        <f t="shared" si="0"/>
        <v>-1629302</v>
      </c>
      <c r="O15" s="52">
        <f t="shared" si="0"/>
        <v>0</v>
      </c>
      <c r="P15" s="52">
        <f t="shared" si="0"/>
        <v>-393201</v>
      </c>
    </row>
    <row r="16" spans="1:16" ht="12.75" customHeight="1" thickTop="1" x14ac:dyDescent="0.2"/>
    <row r="17" spans="1:16" ht="12.75" customHeight="1" x14ac:dyDescent="0.2">
      <c r="B17" s="22" t="s">
        <v>59</v>
      </c>
      <c r="D17" s="51">
        <v>0</v>
      </c>
      <c r="E17" s="51">
        <v>0</v>
      </c>
      <c r="F17" s="51">
        <v>0</v>
      </c>
      <c r="G17" s="51">
        <f>-[1]Report!$AE$33</f>
        <v>0</v>
      </c>
      <c r="H17" s="51">
        <f>-[2]Report!$AQ$33+[1]Report!$AE$56</f>
        <v>-2.8000000165775418E-3</v>
      </c>
      <c r="I17" s="51">
        <f>-[3]Report!$AQ$33+[2]Report!$AQ$56</f>
        <v>0</v>
      </c>
      <c r="J17" s="51">
        <f>-[4]Report!$AQ$33+[3]Report!$AQ$56</f>
        <v>0</v>
      </c>
      <c r="K17" s="51">
        <f>-[5]Report!$AQ$33+[4]Report!$AQ$56</f>
        <v>0</v>
      </c>
      <c r="L17" s="51">
        <f>-[6]Report!$AQ$33+[5]Report!$AQ$56</f>
        <v>0</v>
      </c>
      <c r="M17" s="51">
        <f>-[7]Report!$AQ$33+[6]Report!$AQ$56</f>
        <v>0</v>
      </c>
      <c r="N17" s="51">
        <f>-[9]Report!$AQ$33+[7]Report!$AQ$56</f>
        <v>0</v>
      </c>
      <c r="O17" s="189"/>
      <c r="P17" s="130"/>
    </row>
    <row r="18" spans="1:16" ht="12.75" customHeight="1" thickBot="1" x14ac:dyDescent="0.25">
      <c r="B18" s="22" t="s">
        <v>19</v>
      </c>
      <c r="D18" s="129">
        <v>0</v>
      </c>
      <c r="E18" s="129">
        <v>0</v>
      </c>
      <c r="F18" s="129">
        <v>0</v>
      </c>
      <c r="G18" s="129">
        <f>-[1]Report!$AE$56+[1]Report!$AE$33</f>
        <v>-259105.32279999997</v>
      </c>
      <c r="H18" s="129">
        <f>-[2]Report!$AQ$56+[1]Report!$AE$56</f>
        <v>-1028155.4989</v>
      </c>
      <c r="I18" s="129">
        <f>-[3]Report!$AQ$56+[2]Report!$AQ$56</f>
        <v>-542261.81849999982</v>
      </c>
      <c r="J18" s="129">
        <f>-[4]Report!$AQ$56+[3]Report!$AQ$56</f>
        <v>782032.38189999969</v>
      </c>
      <c r="K18" s="129">
        <f>-[5]Report!$AQ$56+[4]Report!$AQ$56</f>
        <v>-108739.37589999987</v>
      </c>
      <c r="L18" s="129">
        <f>-[6]Report!$AQ$56+[5]Report!$AQ$56</f>
        <v>1204661.7996999999</v>
      </c>
      <c r="M18" s="129">
        <f>-[7]Report!$AQ$56+[6]Report!$AQ$56</f>
        <v>1187669.7531000003</v>
      </c>
      <c r="N18" s="129">
        <f>-[9]Report!$AQ$56+[7]Report!$AQ$56</f>
        <v>-1629302.8843000003</v>
      </c>
      <c r="O18" s="190"/>
      <c r="P18" s="129">
        <f>SUM(D18:O18)</f>
        <v>-393200.96570000006</v>
      </c>
    </row>
    <row r="19" spans="1:16" ht="12.75" customHeight="1" thickTop="1" thickBot="1" x14ac:dyDescent="0.25"/>
    <row r="20" spans="1:16" ht="12.75" customHeight="1" thickBot="1" x14ac:dyDescent="0.25">
      <c r="B20" s="23" t="s">
        <v>20</v>
      </c>
      <c r="D20" s="53">
        <f t="shared" ref="D20:P20" si="1">+D15-D18</f>
        <v>0</v>
      </c>
      <c r="E20" s="53">
        <f t="shared" si="1"/>
        <v>0</v>
      </c>
      <c r="F20" s="53">
        <f t="shared" si="1"/>
        <v>0</v>
      </c>
      <c r="G20" s="53">
        <f t="shared" si="1"/>
        <v>-0.6772000000346452</v>
      </c>
      <c r="H20" s="53">
        <f>+H15-H18</f>
        <v>0.49890000000596046</v>
      </c>
      <c r="I20" s="53">
        <f t="shared" si="1"/>
        <v>0.81849999981932342</v>
      </c>
      <c r="J20" s="53">
        <f>+J15-J18</f>
        <v>0.61810000031255186</v>
      </c>
      <c r="K20" s="191">
        <f>+K15-K18</f>
        <v>-2.6241000001318753</v>
      </c>
      <c r="L20" s="53">
        <f t="shared" si="1"/>
        <v>3.2003000001423061</v>
      </c>
      <c r="M20" s="53">
        <f t="shared" si="1"/>
        <v>-2.7531000003218651</v>
      </c>
      <c r="N20" s="53">
        <f t="shared" si="1"/>
        <v>0.88430000026710331</v>
      </c>
      <c r="O20" s="53">
        <f t="shared" si="1"/>
        <v>0</v>
      </c>
      <c r="P20" s="53">
        <f t="shared" si="1"/>
        <v>-3.4299999941140413E-2</v>
      </c>
    </row>
    <row r="22" spans="1:16" ht="15.75" x14ac:dyDescent="0.25">
      <c r="A22" s="6" t="s">
        <v>21</v>
      </c>
    </row>
    <row r="23" spans="1:16" x14ac:dyDescent="0.2">
      <c r="B23" s="15" t="s">
        <v>5</v>
      </c>
      <c r="D23" s="20">
        <f>D11</f>
        <v>36892</v>
      </c>
      <c r="E23" s="20">
        <f t="shared" ref="E23:P23" si="2">E11</f>
        <v>36923</v>
      </c>
      <c r="F23" s="20">
        <f t="shared" si="2"/>
        <v>36951</v>
      </c>
      <c r="G23" s="20">
        <f t="shared" si="2"/>
        <v>36982</v>
      </c>
      <c r="H23" s="20">
        <f t="shared" si="2"/>
        <v>37012</v>
      </c>
      <c r="I23" s="20">
        <f t="shared" si="2"/>
        <v>37043</v>
      </c>
      <c r="J23" s="20">
        <f t="shared" si="2"/>
        <v>37073</v>
      </c>
      <c r="K23" s="20">
        <f t="shared" si="2"/>
        <v>37104</v>
      </c>
      <c r="L23" s="20">
        <f t="shared" si="2"/>
        <v>37135</v>
      </c>
      <c r="M23" s="20">
        <f t="shared" si="2"/>
        <v>37165</v>
      </c>
      <c r="N23" s="20">
        <f t="shared" si="2"/>
        <v>37196</v>
      </c>
      <c r="O23" s="20">
        <f t="shared" si="2"/>
        <v>37226</v>
      </c>
      <c r="P23" s="20" t="str">
        <f t="shared" si="2"/>
        <v>Total</v>
      </c>
    </row>
    <row r="24" spans="1:16" x14ac:dyDescent="0.2">
      <c r="B24" s="16" t="s">
        <v>12</v>
      </c>
      <c r="D24" s="5" t="s">
        <v>17</v>
      </c>
      <c r="E24" s="5" t="s">
        <v>17</v>
      </c>
      <c r="F24" s="5" t="s">
        <v>17</v>
      </c>
      <c r="G24" s="5" t="s">
        <v>17</v>
      </c>
      <c r="H24" s="5" t="s">
        <v>17</v>
      </c>
      <c r="I24" s="5" t="s">
        <v>17</v>
      </c>
      <c r="J24" s="5" t="s">
        <v>17</v>
      </c>
      <c r="K24" s="186" t="s">
        <v>17</v>
      </c>
      <c r="L24" s="5" t="s">
        <v>17</v>
      </c>
      <c r="M24" s="5" t="s">
        <v>17</v>
      </c>
      <c r="N24" s="5" t="s">
        <v>17</v>
      </c>
      <c r="O24" s="5" t="s">
        <v>17</v>
      </c>
      <c r="P24" s="5" t="s">
        <v>17</v>
      </c>
    </row>
    <row r="25" spans="1:16" x14ac:dyDescent="0.2">
      <c r="B25" s="224" t="s">
        <v>129</v>
      </c>
      <c r="D25" s="51"/>
      <c r="E25" s="51"/>
      <c r="F25" s="51"/>
      <c r="G25" s="51"/>
      <c r="H25" s="51"/>
      <c r="I25" s="51"/>
      <c r="J25" s="51"/>
      <c r="K25" s="189"/>
      <c r="L25" s="51"/>
      <c r="M25" s="51"/>
      <c r="N25" s="51">
        <v>29317</v>
      </c>
      <c r="O25" s="51"/>
      <c r="P25" s="51">
        <f>SUM(D25:O25)</f>
        <v>29317</v>
      </c>
    </row>
    <row r="26" spans="1:16" x14ac:dyDescent="0.2">
      <c r="B26" s="21" t="s">
        <v>130</v>
      </c>
      <c r="D26" s="50"/>
      <c r="E26" s="50"/>
      <c r="F26" s="50"/>
      <c r="G26" s="50">
        <v>-9198</v>
      </c>
      <c r="H26" s="50">
        <v>-449298</v>
      </c>
      <c r="I26" s="50">
        <v>-745269</v>
      </c>
      <c r="J26" s="50">
        <v>-171542</v>
      </c>
      <c r="K26" s="187">
        <v>-984040</v>
      </c>
      <c r="L26" s="50">
        <v>-1240940</v>
      </c>
      <c r="M26" s="50">
        <v>-2012927</v>
      </c>
      <c r="N26" s="50">
        <v>2172494</v>
      </c>
      <c r="O26" s="50"/>
      <c r="P26" s="51">
        <f>SUM(D26:O26)</f>
        <v>-3440720</v>
      </c>
    </row>
    <row r="27" spans="1:16" x14ac:dyDescent="0.2">
      <c r="B27" s="21" t="s">
        <v>131</v>
      </c>
      <c r="D27" s="50"/>
      <c r="E27" s="50"/>
      <c r="F27" s="50"/>
      <c r="G27" s="50"/>
      <c r="H27" s="50">
        <v>-8454</v>
      </c>
      <c r="I27" s="50">
        <v>241436</v>
      </c>
      <c r="J27" s="50">
        <v>-222830</v>
      </c>
      <c r="K27" s="187">
        <v>-74325</v>
      </c>
      <c r="L27" s="50">
        <v>61172</v>
      </c>
      <c r="M27" s="50">
        <v>1324550</v>
      </c>
      <c r="N27" s="50">
        <v>-1321550</v>
      </c>
      <c r="O27" s="50"/>
      <c r="P27" s="51">
        <f>SUM(D27:O27)</f>
        <v>-1</v>
      </c>
    </row>
    <row r="28" spans="1:16" x14ac:dyDescent="0.2">
      <c r="B28" s="21" t="s">
        <v>132</v>
      </c>
      <c r="D28" s="50"/>
      <c r="E28" s="50"/>
      <c r="F28" s="50"/>
      <c r="G28" s="50">
        <v>172</v>
      </c>
      <c r="H28" s="50">
        <v>999</v>
      </c>
      <c r="I28" s="50">
        <v>2346</v>
      </c>
      <c r="J28" s="50">
        <v>5135</v>
      </c>
      <c r="K28" s="187">
        <v>-838</v>
      </c>
      <c r="L28" s="50">
        <v>-16369</v>
      </c>
      <c r="M28" s="50">
        <v>-10077</v>
      </c>
      <c r="N28" s="50">
        <v>6884</v>
      </c>
      <c r="O28" s="50"/>
      <c r="P28" s="51">
        <f>SUM(D28:O28)</f>
        <v>-11748</v>
      </c>
    </row>
    <row r="29" spans="1:16" x14ac:dyDescent="0.2">
      <c r="B29" s="21"/>
      <c r="D29" s="50"/>
      <c r="E29" s="50"/>
      <c r="F29" s="50"/>
      <c r="G29" s="50"/>
      <c r="H29" s="50"/>
      <c r="I29" s="50"/>
      <c r="J29" s="50"/>
      <c r="K29" s="187"/>
      <c r="L29" s="50"/>
      <c r="M29" s="50"/>
      <c r="N29" s="50"/>
      <c r="O29" s="50"/>
      <c r="P29" s="51"/>
    </row>
    <row r="30" spans="1:16" ht="13.5" thickBot="1" x14ac:dyDescent="0.25">
      <c r="B30" s="16" t="s">
        <v>22</v>
      </c>
      <c r="D30" s="52">
        <f>SUM(D25:D29)</f>
        <v>0</v>
      </c>
      <c r="E30" s="52">
        <f>SUM(E25:E29)</f>
        <v>0</v>
      </c>
      <c r="F30" s="52">
        <f>SUM(F25:F29)</f>
        <v>0</v>
      </c>
      <c r="G30" s="52">
        <f>SUM(G25:G29)</f>
        <v>-9026</v>
      </c>
      <c r="H30" s="52">
        <f>SUM(H25:H29)</f>
        <v>-456753</v>
      </c>
      <c r="I30" s="52">
        <f t="shared" ref="I30:P30" si="3">SUM(I25:I29)</f>
        <v>-501487</v>
      </c>
      <c r="J30" s="52">
        <f t="shared" si="3"/>
        <v>-389237</v>
      </c>
      <c r="K30" s="188">
        <f>SUM(K25:K29)</f>
        <v>-1059203</v>
      </c>
      <c r="L30" s="52">
        <f t="shared" si="3"/>
        <v>-1196137</v>
      </c>
      <c r="M30" s="52">
        <f t="shared" si="3"/>
        <v>-698454</v>
      </c>
      <c r="N30" s="52">
        <f t="shared" si="3"/>
        <v>887145</v>
      </c>
      <c r="O30" s="52">
        <f t="shared" si="3"/>
        <v>0</v>
      </c>
      <c r="P30" s="52">
        <f t="shared" si="3"/>
        <v>-3423152</v>
      </c>
    </row>
    <row r="31" spans="1:16" ht="13.5" thickTop="1" x14ac:dyDescent="0.2">
      <c r="D31" s="54"/>
      <c r="E31" s="54"/>
      <c r="F31" s="54"/>
      <c r="G31" s="54"/>
      <c r="H31" s="54"/>
      <c r="I31" s="54"/>
      <c r="J31" s="54"/>
      <c r="L31" s="54"/>
      <c r="M31" s="54"/>
      <c r="N31" s="54"/>
      <c r="O31" s="54"/>
      <c r="P31" s="54"/>
    </row>
    <row r="32" spans="1:16" ht="12.75" customHeight="1" x14ac:dyDescent="0.2">
      <c r="B32" s="22" t="s">
        <v>59</v>
      </c>
      <c r="D32" s="51">
        <v>0</v>
      </c>
      <c r="E32" s="51">
        <v>0</v>
      </c>
      <c r="F32" s="51">
        <v>0</v>
      </c>
      <c r="G32" s="51">
        <f>-[1]Report!$AE$35</f>
        <v>0</v>
      </c>
      <c r="H32" s="51">
        <f>-[2]Report!$AQ$35+[1]Report!$AE$62</f>
        <v>-5.0000000010186341E-4</v>
      </c>
      <c r="I32" s="51">
        <f>-[3]Report!$AQ$35+[2]Report!$AQ$62</f>
        <v>0</v>
      </c>
      <c r="J32" s="51">
        <f>-[4]Report!$AQ$35+[3]Report!$AQ$62</f>
        <v>0</v>
      </c>
      <c r="K32" s="51">
        <f>-[5]Report!$AQ$35+[4]Report!$AQ$62</f>
        <v>0</v>
      </c>
      <c r="L32" s="51">
        <f>-[6]Report!$AQ$35+[5]Report!$AQ$62</f>
        <v>0</v>
      </c>
      <c r="M32" s="51">
        <f>-[7]Report!$AQ$35+[6]Report!$AQ$62</f>
        <v>0</v>
      </c>
      <c r="N32" s="51">
        <f>-[9]Report!$AQ$35+[7]Report!$AQ$62</f>
        <v>0</v>
      </c>
      <c r="O32" s="189"/>
      <c r="P32" s="51"/>
    </row>
    <row r="33" spans="2:23" ht="13.5" thickBot="1" x14ac:dyDescent="0.25">
      <c r="B33" s="22" t="s">
        <v>23</v>
      </c>
      <c r="D33" s="52">
        <v>0</v>
      </c>
      <c r="E33" s="52">
        <v>0</v>
      </c>
      <c r="F33" s="52">
        <v>0</v>
      </c>
      <c r="G33" s="52">
        <f>-[1]Report!$AE$62+[1]Report!$AE$35</f>
        <v>-9028.1762999999992</v>
      </c>
      <c r="H33" s="52">
        <f>-[2]Report!$AQ$62+[1]Report!$AE$62</f>
        <v>-456294.80949999992</v>
      </c>
      <c r="I33" s="52">
        <f>-[3]Report!$AQ$62+[2]Report!$AQ$62</f>
        <v>-510916.47699999996</v>
      </c>
      <c r="J33" s="52">
        <f>-[4]Report!$AQ$62+[3]Report!$AQ$62</f>
        <v>-381693.27300000004</v>
      </c>
      <c r="K33" s="52">
        <f>-[5]Report!$AQ$62+[4]Report!$AQ$62</f>
        <v>-1056189.1865999997</v>
      </c>
      <c r="L33" s="52">
        <f>-[6]Report!$AQ$62+[5]Report!$AQ$62</f>
        <v>-1194685.4665000001</v>
      </c>
      <c r="M33" s="52">
        <f>-[7]Report!$AQ$62+[6]Report!$AQ$62</f>
        <v>-707067.82150000054</v>
      </c>
      <c r="N33" s="52">
        <f>-[9]Report!$AQ$62+[7]Report!$AQ$62</f>
        <v>822801.02170000086</v>
      </c>
      <c r="O33" s="188"/>
      <c r="P33" s="52">
        <f>SUM(D33:O33)</f>
        <v>-3493074.1886999994</v>
      </c>
    </row>
    <row r="34" spans="2:23" ht="14.25" thickTop="1" thickBot="1" x14ac:dyDescent="0.25">
      <c r="D34" s="54"/>
      <c r="E34" s="54"/>
      <c r="F34" s="54"/>
      <c r="G34" s="54"/>
      <c r="H34" s="54"/>
      <c r="I34" s="54"/>
      <c r="J34" s="54"/>
      <c r="L34" s="54"/>
      <c r="M34" s="54"/>
      <c r="N34" s="54"/>
      <c r="O34" s="54"/>
      <c r="P34" s="54"/>
    </row>
    <row r="35" spans="2:23" ht="13.5" thickBot="1" x14ac:dyDescent="0.25">
      <c r="B35" s="23" t="s">
        <v>24</v>
      </c>
      <c r="D35" s="53">
        <f t="shared" ref="D35:O35" si="4">+D30-D33</f>
        <v>0</v>
      </c>
      <c r="E35" s="53">
        <f t="shared" si="4"/>
        <v>0</v>
      </c>
      <c r="F35" s="53">
        <f t="shared" si="4"/>
        <v>0</v>
      </c>
      <c r="G35" s="53">
        <f t="shared" si="4"/>
        <v>2.1762999999991735</v>
      </c>
      <c r="H35" s="53">
        <f t="shared" si="4"/>
        <v>-458.19050000008428</v>
      </c>
      <c r="I35" s="53">
        <f t="shared" si="4"/>
        <v>9429.4769999999553</v>
      </c>
      <c r="J35" s="53">
        <f>+J30-J33</f>
        <v>-7543.7269999999553</v>
      </c>
      <c r="K35" s="191">
        <f>+K30-K33</f>
        <v>-3013.8134000003338</v>
      </c>
      <c r="L35" s="53">
        <f t="shared" si="4"/>
        <v>-1451.5334999999031</v>
      </c>
      <c r="M35" s="53">
        <f t="shared" si="4"/>
        <v>8613.8215000005439</v>
      </c>
      <c r="N35" s="53">
        <f t="shared" si="4"/>
        <v>64343.978299999144</v>
      </c>
      <c r="O35" s="53">
        <f t="shared" si="4"/>
        <v>0</v>
      </c>
      <c r="P35" s="53">
        <f>+P30-P33</f>
        <v>69922.188699999359</v>
      </c>
    </row>
    <row r="37" spans="2:23" ht="13.5" thickBot="1" x14ac:dyDescent="0.25"/>
    <row r="38" spans="2:23" ht="13.5" thickBot="1" x14ac:dyDescent="0.25">
      <c r="B38" s="24" t="s">
        <v>25</v>
      </c>
      <c r="D38" s="55">
        <f t="shared" ref="D38:P38" si="5">+D35+D20</f>
        <v>0</v>
      </c>
      <c r="E38" s="55">
        <f t="shared" si="5"/>
        <v>0</v>
      </c>
      <c r="F38" s="55">
        <f t="shared" si="5"/>
        <v>0</v>
      </c>
      <c r="G38" s="55">
        <f t="shared" si="5"/>
        <v>1.4990999999645283</v>
      </c>
      <c r="H38" s="55">
        <f t="shared" si="5"/>
        <v>-457.69160000007832</v>
      </c>
      <c r="I38" s="55">
        <f t="shared" si="5"/>
        <v>9430.2954999997746</v>
      </c>
      <c r="J38" s="55">
        <f t="shared" si="5"/>
        <v>-7543.1088999996427</v>
      </c>
      <c r="K38" s="192">
        <f t="shared" si="5"/>
        <v>-3016.4375000004657</v>
      </c>
      <c r="L38" s="55">
        <f t="shared" si="5"/>
        <v>-1448.3331999997608</v>
      </c>
      <c r="M38" s="55">
        <f t="shared" si="5"/>
        <v>8611.068400000222</v>
      </c>
      <c r="N38" s="55">
        <f t="shared" si="5"/>
        <v>64344.862599999411</v>
      </c>
      <c r="O38" s="55">
        <f t="shared" si="5"/>
        <v>0</v>
      </c>
      <c r="P38" s="55">
        <f t="shared" si="5"/>
        <v>69922.154399999417</v>
      </c>
      <c r="Q38" s="54"/>
      <c r="R38" s="54"/>
      <c r="S38" s="54"/>
      <c r="T38" s="54"/>
      <c r="U38" s="54"/>
      <c r="V38" s="54"/>
      <c r="W38" s="54"/>
    </row>
    <row r="40" spans="2:23" hidden="1" x14ac:dyDescent="0.2"/>
    <row r="41" spans="2:23" hidden="1" x14ac:dyDescent="0.2"/>
    <row r="42" spans="2:23" hidden="1" x14ac:dyDescent="0.2"/>
    <row r="43" spans="2:23" ht="13.5" thickBot="1" x14ac:dyDescent="0.25"/>
    <row r="44" spans="2:23" ht="13.5" thickBot="1" x14ac:dyDescent="0.25">
      <c r="B44" s="24" t="s">
        <v>26</v>
      </c>
      <c r="D44" s="104">
        <f t="shared" ref="D44:P44" si="6">+D15+D30</f>
        <v>0</v>
      </c>
      <c r="E44" s="104">
        <f t="shared" si="6"/>
        <v>0</v>
      </c>
      <c r="F44" s="104">
        <f t="shared" si="6"/>
        <v>0</v>
      </c>
      <c r="G44" s="104">
        <f t="shared" si="6"/>
        <v>-268132</v>
      </c>
      <c r="H44" s="104">
        <f t="shared" si="6"/>
        <v>-1484908</v>
      </c>
      <c r="I44" s="102">
        <f t="shared" si="6"/>
        <v>-1043748</v>
      </c>
      <c r="J44" s="102">
        <f t="shared" si="6"/>
        <v>392796</v>
      </c>
      <c r="K44" s="193">
        <f>+K15+K30</f>
        <v>-1167945</v>
      </c>
      <c r="L44" s="102">
        <f t="shared" si="6"/>
        <v>8528</v>
      </c>
      <c r="M44" s="102">
        <f t="shared" si="6"/>
        <v>489213</v>
      </c>
      <c r="N44" s="102">
        <f t="shared" si="6"/>
        <v>-742157</v>
      </c>
      <c r="O44" s="102">
        <f t="shared" si="6"/>
        <v>0</v>
      </c>
      <c r="P44" s="102">
        <f t="shared" si="6"/>
        <v>-3816353</v>
      </c>
    </row>
    <row r="45" spans="2:23" ht="13.5" thickBot="1" x14ac:dyDescent="0.25">
      <c r="B45" s="24" t="s">
        <v>27</v>
      </c>
      <c r="D45" s="105">
        <f t="shared" ref="D45:O45" si="7">ROUND(+D18+D33,0)</f>
        <v>0</v>
      </c>
      <c r="E45" s="105">
        <f>ROUND(+E18+E33,0)</f>
        <v>0</v>
      </c>
      <c r="F45" s="105">
        <f t="shared" si="7"/>
        <v>0</v>
      </c>
      <c r="G45" s="105">
        <f t="shared" si="7"/>
        <v>-268133</v>
      </c>
      <c r="H45" s="105">
        <f t="shared" si="7"/>
        <v>-1484450</v>
      </c>
      <c r="I45" s="105">
        <f t="shared" si="7"/>
        <v>-1053178</v>
      </c>
      <c r="J45" s="105">
        <f t="shared" si="7"/>
        <v>400339</v>
      </c>
      <c r="K45" s="194">
        <f>ROUND(+K18+K33,0)</f>
        <v>-1164929</v>
      </c>
      <c r="L45" s="194">
        <f t="shared" si="7"/>
        <v>9976</v>
      </c>
      <c r="M45" s="103">
        <f>ROUND(+M18+M33,0)+4</f>
        <v>480606</v>
      </c>
      <c r="N45" s="103">
        <f t="shared" si="7"/>
        <v>-806502</v>
      </c>
      <c r="O45" s="103">
        <f t="shared" si="7"/>
        <v>0</v>
      </c>
      <c r="P45" s="103">
        <f>+P18+P33</f>
        <v>-3886275.1543999994</v>
      </c>
    </row>
    <row r="46" spans="2:23" ht="13.5" thickBot="1" x14ac:dyDescent="0.25">
      <c r="B46" s="24" t="s">
        <v>28</v>
      </c>
      <c r="D46" s="105">
        <f>+D44-D45</f>
        <v>0</v>
      </c>
      <c r="E46" s="105">
        <f>+E44-E45</f>
        <v>0</v>
      </c>
      <c r="F46" s="105">
        <f>+F44-F45</f>
        <v>0</v>
      </c>
      <c r="G46" s="105">
        <f>+G44-G45</f>
        <v>1</v>
      </c>
      <c r="H46" s="105">
        <f>+H44-H45</f>
        <v>-458</v>
      </c>
      <c r="I46" s="103">
        <f t="shared" ref="I46:P46" si="8">+I44-I45</f>
        <v>9430</v>
      </c>
      <c r="J46" s="103">
        <f t="shared" si="8"/>
        <v>-7543</v>
      </c>
      <c r="K46" s="195">
        <f t="shared" si="8"/>
        <v>-3016</v>
      </c>
      <c r="L46" s="103">
        <f t="shared" si="8"/>
        <v>-1448</v>
      </c>
      <c r="M46" s="103">
        <f t="shared" si="8"/>
        <v>8607</v>
      </c>
      <c r="N46" s="103">
        <f t="shared" si="8"/>
        <v>64345</v>
      </c>
      <c r="O46" s="103">
        <f t="shared" si="8"/>
        <v>0</v>
      </c>
      <c r="P46" s="109">
        <f t="shared" si="8"/>
        <v>69922.154399999417</v>
      </c>
    </row>
    <row r="47" spans="2:23" x14ac:dyDescent="0.2">
      <c r="B47" s="222"/>
      <c r="D47" s="59"/>
      <c r="E47" s="59"/>
      <c r="F47" s="59"/>
      <c r="G47" s="59"/>
      <c r="H47" s="59"/>
      <c r="I47" s="59"/>
      <c r="J47" s="59"/>
      <c r="K47" s="220"/>
      <c r="L47" s="59"/>
      <c r="M47" s="59"/>
      <c r="N47" s="59"/>
      <c r="O47" s="59"/>
      <c r="P47" s="221"/>
    </row>
    <row r="48" spans="2:23" ht="13.5" thickBot="1" x14ac:dyDescent="0.25">
      <c r="P48" s="99"/>
    </row>
    <row r="49" spans="2:16" ht="13.5" thickBot="1" x14ac:dyDescent="0.25">
      <c r="B49" s="24" t="s">
        <v>58</v>
      </c>
      <c r="D49" s="53">
        <v>0</v>
      </c>
      <c r="E49" s="53">
        <v>0</v>
      </c>
      <c r="F49" s="53">
        <v>0</v>
      </c>
      <c r="G49" s="53">
        <f>ROUND(-[1]Report!$AE$53,0)+1</f>
        <v>-268133</v>
      </c>
      <c r="H49" s="53">
        <f>ROUND(-[2]Report!$AQ$53,0)-1</f>
        <v>-1484450</v>
      </c>
      <c r="I49" s="53">
        <f>ROUND(-[3]Report!$AQ$53,0)</f>
        <v>-1053178</v>
      </c>
      <c r="J49" s="53">
        <f>ROUND(-[4]Report!$AQ$53,0)</f>
        <v>400339</v>
      </c>
      <c r="K49" s="53">
        <f>ROUND(-[5]Report!$AQ$53,0)</f>
        <v>-1164929</v>
      </c>
      <c r="L49" s="53">
        <f>ROUND(-[6]Report!$AQ$53,0)</f>
        <v>9976</v>
      </c>
      <c r="M49" s="53">
        <f>ROUND(-[7]Report!$AQ$53,0)</f>
        <v>480606</v>
      </c>
      <c r="N49" s="53">
        <f>ROUND(-[9]Report!$AQ$53,0)</f>
        <v>-806502</v>
      </c>
      <c r="O49" s="191"/>
      <c r="P49" s="53"/>
    </row>
    <row r="50" spans="2:16" x14ac:dyDescent="0.2">
      <c r="D50" s="67" t="str">
        <f>IF(D49-D45&lt;&gt;0,"Dpr Err","Dpr Ok")</f>
        <v>Dpr Ok</v>
      </c>
      <c r="E50" s="67" t="str">
        <f t="shared" ref="E50:O50" si="9">IF(E49-E45&lt;&gt;0,"Dpr Err","Dpr Ok")</f>
        <v>Dpr Ok</v>
      </c>
      <c r="F50" s="67" t="str">
        <f t="shared" si="9"/>
        <v>Dpr Ok</v>
      </c>
      <c r="G50" s="67" t="str">
        <f t="shared" si="9"/>
        <v>Dpr Ok</v>
      </c>
      <c r="H50" s="67" t="str">
        <f>IF(H49-H45&lt;&gt;0,"Dpr Err","Dpr Ok")</f>
        <v>Dpr Ok</v>
      </c>
      <c r="I50" s="67" t="str">
        <f t="shared" si="9"/>
        <v>Dpr Ok</v>
      </c>
      <c r="J50" s="67" t="str">
        <f t="shared" si="9"/>
        <v>Dpr Ok</v>
      </c>
      <c r="K50" s="196" t="str">
        <f t="shared" si="9"/>
        <v>Dpr Ok</v>
      </c>
      <c r="L50" s="196" t="str">
        <f t="shared" si="9"/>
        <v>Dpr Ok</v>
      </c>
      <c r="M50" s="196" t="str">
        <f t="shared" si="9"/>
        <v>Dpr Ok</v>
      </c>
      <c r="N50" s="196" t="str">
        <f t="shared" si="9"/>
        <v>Dpr Ok</v>
      </c>
      <c r="O50" s="196" t="str">
        <f t="shared" si="9"/>
        <v>Dpr Ok</v>
      </c>
    </row>
    <row r="51" spans="2:16" x14ac:dyDescent="0.2">
      <c r="D51" s="54">
        <f t="shared" ref="D51:K51" si="10">D45-D49</f>
        <v>0</v>
      </c>
      <c r="E51" s="54">
        <f t="shared" si="10"/>
        <v>0</v>
      </c>
      <c r="F51" s="54">
        <f t="shared" si="10"/>
        <v>0</v>
      </c>
      <c r="G51" s="54">
        <f t="shared" si="10"/>
        <v>0</v>
      </c>
      <c r="H51" s="54">
        <f t="shared" si="10"/>
        <v>0</v>
      </c>
      <c r="I51" s="54">
        <f t="shared" si="10"/>
        <v>0</v>
      </c>
      <c r="J51" s="54">
        <f t="shared" si="10"/>
        <v>0</v>
      </c>
      <c r="K51" s="54">
        <f t="shared" si="10"/>
        <v>0</v>
      </c>
      <c r="L51" s="54">
        <f>L45-L49</f>
        <v>0</v>
      </c>
      <c r="M51" s="54">
        <f>M45-M49</f>
        <v>0</v>
      </c>
      <c r="N51" s="54">
        <f>N45-N49</f>
        <v>0</v>
      </c>
      <c r="O51" s="185">
        <f>+O45-O49</f>
        <v>0</v>
      </c>
    </row>
    <row r="52" spans="2:16" x14ac:dyDescent="0.2">
      <c r="I52" s="54"/>
    </row>
    <row r="53" spans="2:16" x14ac:dyDescent="0.2">
      <c r="B53" s="106" t="str">
        <f ca="1">CELL("filename")</f>
        <v>C:\Users\Felienne\Enron\EnronSpreadsheets\[kam_keiser__18014__Reco!J11.xls]Accrual</v>
      </c>
      <c r="F53" s="223"/>
    </row>
    <row r="54" spans="2:16" x14ac:dyDescent="0.2">
      <c r="F54" s="54"/>
    </row>
    <row r="56" spans="2:16" x14ac:dyDescent="0.2">
      <c r="B56" t="s">
        <v>138</v>
      </c>
      <c r="H56" s="223">
        <v>1</v>
      </c>
      <c r="I56" s="223">
        <v>-457</v>
      </c>
      <c r="J56" s="223">
        <v>8973</v>
      </c>
      <c r="K56" s="185">
        <v>1430</v>
      </c>
      <c r="L56" s="223">
        <v>-1586</v>
      </c>
      <c r="M56" s="223">
        <v>-3034</v>
      </c>
      <c r="N56" s="223">
        <v>5573</v>
      </c>
    </row>
    <row r="57" spans="2:16" x14ac:dyDescent="0.2">
      <c r="H57" s="223">
        <v>457</v>
      </c>
      <c r="I57" s="223">
        <v>-8973</v>
      </c>
      <c r="J57" s="223">
        <v>-1430</v>
      </c>
      <c r="K57" s="185">
        <v>1586</v>
      </c>
      <c r="L57" s="223">
        <v>3034</v>
      </c>
      <c r="M57" s="223">
        <v>-5573</v>
      </c>
    </row>
    <row r="59" spans="2:16" x14ac:dyDescent="0.2">
      <c r="B59" t="s">
        <v>139</v>
      </c>
      <c r="G59" s="54">
        <f t="shared" ref="G59:N59" si="11">G44+G56+G57+G58</f>
        <v>-268132</v>
      </c>
      <c r="H59" s="54">
        <f t="shared" si="11"/>
        <v>-1484450</v>
      </c>
      <c r="I59" s="54">
        <f t="shared" si="11"/>
        <v>-1053178</v>
      </c>
      <c r="J59" s="54">
        <f t="shared" si="11"/>
        <v>400339</v>
      </c>
      <c r="K59" s="54">
        <f t="shared" si="11"/>
        <v>-1164929</v>
      </c>
      <c r="L59" s="54">
        <f t="shared" si="11"/>
        <v>9976</v>
      </c>
      <c r="M59" s="54">
        <f t="shared" si="11"/>
        <v>480606</v>
      </c>
      <c r="N59" s="54">
        <f t="shared" si="11"/>
        <v>-736584</v>
      </c>
    </row>
  </sheetData>
  <phoneticPr fontId="0" type="noConversion"/>
  <conditionalFormatting sqref="D50:O50">
    <cfRule type="cellIs" dxfId="1" priority="1" stopIfTrue="1" operator="notEqual">
      <formula>"Dpr Ok"</formula>
    </cfRule>
  </conditionalFormatting>
  <conditionalFormatting sqref="O51">
    <cfRule type="expression" dxfId="0" priority="2" stopIfTrue="1">
      <formula>$D$46=$D$49</formula>
    </cfRule>
  </conditionalFormatting>
  <printOptions horizontalCentered="1"/>
  <pageMargins left="0.25" right="0.25" top="0.25" bottom="0.5" header="0.25" footer="0.2"/>
  <pageSetup scale="66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9"/>
  <sheetViews>
    <sheetView zoomScale="80" workbookViewId="0">
      <pane ySplit="9" topLeftCell="A10" activePane="bottomLeft" state="frozen"/>
      <selection activeCell="B7" sqref="B7"/>
      <selection pane="bottomLeft" activeCell="E22" sqref="E22"/>
    </sheetView>
  </sheetViews>
  <sheetFormatPr defaultRowHeight="12.75" x14ac:dyDescent="0.2"/>
  <cols>
    <col min="1" max="1" width="30.5703125" customWidth="1"/>
    <col min="2" max="2" width="13" bestFit="1" customWidth="1"/>
    <col min="3" max="3" width="25" style="134" bestFit="1" customWidth="1"/>
    <col min="4" max="4" width="14.42578125" style="131" customWidth="1"/>
    <col min="5" max="5" width="18.7109375" style="131" bestFit="1" customWidth="1"/>
    <col min="6" max="6" width="18.85546875" style="164" customWidth="1"/>
    <col min="7" max="7" width="18.28515625" style="177" bestFit="1" customWidth="1"/>
    <col min="8" max="8" width="13.42578125" bestFit="1" customWidth="1"/>
    <col min="9" max="9" width="11.85546875" bestFit="1" customWidth="1"/>
    <col min="10" max="10" width="16" customWidth="1"/>
  </cols>
  <sheetData>
    <row r="1" spans="1:10" x14ac:dyDescent="0.2">
      <c r="B1" s="86" t="s">
        <v>100</v>
      </c>
      <c r="C1" s="57"/>
      <c r="D1" s="127"/>
      <c r="F1" s="131"/>
      <c r="H1" s="132"/>
      <c r="I1" s="133"/>
    </row>
    <row r="2" spans="1:10" x14ac:dyDescent="0.2">
      <c r="B2" s="86" t="str">
        <f>Reconciliation!D6</f>
        <v>FT Katy</v>
      </c>
      <c r="C2" s="57"/>
      <c r="D2" s="127"/>
      <c r="F2" s="131"/>
      <c r="H2" s="132"/>
      <c r="I2" s="133"/>
    </row>
    <row r="3" spans="1:10" x14ac:dyDescent="0.2">
      <c r="B3" s="86" t="s">
        <v>137</v>
      </c>
      <c r="C3" s="57"/>
      <c r="D3" s="127"/>
      <c r="F3" s="131"/>
      <c r="H3" s="132"/>
      <c r="I3" s="133"/>
    </row>
    <row r="4" spans="1:10" x14ac:dyDescent="0.2">
      <c r="B4" s="86" t="s">
        <v>62</v>
      </c>
      <c r="C4" s="57"/>
      <c r="D4" s="127"/>
      <c r="F4" s="131"/>
      <c r="H4" s="132"/>
      <c r="I4" s="133"/>
    </row>
    <row r="5" spans="1:10" x14ac:dyDescent="0.2">
      <c r="B5" s="204">
        <f>Reconciliation!D8</f>
        <v>37225</v>
      </c>
      <c r="C5" s="57"/>
      <c r="D5" s="127"/>
      <c r="F5" s="131"/>
      <c r="H5" s="132"/>
      <c r="I5" s="133"/>
    </row>
    <row r="6" spans="1:10" x14ac:dyDescent="0.2">
      <c r="B6" s="86"/>
      <c r="C6" s="57"/>
      <c r="D6" s="127"/>
      <c r="F6" s="131"/>
      <c r="H6" s="132"/>
      <c r="I6" s="133"/>
    </row>
    <row r="7" spans="1:10" x14ac:dyDescent="0.2">
      <c r="D7" s="135" t="s">
        <v>63</v>
      </c>
      <c r="E7" s="135" t="s">
        <v>64</v>
      </c>
      <c r="F7" s="135"/>
    </row>
    <row r="8" spans="1:10" x14ac:dyDescent="0.2">
      <c r="A8" t="s">
        <v>65</v>
      </c>
      <c r="D8" s="135" t="s">
        <v>33</v>
      </c>
      <c r="E8" s="135" t="s">
        <v>66</v>
      </c>
      <c r="F8" s="135"/>
    </row>
    <row r="9" spans="1:10" s="60" customFormat="1" x14ac:dyDescent="0.2">
      <c r="A9" s="137" t="s">
        <v>67</v>
      </c>
      <c r="B9" s="137" t="s">
        <v>68</v>
      </c>
      <c r="C9" s="138" t="s">
        <v>69</v>
      </c>
      <c r="D9" s="139" t="s">
        <v>54</v>
      </c>
      <c r="E9" s="139" t="s">
        <v>70</v>
      </c>
      <c r="F9" s="139" t="s">
        <v>71</v>
      </c>
      <c r="G9" s="178" t="s">
        <v>72</v>
      </c>
      <c r="H9" s="136"/>
      <c r="I9" s="136"/>
      <c r="J9" s="136"/>
    </row>
    <row r="10" spans="1:10" s="60" customFormat="1" x14ac:dyDescent="0.2">
      <c r="A10" s="141" t="s">
        <v>56</v>
      </c>
      <c r="B10" s="141"/>
      <c r="C10" s="142"/>
      <c r="D10" s="143"/>
      <c r="E10" s="143"/>
      <c r="F10" s="143"/>
      <c r="G10" s="178"/>
      <c r="H10" s="136"/>
      <c r="I10" s="136"/>
      <c r="J10" s="136"/>
    </row>
    <row r="11" spans="1:10" s="60" customFormat="1" x14ac:dyDescent="0.2">
      <c r="A11" s="145" t="s">
        <v>73</v>
      </c>
      <c r="B11" s="141"/>
      <c r="C11" s="146">
        <v>29317</v>
      </c>
      <c r="D11" s="147">
        <v>20323</v>
      </c>
      <c r="E11" s="147"/>
      <c r="F11" s="181">
        <f>-[9]Report!$AQ$49</f>
        <v>8994</v>
      </c>
      <c r="G11" s="178"/>
      <c r="H11" s="136"/>
      <c r="I11" s="136"/>
      <c r="J11" s="136"/>
    </row>
    <row r="12" spans="1:10" s="60" customFormat="1" x14ac:dyDescent="0.2">
      <c r="A12" s="141"/>
      <c r="B12" s="141"/>
      <c r="C12" s="152"/>
      <c r="D12" s="148"/>
      <c r="E12" s="148"/>
      <c r="F12" s="143"/>
      <c r="G12" s="178"/>
      <c r="H12" s="136"/>
      <c r="I12" s="136"/>
      <c r="J12" s="136"/>
    </row>
    <row r="13" spans="1:10" s="60" customFormat="1" ht="13.5" thickBot="1" x14ac:dyDescent="0.25">
      <c r="A13" s="141"/>
      <c r="B13" s="141"/>
      <c r="C13" s="146"/>
      <c r="D13" s="147">
        <f>SUM(D11:D12)</f>
        <v>20323</v>
      </c>
      <c r="E13" s="147">
        <f>SUM(E11:E12)</f>
        <v>0</v>
      </c>
      <c r="F13" s="149">
        <f>+C11-D13-E13</f>
        <v>8994</v>
      </c>
      <c r="G13" s="179">
        <f>+F13-F11</f>
        <v>0</v>
      </c>
      <c r="H13" s="136"/>
      <c r="I13" s="136"/>
      <c r="J13" s="136"/>
    </row>
    <row r="14" spans="1:10" s="60" customFormat="1" ht="13.5" thickTop="1" x14ac:dyDescent="0.2">
      <c r="A14" s="141"/>
      <c r="B14" s="141"/>
      <c r="C14" s="142"/>
      <c r="D14" s="147"/>
      <c r="E14" s="147"/>
      <c r="F14" s="143"/>
      <c r="G14" s="178"/>
      <c r="H14" s="136"/>
      <c r="I14" s="136"/>
      <c r="J14" s="136"/>
    </row>
    <row r="15" spans="1:10" s="60" customFormat="1" x14ac:dyDescent="0.2">
      <c r="A15" s="141" t="s">
        <v>74</v>
      </c>
      <c r="B15" s="141"/>
      <c r="C15" s="142"/>
      <c r="D15" s="147"/>
      <c r="E15" s="147"/>
      <c r="F15" s="143"/>
      <c r="G15" s="178"/>
      <c r="H15" s="136"/>
      <c r="I15" s="136"/>
      <c r="J15" s="136"/>
    </row>
    <row r="16" spans="1:10" s="60" customFormat="1" x14ac:dyDescent="0.2">
      <c r="A16" s="145" t="s">
        <v>75</v>
      </c>
      <c r="B16" s="140" t="s">
        <v>76</v>
      </c>
      <c r="C16" s="146">
        <v>1129679</v>
      </c>
      <c r="D16" s="147"/>
      <c r="E16" s="147"/>
      <c r="F16" s="143"/>
      <c r="G16" s="178"/>
      <c r="H16" s="136"/>
      <c r="I16" s="136"/>
      <c r="J16" s="136"/>
    </row>
    <row r="17" spans="1:10" s="60" customFormat="1" x14ac:dyDescent="0.2">
      <c r="A17" s="151" t="s">
        <v>77</v>
      </c>
      <c r="B17" s="144">
        <v>500001504</v>
      </c>
      <c r="C17" s="146">
        <v>-1321550</v>
      </c>
      <c r="D17" s="147"/>
      <c r="E17" s="147">
        <v>70778</v>
      </c>
      <c r="F17" s="143"/>
      <c r="G17" s="178"/>
      <c r="H17" s="136"/>
      <c r="I17" s="136"/>
      <c r="J17" s="136"/>
    </row>
    <row r="18" spans="1:10" s="60" customFormat="1" x14ac:dyDescent="0.2">
      <c r="A18" s="151"/>
      <c r="B18" s="142"/>
      <c r="C18" s="152" t="s">
        <v>101</v>
      </c>
      <c r="D18" s="147"/>
      <c r="E18" s="147"/>
      <c r="F18" s="143"/>
      <c r="G18" s="178"/>
      <c r="H18" s="136"/>
      <c r="I18" s="136"/>
      <c r="J18" s="136"/>
    </row>
    <row r="19" spans="1:10" s="60" customFormat="1" x14ac:dyDescent="0.2">
      <c r="A19" s="151" t="s">
        <v>78</v>
      </c>
      <c r="B19" s="144">
        <v>500001504</v>
      </c>
      <c r="C19" s="146">
        <v>0</v>
      </c>
      <c r="D19" s="147"/>
      <c r="E19" s="147"/>
      <c r="F19" s="143">
        <f>-[10]SUMMARY!$I$115</f>
        <v>-262649</v>
      </c>
      <c r="G19" s="178"/>
      <c r="H19" s="153"/>
      <c r="I19" s="136"/>
      <c r="J19" s="136"/>
    </row>
    <row r="20" spans="1:10" s="60" customFormat="1" x14ac:dyDescent="0.2">
      <c r="A20" s="151" t="s">
        <v>57</v>
      </c>
      <c r="B20" s="144">
        <v>500001504</v>
      </c>
      <c r="C20" s="146">
        <v>0</v>
      </c>
      <c r="D20" s="148"/>
      <c r="E20" s="148"/>
      <c r="F20" s="143"/>
      <c r="G20" s="178"/>
      <c r="H20" s="136"/>
      <c r="I20" s="136"/>
      <c r="J20" s="136"/>
    </row>
    <row r="21" spans="1:10" s="60" customFormat="1" ht="13.5" thickBot="1" x14ac:dyDescent="0.25">
      <c r="A21" s="141"/>
      <c r="B21" s="146"/>
      <c r="D21" s="147">
        <f>SUM(D16:D20)</f>
        <v>0</v>
      </c>
      <c r="E21" s="147">
        <f>SUM(E17:E20)</f>
        <v>70778</v>
      </c>
      <c r="F21" s="149">
        <f>+C16+C19+C17+C20-D21-E21</f>
        <v>-262649</v>
      </c>
      <c r="G21" s="179">
        <f>+F21-F19</f>
        <v>0</v>
      </c>
      <c r="H21" s="136"/>
      <c r="I21" s="136"/>
      <c r="J21" s="136"/>
    </row>
    <row r="22" spans="1:10" s="60" customFormat="1" ht="13.5" thickTop="1" x14ac:dyDescent="0.2">
      <c r="A22" s="141"/>
      <c r="B22" s="141"/>
      <c r="C22" s="142"/>
      <c r="D22" s="147"/>
      <c r="E22" s="147"/>
      <c r="F22" s="143"/>
      <c r="G22" s="178"/>
      <c r="H22" s="136"/>
      <c r="I22" s="136"/>
      <c r="J22" s="136"/>
    </row>
    <row r="23" spans="1:10" s="60" customFormat="1" x14ac:dyDescent="0.2">
      <c r="A23" s="141" t="s">
        <v>79</v>
      </c>
      <c r="B23" s="141"/>
      <c r="C23" s="142"/>
      <c r="D23" s="147"/>
      <c r="E23" s="147"/>
      <c r="F23" s="143"/>
      <c r="G23" s="178"/>
      <c r="H23" s="136"/>
      <c r="I23" s="136"/>
      <c r="J23" s="136"/>
    </row>
    <row r="24" spans="1:10" s="60" customFormat="1" x14ac:dyDescent="0.2">
      <c r="A24" s="145" t="s">
        <v>103</v>
      </c>
      <c r="B24" s="141"/>
      <c r="C24" s="146">
        <v>0</v>
      </c>
      <c r="D24" s="147"/>
      <c r="E24" s="147"/>
      <c r="F24" s="143">
        <f>-[10]SUMMARY!$I$109</f>
        <v>0</v>
      </c>
      <c r="G24" s="178"/>
      <c r="H24" s="136"/>
      <c r="I24" s="136"/>
      <c r="J24" s="136"/>
    </row>
    <row r="25" spans="1:10" s="60" customFormat="1" x14ac:dyDescent="0.2">
      <c r="A25" s="141"/>
      <c r="B25" s="141"/>
      <c r="C25" s="154"/>
      <c r="D25" s="147"/>
      <c r="E25" s="147">
        <v>0</v>
      </c>
      <c r="F25" s="143"/>
      <c r="G25" s="178"/>
      <c r="H25" s="136"/>
      <c r="I25" s="136"/>
      <c r="J25" s="136"/>
    </row>
    <row r="26" spans="1:10" s="60" customFormat="1" x14ac:dyDescent="0.2">
      <c r="A26" s="141"/>
      <c r="B26" s="141"/>
      <c r="C26" s="142"/>
      <c r="D26" s="148"/>
      <c r="E26" s="148"/>
      <c r="F26" s="143"/>
      <c r="G26" s="178"/>
      <c r="H26" s="136"/>
      <c r="I26" s="136"/>
      <c r="J26" s="136"/>
    </row>
    <row r="27" spans="1:10" s="60" customFormat="1" ht="13.5" thickBot="1" x14ac:dyDescent="0.25">
      <c r="A27" s="141"/>
      <c r="B27" s="141"/>
      <c r="C27" s="142"/>
      <c r="D27" s="147">
        <f>SUM(D25:D26)</f>
        <v>0</v>
      </c>
      <c r="E27" s="147">
        <f>SUM(E25:E26)</f>
        <v>0</v>
      </c>
      <c r="F27" s="149">
        <f>+C24-D27-E27</f>
        <v>0</v>
      </c>
      <c r="G27" s="179">
        <f>+F27-F24</f>
        <v>0</v>
      </c>
      <c r="H27" s="136"/>
      <c r="I27" s="136"/>
      <c r="J27" s="136"/>
    </row>
    <row r="28" spans="1:10" s="60" customFormat="1" ht="13.5" thickTop="1" x14ac:dyDescent="0.2">
      <c r="A28" s="141"/>
      <c r="B28" s="141"/>
      <c r="C28" s="142"/>
      <c r="D28" s="147"/>
      <c r="E28" s="147"/>
      <c r="F28" s="143"/>
      <c r="G28" s="178"/>
      <c r="H28" s="136"/>
      <c r="I28" s="136"/>
      <c r="J28" s="136"/>
    </row>
    <row r="29" spans="1:10" s="60" customFormat="1" x14ac:dyDescent="0.2">
      <c r="A29" s="141"/>
      <c r="B29" s="141"/>
      <c r="C29" s="142"/>
      <c r="D29" s="147"/>
      <c r="E29" s="147"/>
      <c r="F29" s="143"/>
      <c r="G29" s="178"/>
      <c r="H29" s="136"/>
      <c r="I29" s="136"/>
      <c r="J29" s="136"/>
    </row>
    <row r="30" spans="1:10" s="60" customFormat="1" x14ac:dyDescent="0.2">
      <c r="A30" s="145" t="s">
        <v>80</v>
      </c>
      <c r="B30" s="141"/>
      <c r="C30" s="146">
        <v>262649</v>
      </c>
      <c r="D30" s="147"/>
      <c r="E30" s="147"/>
      <c r="F30" s="143"/>
      <c r="G30" s="178"/>
      <c r="H30" s="136"/>
      <c r="I30" s="136"/>
      <c r="J30" s="136"/>
    </row>
    <row r="31" spans="1:10" s="60" customFormat="1" x14ac:dyDescent="0.2">
      <c r="A31" s="145" t="s">
        <v>81</v>
      </c>
      <c r="B31" s="141"/>
      <c r="C31" s="146">
        <v>-240224</v>
      </c>
      <c r="D31" s="147"/>
      <c r="E31" s="147"/>
      <c r="F31" s="143">
        <f>-[10]SUMMARY!$I$105</f>
        <v>22425.01</v>
      </c>
      <c r="G31" s="178"/>
      <c r="H31" s="136"/>
      <c r="I31" s="136"/>
      <c r="J31" s="136"/>
    </row>
    <row r="32" spans="1:10" s="60" customFormat="1" x14ac:dyDescent="0.2">
      <c r="A32" s="145"/>
      <c r="B32" s="141"/>
      <c r="C32" s="146"/>
      <c r="D32" s="147"/>
      <c r="E32" s="147"/>
      <c r="F32" s="143"/>
      <c r="G32" s="178"/>
      <c r="H32" s="136"/>
      <c r="I32" s="136"/>
      <c r="J32" s="136"/>
    </row>
    <row r="33" spans="1:10" s="60" customFormat="1" x14ac:dyDescent="0.2">
      <c r="A33" s="141"/>
      <c r="B33" s="141"/>
      <c r="C33" s="152"/>
      <c r="D33" s="148"/>
      <c r="E33" s="148"/>
      <c r="F33" s="143"/>
      <c r="G33" s="178"/>
      <c r="H33" s="136"/>
      <c r="I33" s="136"/>
      <c r="J33" s="136"/>
    </row>
    <row r="34" spans="1:10" s="60" customFormat="1" ht="13.5" thickBot="1" x14ac:dyDescent="0.25">
      <c r="A34" s="141"/>
      <c r="B34" s="141"/>
      <c r="C34" s="142"/>
      <c r="D34" s="147">
        <f>SUM(D30:D33)</f>
        <v>0</v>
      </c>
      <c r="E34" s="147">
        <f>SUM(E33:E33)</f>
        <v>0</v>
      </c>
      <c r="F34" s="149">
        <f>+C31+C30-D34-E34</f>
        <v>22425</v>
      </c>
      <c r="G34" s="179">
        <f>+F34-F31</f>
        <v>-9.9999999983992893E-3</v>
      </c>
      <c r="H34" s="136"/>
      <c r="I34" s="136"/>
      <c r="J34" s="136"/>
    </row>
    <row r="35" spans="1:10" s="60" customFormat="1" ht="13.5" thickTop="1" x14ac:dyDescent="0.2">
      <c r="A35" s="141"/>
      <c r="B35" s="141"/>
      <c r="C35" s="142"/>
      <c r="D35" s="147"/>
      <c r="E35" s="147"/>
      <c r="F35" s="143"/>
      <c r="G35" s="178"/>
      <c r="H35" s="136"/>
      <c r="I35" s="136"/>
      <c r="J35" s="136"/>
    </row>
    <row r="36" spans="1:10" s="60" customFormat="1" x14ac:dyDescent="0.2">
      <c r="A36" s="145" t="s">
        <v>82</v>
      </c>
      <c r="B36" s="141"/>
      <c r="C36" s="146">
        <v>0</v>
      </c>
      <c r="D36" s="147"/>
      <c r="E36" s="147"/>
      <c r="F36" s="143"/>
      <c r="G36" s="178"/>
      <c r="H36" s="136"/>
      <c r="I36" s="136"/>
      <c r="J36" s="136"/>
    </row>
    <row r="37" spans="1:10" s="60" customFormat="1" x14ac:dyDescent="0.2">
      <c r="A37" s="141"/>
      <c r="B37" s="141"/>
      <c r="C37" s="154"/>
      <c r="D37" s="147"/>
      <c r="E37" s="147"/>
      <c r="F37" s="143"/>
      <c r="G37" s="178"/>
      <c r="H37" s="136"/>
      <c r="I37" s="136"/>
      <c r="J37" s="136"/>
    </row>
    <row r="38" spans="1:10" s="60" customFormat="1" x14ac:dyDescent="0.2">
      <c r="A38" s="141"/>
      <c r="B38" s="141"/>
      <c r="C38" s="142"/>
      <c r="D38" s="148"/>
      <c r="E38" s="148"/>
      <c r="F38" s="143"/>
      <c r="G38" s="178"/>
      <c r="H38" s="136"/>
      <c r="I38" s="136"/>
      <c r="J38" s="136"/>
    </row>
    <row r="39" spans="1:10" s="60" customFormat="1" ht="13.5" thickBot="1" x14ac:dyDescent="0.25">
      <c r="A39" s="141"/>
      <c r="B39" s="141"/>
      <c r="C39" s="142"/>
      <c r="D39" s="147">
        <f>SUM(D37:D38)</f>
        <v>0</v>
      </c>
      <c r="E39" s="147">
        <f>SUM(E37:E38)</f>
        <v>0</v>
      </c>
      <c r="F39" s="149">
        <f>+C36-D39-E39</f>
        <v>0</v>
      </c>
      <c r="G39" s="179">
        <f>+F39-F36</f>
        <v>0</v>
      </c>
      <c r="H39" s="136"/>
      <c r="I39" s="136"/>
      <c r="J39" s="136"/>
    </row>
    <row r="40" spans="1:10" s="60" customFormat="1" ht="13.5" thickTop="1" x14ac:dyDescent="0.2">
      <c r="A40" s="141"/>
      <c r="B40" s="141"/>
      <c r="C40" s="142"/>
      <c r="D40" s="147"/>
      <c r="E40" s="147"/>
      <c r="F40" s="143"/>
      <c r="G40" s="178"/>
      <c r="H40" s="136"/>
      <c r="I40" s="136"/>
      <c r="J40" s="136"/>
    </row>
    <row r="41" spans="1:10" s="60" customFormat="1" x14ac:dyDescent="0.2">
      <c r="A41" s="145" t="s">
        <v>102</v>
      </c>
      <c r="B41" s="141"/>
      <c r="C41" s="146">
        <v>0</v>
      </c>
      <c r="D41" s="147"/>
      <c r="E41" s="147"/>
      <c r="F41" s="143">
        <f>-[10]SUMMARY!$I$111</f>
        <v>0</v>
      </c>
      <c r="G41" s="178"/>
      <c r="H41" s="136"/>
      <c r="I41" s="136"/>
      <c r="J41" s="136"/>
    </row>
    <row r="42" spans="1:10" s="60" customFormat="1" x14ac:dyDescent="0.2">
      <c r="A42" s="141"/>
      <c r="B42" s="141"/>
      <c r="C42" s="154"/>
      <c r="D42" s="147"/>
      <c r="E42" s="147">
        <v>0</v>
      </c>
      <c r="F42" s="143"/>
      <c r="G42" s="178"/>
      <c r="H42" s="136"/>
      <c r="I42" s="136"/>
      <c r="J42" s="136"/>
    </row>
    <row r="43" spans="1:10" s="60" customFormat="1" x14ac:dyDescent="0.2">
      <c r="A43" s="141"/>
      <c r="B43" s="141"/>
      <c r="C43" s="142"/>
      <c r="D43" s="148"/>
      <c r="E43" s="148"/>
      <c r="F43" s="143"/>
      <c r="G43" s="178"/>
      <c r="H43" s="136"/>
      <c r="I43" s="136"/>
      <c r="J43" s="136"/>
    </row>
    <row r="44" spans="1:10" s="60" customFormat="1" ht="13.5" thickBot="1" x14ac:dyDescent="0.25">
      <c r="A44" s="141"/>
      <c r="B44" s="141"/>
      <c r="C44" s="142"/>
      <c r="D44" s="147">
        <f>SUM(D42:D43)</f>
        <v>0</v>
      </c>
      <c r="E44" s="147">
        <f>SUM(E42:E43)</f>
        <v>0</v>
      </c>
      <c r="F44" s="149">
        <f>+C41-D44-E44</f>
        <v>0</v>
      </c>
      <c r="G44" s="179">
        <f>F44-F41</f>
        <v>0</v>
      </c>
      <c r="H44" s="136"/>
      <c r="I44" s="136"/>
      <c r="J44" s="136"/>
    </row>
    <row r="45" spans="1:10" s="60" customFormat="1" ht="13.5" thickTop="1" x14ac:dyDescent="0.2">
      <c r="A45" s="141"/>
      <c r="B45" s="141"/>
      <c r="C45" s="142"/>
      <c r="D45" s="147"/>
      <c r="E45" s="147"/>
      <c r="F45" s="143"/>
      <c r="G45" s="178"/>
      <c r="H45" s="136"/>
      <c r="I45" s="136"/>
      <c r="J45" s="136"/>
    </row>
    <row r="46" spans="1:10" s="60" customFormat="1" x14ac:dyDescent="0.2">
      <c r="A46" s="144" t="s">
        <v>91</v>
      </c>
      <c r="B46" s="141"/>
      <c r="C46" s="146">
        <v>0</v>
      </c>
      <c r="D46" s="147"/>
      <c r="E46" s="147"/>
      <c r="F46" s="143"/>
      <c r="G46" s="178"/>
      <c r="H46" s="153"/>
      <c r="I46" s="136"/>
      <c r="J46" s="136"/>
    </row>
    <row r="47" spans="1:10" s="60" customFormat="1" x14ac:dyDescent="0.2">
      <c r="A47" s="141"/>
      <c r="B47" s="141"/>
      <c r="C47" s="154"/>
      <c r="D47" s="147"/>
      <c r="E47" s="147"/>
      <c r="F47" s="143"/>
      <c r="G47" s="178"/>
      <c r="H47" s="136"/>
      <c r="I47" s="136"/>
      <c r="J47" s="136"/>
    </row>
    <row r="48" spans="1:10" s="60" customFormat="1" x14ac:dyDescent="0.2">
      <c r="A48" s="141"/>
      <c r="B48" s="141"/>
      <c r="C48" s="142"/>
      <c r="D48" s="148"/>
      <c r="E48" s="148"/>
      <c r="F48" s="143"/>
      <c r="G48" s="178"/>
      <c r="H48" s="136"/>
      <c r="I48" s="136"/>
      <c r="J48" s="136"/>
    </row>
    <row r="49" spans="1:10" s="60" customFormat="1" ht="13.5" thickBot="1" x14ac:dyDescent="0.25">
      <c r="A49" s="141"/>
      <c r="B49" s="141"/>
      <c r="C49" s="142"/>
      <c r="D49" s="147">
        <f>SUM(D47:D48)</f>
        <v>0</v>
      </c>
      <c r="E49" s="147">
        <f>SUM(E47:E48)</f>
        <v>0</v>
      </c>
      <c r="F49" s="149">
        <f>+C46-D49</f>
        <v>0</v>
      </c>
      <c r="G49" s="179">
        <f>+F49-F46</f>
        <v>0</v>
      </c>
      <c r="H49" s="136"/>
      <c r="I49" s="136"/>
      <c r="J49" s="136"/>
    </row>
    <row r="50" spans="1:10" s="60" customFormat="1" ht="13.5" thickTop="1" x14ac:dyDescent="0.2">
      <c r="A50" s="141"/>
      <c r="B50" s="141"/>
      <c r="C50" s="142"/>
      <c r="D50" s="147"/>
      <c r="E50" s="147"/>
      <c r="F50" s="143"/>
      <c r="G50" s="178"/>
      <c r="H50" s="136"/>
      <c r="I50" s="136"/>
      <c r="J50" s="136"/>
    </row>
    <row r="51" spans="1:10" x14ac:dyDescent="0.2">
      <c r="A51" s="155" t="s">
        <v>83</v>
      </c>
      <c r="C51" s="156">
        <v>1020390</v>
      </c>
      <c r="D51" s="157"/>
      <c r="E51" s="205"/>
      <c r="F51" s="164">
        <f>-([10]SUMMARY!$I$104+[10]SUMMARY!$I$106)</f>
        <v>1040390</v>
      </c>
      <c r="G51" s="180"/>
      <c r="H51" s="128"/>
    </row>
    <row r="52" spans="1:10" x14ac:dyDescent="0.2">
      <c r="B52" s="126"/>
      <c r="C52" s="158"/>
      <c r="D52" s="147">
        <v>-20000</v>
      </c>
      <c r="E52" s="147"/>
      <c r="F52" s="143"/>
      <c r="G52" s="178"/>
    </row>
    <row r="53" spans="1:10" x14ac:dyDescent="0.2">
      <c r="B53" s="126"/>
      <c r="C53" s="159"/>
      <c r="D53" s="147"/>
      <c r="E53" s="147"/>
      <c r="F53" s="143"/>
      <c r="G53" s="178"/>
    </row>
    <row r="54" spans="1:10" x14ac:dyDescent="0.2">
      <c r="C54" s="158"/>
      <c r="D54" s="148"/>
      <c r="E54" s="148"/>
      <c r="F54" s="143"/>
      <c r="G54" s="178"/>
    </row>
    <row r="55" spans="1:10" ht="13.5" thickBot="1" x14ac:dyDescent="0.25">
      <c r="A55" s="141" t="s">
        <v>55</v>
      </c>
      <c r="D55" s="147">
        <f>SUM(D52:D54)</f>
        <v>-20000</v>
      </c>
      <c r="E55" s="147">
        <f>SUM(E51:E54)</f>
        <v>0</v>
      </c>
      <c r="F55" s="149">
        <f>+C51-D55-E55</f>
        <v>1040390</v>
      </c>
      <c r="G55" s="179">
        <f>+F55-F51</f>
        <v>0</v>
      </c>
    </row>
    <row r="56" spans="1:10" ht="13.5" thickTop="1" x14ac:dyDescent="0.2">
      <c r="A56" s="141"/>
      <c r="D56" s="147"/>
      <c r="E56" s="147"/>
      <c r="F56" s="143"/>
      <c r="G56" s="180"/>
    </row>
    <row r="57" spans="1:10" x14ac:dyDescent="0.2">
      <c r="A57" s="144" t="s">
        <v>125</v>
      </c>
      <c r="B57" s="144">
        <v>500000663</v>
      </c>
      <c r="C57" s="160">
        <v>7797</v>
      </c>
      <c r="D57" s="147"/>
      <c r="E57" s="147"/>
      <c r="F57" s="143"/>
      <c r="G57" s="180"/>
    </row>
    <row r="58" spans="1:10" x14ac:dyDescent="0.2">
      <c r="A58" s="144" t="s">
        <v>83</v>
      </c>
      <c r="B58" s="144">
        <v>500000663</v>
      </c>
      <c r="C58" s="160">
        <v>-913</v>
      </c>
      <c r="D58" s="157"/>
      <c r="E58" s="157"/>
      <c r="F58" s="182">
        <f>[8]Report!$AQ$57+[8]Report!$AQ$58</f>
        <v>6883.5157000000008</v>
      </c>
    </row>
    <row r="59" spans="1:10" x14ac:dyDescent="0.2">
      <c r="B59" s="127"/>
      <c r="D59" s="161"/>
      <c r="E59" s="147"/>
      <c r="F59" s="143"/>
      <c r="G59" s="178"/>
    </row>
    <row r="60" spans="1:10" x14ac:dyDescent="0.2">
      <c r="B60" s="127"/>
      <c r="C60" s="158"/>
      <c r="D60" s="148"/>
      <c r="E60" s="148"/>
      <c r="F60" s="143"/>
      <c r="G60" s="178"/>
    </row>
    <row r="61" spans="1:10" ht="13.5" thickBot="1" x14ac:dyDescent="0.25">
      <c r="B61" s="127"/>
      <c r="D61" s="147">
        <f>SUM(D59:D60)</f>
        <v>0</v>
      </c>
      <c r="E61" s="147">
        <f>SUM(E59:E60)</f>
        <v>0</v>
      </c>
      <c r="F61" s="149">
        <f>+C57+C58-D61-E61</f>
        <v>6884</v>
      </c>
      <c r="G61" s="179">
        <f>+F61-F58</f>
        <v>0.48429999999916618</v>
      </c>
    </row>
    <row r="62" spans="1:10" ht="13.5" thickTop="1" x14ac:dyDescent="0.2">
      <c r="B62" s="127"/>
      <c r="D62" s="157"/>
      <c r="E62" s="157"/>
    </row>
    <row r="63" spans="1:10" x14ac:dyDescent="0.2">
      <c r="A63" s="141" t="s">
        <v>61</v>
      </c>
      <c r="B63" s="127"/>
      <c r="D63" s="157"/>
      <c r="E63" s="157"/>
    </row>
    <row r="64" spans="1:10" x14ac:dyDescent="0.2">
      <c r="A64" s="144" t="s">
        <v>84</v>
      </c>
      <c r="B64" s="144">
        <v>500000530</v>
      </c>
      <c r="C64" s="160">
        <v>-1629302</v>
      </c>
      <c r="D64" s="205">
        <v>0</v>
      </c>
      <c r="E64" s="205">
        <v>0</v>
      </c>
      <c r="F64" s="182">
        <f>-[9]Report!$AQ$56+[9]Report!$AQ$33</f>
        <v>-1629302.8843000003</v>
      </c>
    </row>
    <row r="65" spans="1:8" x14ac:dyDescent="0.2">
      <c r="A65" s="144"/>
      <c r="B65" s="162"/>
      <c r="C65" s="158"/>
      <c r="D65" s="148"/>
      <c r="E65" s="148"/>
      <c r="F65" s="143"/>
      <c r="G65" s="178"/>
    </row>
    <row r="66" spans="1:8" ht="13.5" thickBot="1" x14ac:dyDescent="0.25">
      <c r="A66" s="144"/>
      <c r="B66" s="162"/>
      <c r="C66" s="160"/>
      <c r="D66" s="147">
        <f>SUM(D64:D65)</f>
        <v>0</v>
      </c>
      <c r="E66" s="147">
        <f>SUM(E64:E65)</f>
        <v>0</v>
      </c>
      <c r="F66" s="149">
        <f>+C64-D66-E66</f>
        <v>-1629302</v>
      </c>
      <c r="G66" s="179">
        <f>+F66-F64</f>
        <v>0.88430000026710331</v>
      </c>
    </row>
    <row r="67" spans="1:8" ht="13.5" thickTop="1" x14ac:dyDescent="0.2">
      <c r="C67" s="160"/>
      <c r="D67" s="157"/>
      <c r="E67" s="157"/>
    </row>
    <row r="68" spans="1:8" x14ac:dyDescent="0.2">
      <c r="A68" s="163" t="s">
        <v>85</v>
      </c>
      <c r="C68" s="160"/>
      <c r="D68" s="147">
        <v>0</v>
      </c>
      <c r="E68" s="157"/>
      <c r="F68" s="164">
        <f>+C68</f>
        <v>0</v>
      </c>
    </row>
    <row r="69" spans="1:8" ht="13.5" thickBot="1" x14ac:dyDescent="0.25">
      <c r="A69" s="163" t="s">
        <v>86</v>
      </c>
      <c r="C69" s="165">
        <f>SUM(C11:C68)</f>
        <v>-742157</v>
      </c>
      <c r="D69" s="165">
        <f>+D66+D61+D55+D49+D44+D34+D27+D21+D13+D68+D39</f>
        <v>323</v>
      </c>
      <c r="E69" s="165">
        <f>+E66+E61+E55+E49+E44+E34+E27+E21+E13</f>
        <v>70778</v>
      </c>
      <c r="F69" s="150">
        <f>+F11+F19+F24+F46+F51+F58+F64+F68+F36+F31+F41</f>
        <v>-813259.35860000027</v>
      </c>
      <c r="H69" s="166"/>
    </row>
    <row r="70" spans="1:8" ht="13.5" thickTop="1" x14ac:dyDescent="0.2">
      <c r="C70" s="159">
        <f>ROUND(+C69-C71,0)</f>
        <v>0</v>
      </c>
      <c r="F70" s="159">
        <f>F71-F69</f>
        <v>71102.358600000269</v>
      </c>
      <c r="H70" s="166"/>
    </row>
    <row r="71" spans="1:8" ht="13.5" thickBot="1" x14ac:dyDescent="0.25">
      <c r="A71" s="163" t="s">
        <v>87</v>
      </c>
      <c r="C71" s="167">
        <f>Reconciliation!N44</f>
        <v>-742157</v>
      </c>
      <c r="F71" s="150">
        <f>+C71</f>
        <v>-742157</v>
      </c>
      <c r="H71" s="166"/>
    </row>
    <row r="72" spans="1:8" ht="13.5" thickTop="1" x14ac:dyDescent="0.2"/>
    <row r="73" spans="1:8" x14ac:dyDescent="0.2">
      <c r="C73" s="168"/>
      <c r="D73" s="169" t="s">
        <v>88</v>
      </c>
      <c r="E73" s="170">
        <f>-[10]RollTie!$G$16</f>
        <v>-6757.4960000016727</v>
      </c>
    </row>
    <row r="74" spans="1:8" x14ac:dyDescent="0.2">
      <c r="C74" s="171"/>
      <c r="D74" s="161" t="s">
        <v>57</v>
      </c>
      <c r="E74" s="172">
        <f>+D69</f>
        <v>323</v>
      </c>
    </row>
    <row r="75" spans="1:8" x14ac:dyDescent="0.2">
      <c r="C75" s="173"/>
      <c r="D75" s="174" t="s">
        <v>89</v>
      </c>
      <c r="E75" s="175">
        <f>+E69</f>
        <v>70778</v>
      </c>
      <c r="F75" s="164">
        <f>SUM(E73:E75)</f>
        <v>64343.503999998327</v>
      </c>
    </row>
    <row r="77" spans="1:8" x14ac:dyDescent="0.2">
      <c r="F77" s="183">
        <f>Reconciliation!N46</f>
        <v>64345</v>
      </c>
    </row>
    <row r="78" spans="1:8" ht="13.5" thickBot="1" x14ac:dyDescent="0.25">
      <c r="E78" s="176" t="s">
        <v>90</v>
      </c>
      <c r="F78" s="184">
        <f>+F77-F75</f>
        <v>1.4960000016726553</v>
      </c>
    </row>
    <row r="79" spans="1:8" ht="13.5" thickTop="1" x14ac:dyDescent="0.2"/>
  </sheetData>
  <phoneticPr fontId="0" type="noConversion"/>
  <printOptions horizontalCentered="1"/>
  <pageMargins left="0.75" right="0.75" top="0.75" bottom="0.75" header="0.5" footer="0.5"/>
  <pageSetup scale="6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9"/>
  <sheetViews>
    <sheetView tabSelected="1" zoomScale="75" workbookViewId="0">
      <pane xSplit="5" ySplit="14" topLeftCell="K15" activePane="bottomRight" state="frozen"/>
      <selection activeCell="B7" sqref="B7"/>
      <selection pane="topRight" activeCell="B7" sqref="B7"/>
      <selection pane="bottomLeft" activeCell="B7" sqref="B7"/>
      <selection pane="bottomRight" activeCell="E4" sqref="E4"/>
    </sheetView>
  </sheetViews>
  <sheetFormatPr defaultRowHeight="12.75" x14ac:dyDescent="0.2"/>
  <cols>
    <col min="1" max="1" width="4.7109375" customWidth="1"/>
    <col min="2" max="2" width="7.7109375" customWidth="1"/>
    <col min="3" max="3" width="6" customWidth="1"/>
    <col min="4" max="4" width="5.5703125" customWidth="1"/>
    <col min="5" max="5" width="29.85546875" customWidth="1"/>
    <col min="6" max="6" width="13.85546875" customWidth="1"/>
    <col min="7" max="8" width="11.140625" customWidth="1"/>
    <col min="9" max="9" width="11.7109375" customWidth="1"/>
    <col min="10" max="10" width="12.5703125" customWidth="1"/>
    <col min="11" max="11" width="13.42578125" customWidth="1"/>
    <col min="12" max="13" width="13.7109375" customWidth="1"/>
    <col min="14" max="14" width="12.42578125" customWidth="1"/>
    <col min="15" max="15" width="12.7109375" customWidth="1"/>
    <col min="16" max="16" width="11.7109375" customWidth="1"/>
    <col min="17" max="17" width="11.28515625" customWidth="1"/>
    <col min="18" max="18" width="12.28515625" hidden="1" customWidth="1"/>
    <col min="19" max="19" width="15.85546875" customWidth="1"/>
    <col min="20" max="20" width="1.5703125" customWidth="1"/>
    <col min="21" max="21" width="13.28515625" customWidth="1"/>
  </cols>
  <sheetData>
    <row r="1" spans="1:20" ht="18" x14ac:dyDescent="0.25">
      <c r="B1" s="1" t="s">
        <v>99</v>
      </c>
      <c r="C1" s="2"/>
    </row>
    <row r="2" spans="1:20" ht="18" x14ac:dyDescent="0.25">
      <c r="B2" s="1" t="s">
        <v>0</v>
      </c>
      <c r="C2" s="2"/>
    </row>
    <row r="3" spans="1:20" ht="18" x14ac:dyDescent="0.25">
      <c r="B3" s="1" t="s">
        <v>127</v>
      </c>
      <c r="C3" s="2"/>
    </row>
    <row r="5" spans="1:20" ht="15.75" x14ac:dyDescent="0.25">
      <c r="C5" s="10" t="s">
        <v>14</v>
      </c>
      <c r="E5" s="11" t="str">
        <f>Reconciliation!D6</f>
        <v>FT Katy</v>
      </c>
    </row>
    <row r="6" spans="1:20" ht="15.75" x14ac:dyDescent="0.25">
      <c r="C6" s="10" t="s">
        <v>15</v>
      </c>
      <c r="E6" s="11">
        <f>Reconciliation!D7</f>
        <v>27094</v>
      </c>
    </row>
    <row r="7" spans="1:20" ht="15.75" x14ac:dyDescent="0.25">
      <c r="C7" s="10" t="s">
        <v>3</v>
      </c>
      <c r="E7" s="232">
        <f>Reconciliation!D8</f>
        <v>37225</v>
      </c>
    </row>
    <row r="8" spans="1:20" ht="7.5" customHeight="1" x14ac:dyDescent="0.2"/>
    <row r="9" spans="1:20" x14ac:dyDescent="0.2">
      <c r="B9" s="12" t="s">
        <v>29</v>
      </c>
    </row>
    <row r="10" spans="1:20" x14ac:dyDescent="0.2">
      <c r="B10" s="12" t="s">
        <v>30</v>
      </c>
    </row>
    <row r="13" spans="1:20" ht="13.5" customHeight="1" x14ac:dyDescent="0.2">
      <c r="B13" s="15"/>
      <c r="C13" s="13" t="s">
        <v>31</v>
      </c>
      <c r="D13" s="13"/>
      <c r="E13" s="13"/>
      <c r="F13" s="13" t="s">
        <v>112</v>
      </c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</row>
    <row r="14" spans="1:20" x14ac:dyDescent="0.2">
      <c r="A14" s="60" t="s">
        <v>32</v>
      </c>
      <c r="B14" s="16" t="s">
        <v>33</v>
      </c>
      <c r="C14" s="14" t="s">
        <v>34</v>
      </c>
      <c r="D14" s="14" t="s">
        <v>35</v>
      </c>
      <c r="E14" s="14" t="s">
        <v>36</v>
      </c>
      <c r="F14" s="17" t="s">
        <v>126</v>
      </c>
      <c r="G14" s="17" t="s">
        <v>124</v>
      </c>
      <c r="H14" s="17" t="s">
        <v>113</v>
      </c>
      <c r="I14" s="17" t="s">
        <v>114</v>
      </c>
      <c r="J14" s="17" t="s">
        <v>115</v>
      </c>
      <c r="K14" s="17" t="s">
        <v>116</v>
      </c>
      <c r="L14" s="17" t="s">
        <v>117</v>
      </c>
      <c r="M14" s="17" t="s">
        <v>118</v>
      </c>
      <c r="N14" s="17" t="s">
        <v>119</v>
      </c>
      <c r="O14" s="17" t="s">
        <v>120</v>
      </c>
      <c r="P14" s="17" t="s">
        <v>121</v>
      </c>
      <c r="Q14" s="17" t="s">
        <v>122</v>
      </c>
      <c r="R14" s="17" t="s">
        <v>123</v>
      </c>
      <c r="S14" s="14" t="s">
        <v>37</v>
      </c>
      <c r="T14" s="108"/>
    </row>
    <row r="15" spans="1:20" s="233" customFormat="1" ht="25.5" x14ac:dyDescent="0.2">
      <c r="A15" s="233" t="str">
        <f t="shared" ref="A15:A25" si="0">+IF(B15="","",$E$5)</f>
        <v>FT Katy</v>
      </c>
      <c r="B15" s="234" t="s">
        <v>140</v>
      </c>
      <c r="C15" s="235" t="s">
        <v>141</v>
      </c>
      <c r="D15" s="236" t="s">
        <v>142</v>
      </c>
      <c r="E15" s="242" t="s">
        <v>143</v>
      </c>
      <c r="F15" s="237"/>
      <c r="G15" s="237"/>
      <c r="H15" s="237"/>
      <c r="I15" s="237"/>
      <c r="J15" s="237"/>
      <c r="K15" s="238">
        <v>-380</v>
      </c>
      <c r="L15" s="238">
        <v>380</v>
      </c>
      <c r="M15" s="238"/>
      <c r="N15" s="238"/>
      <c r="O15" s="238"/>
      <c r="P15" s="238"/>
      <c r="Q15" s="239"/>
      <c r="R15" s="238"/>
      <c r="S15" s="240">
        <f t="shared" ref="S15:S25" si="1">SUM(F15:R15)</f>
        <v>0</v>
      </c>
      <c r="T15" s="241"/>
    </row>
    <row r="16" spans="1:20" s="233" customFormat="1" x14ac:dyDescent="0.2">
      <c r="A16" s="233" t="str">
        <f t="shared" si="0"/>
        <v>FT Katy</v>
      </c>
      <c r="B16" s="234" t="s">
        <v>140</v>
      </c>
      <c r="C16" s="235" t="s">
        <v>141</v>
      </c>
      <c r="D16" s="236" t="s">
        <v>144</v>
      </c>
      <c r="E16" s="242" t="s">
        <v>145</v>
      </c>
      <c r="F16" s="237"/>
      <c r="G16" s="237"/>
      <c r="H16" s="237"/>
      <c r="I16" s="237"/>
      <c r="J16" s="237"/>
      <c r="K16" s="238">
        <v>-77</v>
      </c>
      <c r="L16" s="238">
        <v>596</v>
      </c>
      <c r="M16" s="238">
        <f>-65.92+0.5+32</f>
        <v>-33.42</v>
      </c>
      <c r="N16" s="238">
        <f>-10.51-2.93</f>
        <v>-13.44</v>
      </c>
      <c r="O16" s="238">
        <f>3.2+0.66</f>
        <v>3.8600000000000003</v>
      </c>
      <c r="P16" s="238">
        <v>20</v>
      </c>
      <c r="Q16" s="239">
        <f>-496-861.5+1.5</f>
        <v>-1356</v>
      </c>
      <c r="R16" s="238"/>
      <c r="S16" s="240">
        <f t="shared" si="1"/>
        <v>-860</v>
      </c>
      <c r="T16" s="241"/>
    </row>
    <row r="17" spans="1:20" s="233" customFormat="1" ht="26.25" customHeight="1" x14ac:dyDescent="0.2">
      <c r="A17" s="233" t="str">
        <f t="shared" si="0"/>
        <v>FT Katy</v>
      </c>
      <c r="B17" s="234" t="s">
        <v>146</v>
      </c>
      <c r="C17" s="235" t="s">
        <v>147</v>
      </c>
      <c r="D17" s="236" t="s">
        <v>144</v>
      </c>
      <c r="E17" s="242" t="s">
        <v>148</v>
      </c>
      <c r="F17" s="237"/>
      <c r="G17" s="237"/>
      <c r="H17" s="237"/>
      <c r="I17" s="237"/>
      <c r="J17" s="237"/>
      <c r="K17" s="238"/>
      <c r="L17" s="238">
        <v>-66096</v>
      </c>
      <c r="M17" s="238">
        <v>66096</v>
      </c>
      <c r="N17" s="238"/>
      <c r="O17" s="238"/>
      <c r="P17" s="238"/>
      <c r="Q17" s="239"/>
      <c r="R17" s="238"/>
      <c r="S17" s="240">
        <f t="shared" si="1"/>
        <v>0</v>
      </c>
      <c r="T17" s="241"/>
    </row>
    <row r="18" spans="1:20" s="233" customFormat="1" ht="26.25" customHeight="1" x14ac:dyDescent="0.2">
      <c r="A18" s="233" t="str">
        <f t="shared" ref="A18:A23" si="2">+IF(B18="","",$E$5)</f>
        <v>FT Katy</v>
      </c>
      <c r="B18" s="234" t="s">
        <v>146</v>
      </c>
      <c r="C18" s="235" t="s">
        <v>147</v>
      </c>
      <c r="D18" s="236" t="s">
        <v>144</v>
      </c>
      <c r="E18" s="242" t="s">
        <v>149</v>
      </c>
      <c r="F18" s="237"/>
      <c r="G18" s="237"/>
      <c r="H18" s="237"/>
      <c r="I18" s="237"/>
      <c r="J18" s="237"/>
      <c r="K18" s="238"/>
      <c r="L18" s="238">
        <v>74550</v>
      </c>
      <c r="M18" s="238">
        <v>-74550</v>
      </c>
      <c r="N18" s="238"/>
      <c r="O18" s="238"/>
      <c r="P18" s="238"/>
      <c r="Q18" s="239"/>
      <c r="R18" s="238"/>
      <c r="S18" s="240">
        <f t="shared" si="1"/>
        <v>0</v>
      </c>
      <c r="T18" s="241"/>
    </row>
    <row r="19" spans="1:20" s="243" customFormat="1" ht="51" x14ac:dyDescent="0.2">
      <c r="A19" s="243" t="str">
        <f t="shared" si="2"/>
        <v>FT Katy</v>
      </c>
      <c r="B19" s="244" t="s">
        <v>150</v>
      </c>
      <c r="C19" s="245" t="s">
        <v>152</v>
      </c>
      <c r="D19" s="246" t="s">
        <v>144</v>
      </c>
      <c r="E19" s="247" t="s">
        <v>154</v>
      </c>
      <c r="F19" s="248"/>
      <c r="G19" s="248"/>
      <c r="H19" s="248"/>
      <c r="I19" s="248"/>
      <c r="J19" s="248"/>
      <c r="K19" s="249"/>
      <c r="L19" s="249"/>
      <c r="M19" s="249">
        <v>945</v>
      </c>
      <c r="N19" s="249"/>
      <c r="O19" s="249">
        <v>-4455</v>
      </c>
      <c r="P19" s="249">
        <v>8910</v>
      </c>
      <c r="Q19" s="250">
        <v>-5400</v>
      </c>
      <c r="R19" s="249"/>
      <c r="S19" s="251">
        <f>SUM(F19:R19)</f>
        <v>0</v>
      </c>
      <c r="T19" s="252"/>
    </row>
    <row r="20" spans="1:20" s="243" customFormat="1" ht="27" customHeight="1" x14ac:dyDescent="0.2">
      <c r="A20" s="243" t="str">
        <f t="shared" si="2"/>
        <v>FT Katy</v>
      </c>
      <c r="B20" s="244" t="s">
        <v>151</v>
      </c>
      <c r="C20" s="245" t="s">
        <v>152</v>
      </c>
      <c r="D20" s="246" t="s">
        <v>144</v>
      </c>
      <c r="E20" s="247" t="s">
        <v>153</v>
      </c>
      <c r="F20" s="248"/>
      <c r="G20" s="248"/>
      <c r="H20" s="248"/>
      <c r="I20" s="248"/>
      <c r="J20" s="248"/>
      <c r="K20" s="249"/>
      <c r="L20" s="249"/>
      <c r="M20" s="249"/>
      <c r="N20" s="249">
        <v>-3003</v>
      </c>
      <c r="O20" s="249">
        <v>3003</v>
      </c>
      <c r="P20" s="249"/>
      <c r="Q20" s="250"/>
      <c r="R20" s="249"/>
      <c r="S20" s="251">
        <f>SUM(F20:R20)</f>
        <v>0</v>
      </c>
      <c r="T20" s="252"/>
    </row>
    <row r="21" spans="1:20" s="233" customFormat="1" ht="26.25" customHeight="1" x14ac:dyDescent="0.2">
      <c r="A21" s="233" t="str">
        <f t="shared" si="2"/>
        <v>FT Katy</v>
      </c>
      <c r="B21" s="234" t="s">
        <v>155</v>
      </c>
      <c r="C21" s="235" t="s">
        <v>141</v>
      </c>
      <c r="D21" s="236" t="s">
        <v>144</v>
      </c>
      <c r="E21" s="242" t="s">
        <v>157</v>
      </c>
      <c r="F21" s="237"/>
      <c r="G21" s="237"/>
      <c r="H21" s="237"/>
      <c r="I21" s="237"/>
      <c r="J21" s="237"/>
      <c r="K21" s="238"/>
      <c r="L21" s="238"/>
      <c r="M21" s="238"/>
      <c r="N21" s="238"/>
      <c r="O21" s="238"/>
      <c r="P21" s="238">
        <v>-20323</v>
      </c>
      <c r="Q21" s="239">
        <v>20323</v>
      </c>
      <c r="R21" s="238"/>
      <c r="S21" s="240">
        <f>SUM(F21:R21)</f>
        <v>0</v>
      </c>
      <c r="T21" s="241"/>
    </row>
    <row r="22" spans="1:20" s="233" customFormat="1" ht="26.25" customHeight="1" x14ac:dyDescent="0.2">
      <c r="A22" s="233" t="str">
        <f t="shared" si="2"/>
        <v>FT Katy</v>
      </c>
      <c r="B22" s="234" t="s">
        <v>155</v>
      </c>
      <c r="C22" s="235" t="s">
        <v>141</v>
      </c>
      <c r="D22" s="236" t="s">
        <v>144</v>
      </c>
      <c r="E22" s="242" t="s">
        <v>156</v>
      </c>
      <c r="F22" s="237"/>
      <c r="G22" s="237"/>
      <c r="H22" s="237"/>
      <c r="I22" s="237"/>
      <c r="J22" s="237"/>
      <c r="K22" s="238"/>
      <c r="L22" s="238"/>
      <c r="M22" s="238"/>
      <c r="N22" s="238"/>
      <c r="O22" s="238"/>
      <c r="P22" s="238">
        <v>20000</v>
      </c>
      <c r="Q22" s="239">
        <v>-20000</v>
      </c>
      <c r="R22" s="238"/>
      <c r="S22" s="240">
        <f>SUM(F22:R22)</f>
        <v>0</v>
      </c>
      <c r="T22" s="241"/>
    </row>
    <row r="23" spans="1:20" s="233" customFormat="1" x14ac:dyDescent="0.2">
      <c r="A23" s="233" t="str">
        <f t="shared" si="2"/>
        <v>FT Katy</v>
      </c>
      <c r="B23" s="234" t="s">
        <v>158</v>
      </c>
      <c r="C23" s="235" t="s">
        <v>147</v>
      </c>
      <c r="D23" s="236" t="s">
        <v>144</v>
      </c>
      <c r="E23" s="242" t="s">
        <v>159</v>
      </c>
      <c r="F23" s="237"/>
      <c r="G23" s="237"/>
      <c r="H23" s="237"/>
      <c r="I23" s="237"/>
      <c r="J23" s="237"/>
      <c r="K23" s="238"/>
      <c r="L23" s="238"/>
      <c r="M23" s="238"/>
      <c r="N23" s="238"/>
      <c r="O23" s="238"/>
      <c r="P23" s="238"/>
      <c r="Q23" s="239">
        <v>70778</v>
      </c>
      <c r="R23" s="238"/>
      <c r="S23" s="240">
        <f>SUM(F23:R23)</f>
        <v>70778</v>
      </c>
      <c r="T23" s="241"/>
    </row>
    <row r="24" spans="1:20" s="207" customFormat="1" x14ac:dyDescent="0.2">
      <c r="A24" s="207" t="str">
        <f t="shared" si="0"/>
        <v/>
      </c>
      <c r="B24" s="208"/>
      <c r="C24" s="209"/>
      <c r="D24" s="210"/>
      <c r="E24" s="211"/>
      <c r="F24" s="212"/>
      <c r="G24" s="212"/>
      <c r="H24" s="212"/>
      <c r="I24" s="212"/>
      <c r="J24" s="212"/>
      <c r="K24" s="213"/>
      <c r="L24" s="213"/>
      <c r="M24" s="213"/>
      <c r="N24" s="213"/>
      <c r="O24" s="213"/>
      <c r="P24" s="213"/>
      <c r="Q24" s="214"/>
      <c r="R24" s="213"/>
      <c r="S24" s="215">
        <f t="shared" si="1"/>
        <v>0</v>
      </c>
      <c r="T24" s="216"/>
    </row>
    <row r="25" spans="1:20" s="207" customFormat="1" ht="12" customHeight="1" x14ac:dyDescent="0.2">
      <c r="A25" s="207" t="str">
        <f t="shared" si="0"/>
        <v/>
      </c>
      <c r="B25" s="208"/>
      <c r="C25" s="209"/>
      <c r="D25" s="210"/>
      <c r="E25" s="211"/>
      <c r="F25" s="212"/>
      <c r="G25" s="212"/>
      <c r="H25" s="212"/>
      <c r="I25" s="212"/>
      <c r="J25" s="212"/>
      <c r="K25" s="213"/>
      <c r="L25" s="213"/>
      <c r="M25" s="213"/>
      <c r="N25" s="213"/>
      <c r="O25" s="213"/>
      <c r="P25" s="213"/>
      <c r="Q25" s="214"/>
      <c r="R25" s="213"/>
      <c r="S25" s="215">
        <f t="shared" si="1"/>
        <v>0</v>
      </c>
      <c r="T25" s="216"/>
    </row>
    <row r="26" spans="1:20" x14ac:dyDescent="0.2">
      <c r="B26" s="63"/>
      <c r="C26" s="64"/>
      <c r="D26" s="64"/>
      <c r="E26" s="14" t="s">
        <v>38</v>
      </c>
      <c r="F26" s="65">
        <f t="shared" ref="F26:R26" si="3">SUM(F15:F25)</f>
        <v>0</v>
      </c>
      <c r="G26" s="65">
        <f t="shared" si="3"/>
        <v>0</v>
      </c>
      <c r="H26" s="65">
        <f t="shared" si="3"/>
        <v>0</v>
      </c>
      <c r="I26" s="65">
        <f t="shared" si="3"/>
        <v>0</v>
      </c>
      <c r="J26" s="65">
        <f t="shared" si="3"/>
        <v>0</v>
      </c>
      <c r="K26" s="65">
        <f t="shared" si="3"/>
        <v>-457</v>
      </c>
      <c r="L26" s="65">
        <f t="shared" si="3"/>
        <v>9430</v>
      </c>
      <c r="M26" s="65">
        <f t="shared" si="3"/>
        <v>-7542.4199999999983</v>
      </c>
      <c r="N26" s="65">
        <f t="shared" si="3"/>
        <v>-3016.44</v>
      </c>
      <c r="O26" s="65">
        <f t="shared" si="3"/>
        <v>-1448.1400000000003</v>
      </c>
      <c r="P26" s="65">
        <f t="shared" si="3"/>
        <v>8607</v>
      </c>
      <c r="Q26" s="118">
        <f t="shared" si="3"/>
        <v>64345</v>
      </c>
      <c r="R26" s="65">
        <f t="shared" si="3"/>
        <v>0</v>
      </c>
      <c r="S26" s="65">
        <f>SUM(S15:S25)</f>
        <v>69918</v>
      </c>
      <c r="T26" s="59"/>
    </row>
    <row r="27" spans="1:20" x14ac:dyDescent="0.2">
      <c r="B27" s="63"/>
      <c r="C27" s="64"/>
      <c r="D27" s="64"/>
      <c r="E27" s="64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118"/>
      <c r="R27" s="65"/>
      <c r="S27" s="62"/>
      <c r="T27" s="59"/>
    </row>
    <row r="28" spans="1:20" x14ac:dyDescent="0.2">
      <c r="B28" s="63"/>
      <c r="C28" s="64"/>
      <c r="D28" s="64"/>
      <c r="E28" s="64"/>
      <c r="F28" s="65"/>
      <c r="G28" s="65"/>
      <c r="H28" s="65"/>
      <c r="I28" s="69"/>
      <c r="J28" s="65"/>
      <c r="K28" s="65"/>
      <c r="L28" s="65"/>
      <c r="M28" s="65"/>
      <c r="N28" s="65"/>
      <c r="O28" s="65"/>
      <c r="P28" s="65"/>
      <c r="Q28" s="118"/>
      <c r="R28" s="65"/>
      <c r="S28" s="62"/>
      <c r="T28" s="59"/>
    </row>
    <row r="29" spans="1:20" x14ac:dyDescent="0.2">
      <c r="B29" s="70" t="s">
        <v>106</v>
      </c>
      <c r="C29" s="64"/>
      <c r="D29" s="64"/>
      <c r="E29" s="64"/>
      <c r="F29" s="65"/>
      <c r="G29" s="65"/>
      <c r="H29" s="65"/>
      <c r="I29" s="69"/>
      <c r="J29" s="65"/>
      <c r="K29" s="65"/>
      <c r="L29" s="65"/>
      <c r="M29" s="65"/>
      <c r="N29" s="65"/>
      <c r="O29" s="65"/>
      <c r="P29" s="65"/>
      <c r="Q29" s="118"/>
      <c r="R29" s="65"/>
      <c r="S29" s="62">
        <f>SUM(F29:R29)</f>
        <v>0</v>
      </c>
      <c r="T29" s="59"/>
    </row>
    <row r="30" spans="1:20" x14ac:dyDescent="0.2">
      <c r="B30" s="70" t="s">
        <v>107</v>
      </c>
      <c r="C30" s="64"/>
      <c r="D30" s="64"/>
      <c r="E30" s="64"/>
      <c r="F30" s="65"/>
      <c r="G30" s="65"/>
      <c r="H30" s="65"/>
      <c r="I30" s="69"/>
      <c r="J30" s="65"/>
      <c r="K30" s="65"/>
      <c r="L30" s="65"/>
      <c r="M30" s="65"/>
      <c r="N30" s="65"/>
      <c r="O30" s="65"/>
      <c r="P30" s="65"/>
      <c r="Q30" s="118"/>
      <c r="R30" s="65"/>
      <c r="S30" s="61">
        <f>SUM(F30:R30)</f>
        <v>0</v>
      </c>
      <c r="T30" s="59"/>
    </row>
    <row r="31" spans="1:20" x14ac:dyDescent="0.2">
      <c r="B31" s="71" t="s">
        <v>60</v>
      </c>
      <c r="C31" s="72"/>
      <c r="D31" s="72"/>
      <c r="E31" s="72"/>
      <c r="F31" s="69">
        <f t="shared" ref="F31:R31" si="4">SUM(F27:F30)</f>
        <v>0</v>
      </c>
      <c r="G31" s="69">
        <f t="shared" si="4"/>
        <v>0</v>
      </c>
      <c r="H31" s="69">
        <f t="shared" si="4"/>
        <v>0</v>
      </c>
      <c r="I31" s="69">
        <f t="shared" si="4"/>
        <v>0</v>
      </c>
      <c r="J31" s="69">
        <f t="shared" si="4"/>
        <v>0</v>
      </c>
      <c r="K31" s="69">
        <f t="shared" si="4"/>
        <v>0</v>
      </c>
      <c r="L31" s="69">
        <f t="shared" si="4"/>
        <v>0</v>
      </c>
      <c r="M31" s="69">
        <f t="shared" si="4"/>
        <v>0</v>
      </c>
      <c r="N31" s="69">
        <f t="shared" si="4"/>
        <v>0</v>
      </c>
      <c r="O31" s="69">
        <f t="shared" si="4"/>
        <v>0</v>
      </c>
      <c r="P31" s="69">
        <f t="shared" si="4"/>
        <v>0</v>
      </c>
      <c r="Q31" s="119">
        <f t="shared" si="4"/>
        <v>0</v>
      </c>
      <c r="R31" s="69">
        <f t="shared" si="4"/>
        <v>0</v>
      </c>
      <c r="S31" s="68">
        <f>SUM(S26:S30)</f>
        <v>69918</v>
      </c>
      <c r="T31" s="96"/>
    </row>
    <row r="32" spans="1:20" ht="13.5" thickBot="1" x14ac:dyDescent="0.25">
      <c r="B32" s="73"/>
      <c r="C32" s="74"/>
      <c r="D32" s="74"/>
      <c r="E32" s="75"/>
      <c r="F32" s="76"/>
      <c r="G32" s="76"/>
      <c r="H32" s="76"/>
      <c r="I32" s="77"/>
      <c r="J32" s="76"/>
      <c r="K32" s="76"/>
      <c r="L32" s="76"/>
      <c r="M32" s="76"/>
      <c r="N32" s="76"/>
      <c r="O32" s="76"/>
      <c r="P32" s="76"/>
      <c r="Q32" s="120"/>
      <c r="R32" s="76"/>
      <c r="S32" s="78"/>
      <c r="T32" s="96"/>
    </row>
    <row r="33" spans="2:22" ht="13.5" thickTop="1" x14ac:dyDescent="0.2">
      <c r="B33" s="79"/>
      <c r="C33" s="80"/>
      <c r="D33" s="80"/>
      <c r="E33" s="80"/>
      <c r="F33" s="81"/>
      <c r="G33" s="81"/>
      <c r="H33" s="81"/>
      <c r="I33" s="82"/>
      <c r="J33" s="81"/>
      <c r="K33" s="81"/>
      <c r="L33" s="81"/>
      <c r="M33" s="81"/>
      <c r="N33" s="81"/>
      <c r="O33" s="81"/>
      <c r="P33" s="81"/>
      <c r="Q33" s="121"/>
      <c r="R33" s="81"/>
      <c r="S33" s="83"/>
      <c r="T33" s="96"/>
    </row>
    <row r="34" spans="2:22" ht="15" x14ac:dyDescent="0.2">
      <c r="B34" s="84" t="s">
        <v>39</v>
      </c>
      <c r="C34" s="80"/>
      <c r="D34" s="80"/>
      <c r="E34" s="80"/>
      <c r="F34" s="81"/>
      <c r="G34" s="81"/>
      <c r="H34" s="81"/>
      <c r="I34" s="82"/>
      <c r="J34" s="81"/>
      <c r="K34" s="81"/>
      <c r="L34" s="81"/>
      <c r="M34" s="81"/>
      <c r="N34" s="81"/>
      <c r="O34" s="81"/>
      <c r="P34" s="81"/>
      <c r="Q34" s="121"/>
      <c r="R34" s="81"/>
      <c r="S34" s="83"/>
      <c r="T34" s="96"/>
    </row>
    <row r="35" spans="2:22" x14ac:dyDescent="0.2">
      <c r="B35" s="79"/>
      <c r="C35" s="80"/>
      <c r="D35" s="80"/>
      <c r="E35" s="80"/>
      <c r="F35" s="81"/>
      <c r="G35" s="81"/>
      <c r="H35" s="81"/>
      <c r="I35" s="82"/>
      <c r="J35" s="81"/>
      <c r="K35" s="81"/>
      <c r="L35" s="81"/>
      <c r="M35" s="81"/>
      <c r="N35" s="81"/>
      <c r="O35" s="81"/>
      <c r="P35" s="81"/>
      <c r="Q35" s="121"/>
      <c r="R35" s="81"/>
      <c r="S35" s="83"/>
      <c r="T35" s="96"/>
    </row>
    <row r="36" spans="2:22" x14ac:dyDescent="0.2">
      <c r="B36" s="198" t="s">
        <v>40</v>
      </c>
      <c r="C36" s="199"/>
      <c r="D36" s="199"/>
      <c r="E36" s="199"/>
      <c r="F36" s="81"/>
      <c r="G36" s="81"/>
      <c r="H36" s="81"/>
      <c r="I36" s="82"/>
      <c r="J36" s="81"/>
      <c r="K36" s="81"/>
      <c r="L36" s="81"/>
      <c r="M36" s="81"/>
      <c r="N36" s="81"/>
      <c r="O36" s="81"/>
      <c r="P36" s="81"/>
      <c r="Q36" s="121"/>
      <c r="R36" s="81"/>
      <c r="S36" s="83"/>
      <c r="T36" s="96"/>
    </row>
    <row r="37" spans="2:22" x14ac:dyDescent="0.2">
      <c r="B37" s="85" t="s">
        <v>110</v>
      </c>
      <c r="C37" s="217"/>
      <c r="D37" s="217"/>
      <c r="E37" s="217"/>
      <c r="F37" s="218"/>
      <c r="G37" s="218"/>
      <c r="H37" s="218"/>
      <c r="I37" s="218"/>
      <c r="J37" s="81"/>
      <c r="K37" s="81"/>
      <c r="L37" s="81"/>
      <c r="M37" s="81"/>
      <c r="N37" s="81"/>
      <c r="O37" s="81"/>
      <c r="P37" s="81"/>
      <c r="Q37" s="121"/>
      <c r="R37" s="81"/>
      <c r="S37" s="81">
        <f>SUM(F37:R37)</f>
        <v>0</v>
      </c>
      <c r="T37" s="96"/>
    </row>
    <row r="38" spans="2:22" x14ac:dyDescent="0.2">
      <c r="B38" s="85" t="s">
        <v>108</v>
      </c>
      <c r="C38" s="86"/>
      <c r="D38" s="86"/>
      <c r="E38" s="86"/>
      <c r="F38" s="81"/>
      <c r="G38" s="81"/>
      <c r="H38" s="81"/>
      <c r="I38" s="81"/>
      <c r="J38" s="81"/>
      <c r="K38" s="81">
        <f>K15+K16+L15</f>
        <v>-77</v>
      </c>
      <c r="L38" s="81">
        <f>L17+L18+L16</f>
        <v>9050</v>
      </c>
      <c r="M38" s="81">
        <f>SUM(M15:M19)</f>
        <v>-7542.4199999999983</v>
      </c>
      <c r="N38" s="81">
        <f>+N16</f>
        <v>-13.44</v>
      </c>
      <c r="O38" s="81">
        <f>+O16+O19</f>
        <v>-4451.1400000000003</v>
      </c>
      <c r="P38" s="81">
        <f>+P22+P21+P16</f>
        <v>-303</v>
      </c>
      <c r="Q38" s="121">
        <f>+Q16+Q21+Q22+Q23</f>
        <v>69745</v>
      </c>
      <c r="R38" s="81"/>
      <c r="S38" s="81">
        <f>SUM(F38:R38)</f>
        <v>66408</v>
      </c>
      <c r="T38" s="59"/>
    </row>
    <row r="39" spans="2:22" x14ac:dyDescent="0.2">
      <c r="B39" s="87" t="s">
        <v>41</v>
      </c>
      <c r="C39" s="86"/>
      <c r="D39" s="86"/>
      <c r="E39" s="86"/>
      <c r="F39" s="88">
        <f>F37+F38</f>
        <v>0</v>
      </c>
      <c r="G39" s="88">
        <f t="shared" ref="G39:R39" si="5">SUM(G38:G38)</f>
        <v>0</v>
      </c>
      <c r="H39" s="88">
        <f t="shared" si="5"/>
        <v>0</v>
      </c>
      <c r="I39" s="88">
        <f t="shared" si="5"/>
        <v>0</v>
      </c>
      <c r="J39" s="88">
        <f t="shared" si="5"/>
        <v>0</v>
      </c>
      <c r="K39" s="88">
        <f t="shared" si="5"/>
        <v>-77</v>
      </c>
      <c r="L39" s="88">
        <f t="shared" si="5"/>
        <v>9050</v>
      </c>
      <c r="M39" s="88">
        <f t="shared" si="5"/>
        <v>-7542.4199999999983</v>
      </c>
      <c r="N39" s="88">
        <f t="shared" si="5"/>
        <v>-13.44</v>
      </c>
      <c r="O39" s="88">
        <f t="shared" si="5"/>
        <v>-4451.1400000000003</v>
      </c>
      <c r="P39" s="88">
        <f t="shared" si="5"/>
        <v>-303</v>
      </c>
      <c r="Q39" s="122">
        <f t="shared" si="5"/>
        <v>69745</v>
      </c>
      <c r="R39" s="88">
        <f t="shared" si="5"/>
        <v>0</v>
      </c>
      <c r="S39" s="89">
        <f>SUM(S37:S38)</f>
        <v>66408</v>
      </c>
      <c r="T39" s="96"/>
    </row>
    <row r="40" spans="2:22" x14ac:dyDescent="0.2">
      <c r="B40" s="79"/>
      <c r="C40" s="80"/>
      <c r="D40" s="80"/>
      <c r="E40" s="80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121"/>
      <c r="R40" s="81"/>
      <c r="S40" s="81"/>
      <c r="T40" s="59"/>
    </row>
    <row r="41" spans="2:22" x14ac:dyDescent="0.2">
      <c r="B41" s="79"/>
      <c r="C41" s="80"/>
      <c r="D41" s="80"/>
      <c r="E41" s="80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121"/>
      <c r="R41" s="81"/>
      <c r="S41" s="81"/>
      <c r="T41" s="59"/>
    </row>
    <row r="42" spans="2:22" x14ac:dyDescent="0.2">
      <c r="B42" s="79"/>
      <c r="C42" s="80"/>
      <c r="D42" s="80"/>
      <c r="E42" s="80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121"/>
      <c r="R42" s="81"/>
      <c r="S42" s="81"/>
      <c r="T42" s="59"/>
    </row>
    <row r="43" spans="2:22" x14ac:dyDescent="0.2">
      <c r="B43" s="200" t="s">
        <v>42</v>
      </c>
      <c r="C43" s="201"/>
      <c r="D43" s="201"/>
      <c r="E43" s="20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121"/>
      <c r="R43" s="81"/>
      <c r="S43" s="81"/>
      <c r="T43" s="59"/>
    </row>
    <row r="44" spans="2:22" x14ac:dyDescent="0.2">
      <c r="B44" s="219" t="s">
        <v>111</v>
      </c>
      <c r="C44" s="217"/>
      <c r="D44" s="217"/>
      <c r="E44" s="217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121"/>
      <c r="R44" s="81"/>
      <c r="S44" s="81">
        <f>SUM(F44:R44)</f>
        <v>0</v>
      </c>
      <c r="T44" s="59"/>
    </row>
    <row r="45" spans="2:22" x14ac:dyDescent="0.2">
      <c r="B45" s="85" t="s">
        <v>109</v>
      </c>
      <c r="C45" s="80"/>
      <c r="D45" s="80"/>
      <c r="E45" s="80"/>
      <c r="F45" s="81"/>
      <c r="G45" s="81"/>
      <c r="H45" s="81"/>
      <c r="I45" s="81"/>
      <c r="J45" s="81"/>
      <c r="K45" s="81"/>
      <c r="L45" s="81"/>
      <c r="M45" s="81"/>
      <c r="N45" s="81">
        <f>+N20</f>
        <v>-3003</v>
      </c>
      <c r="O45" s="81">
        <f>+O20</f>
        <v>3003</v>
      </c>
      <c r="P45" s="81">
        <f>+P19</f>
        <v>8910</v>
      </c>
      <c r="Q45" s="124">
        <f>+Q19</f>
        <v>-5400</v>
      </c>
      <c r="R45" s="81"/>
      <c r="S45" s="81">
        <f>SUM(F45:R45)</f>
        <v>3510</v>
      </c>
      <c r="T45" s="59"/>
    </row>
    <row r="46" spans="2:22" x14ac:dyDescent="0.2">
      <c r="B46" s="87" t="s">
        <v>43</v>
      </c>
      <c r="C46" s="86"/>
      <c r="D46" s="86"/>
      <c r="E46" s="86"/>
      <c r="F46" s="88">
        <f>F44+F45</f>
        <v>0</v>
      </c>
      <c r="G46" s="88">
        <f t="shared" ref="G46:R46" si="6">SUM(G45:G45)</f>
        <v>0</v>
      </c>
      <c r="H46" s="88">
        <f t="shared" si="6"/>
        <v>0</v>
      </c>
      <c r="I46" s="88">
        <f t="shared" si="6"/>
        <v>0</v>
      </c>
      <c r="J46" s="88">
        <f t="shared" si="6"/>
        <v>0</v>
      </c>
      <c r="K46" s="88">
        <f t="shared" si="6"/>
        <v>0</v>
      </c>
      <c r="L46" s="88">
        <f t="shared" si="6"/>
        <v>0</v>
      </c>
      <c r="M46" s="88">
        <f t="shared" si="6"/>
        <v>0</v>
      </c>
      <c r="N46" s="88">
        <f t="shared" si="6"/>
        <v>-3003</v>
      </c>
      <c r="O46" s="88">
        <f t="shared" si="6"/>
        <v>3003</v>
      </c>
      <c r="P46" s="88">
        <f t="shared" si="6"/>
        <v>8910</v>
      </c>
      <c r="Q46" s="122">
        <f t="shared" si="6"/>
        <v>-5400</v>
      </c>
      <c r="R46" s="88">
        <f t="shared" si="6"/>
        <v>0</v>
      </c>
      <c r="S46" s="89">
        <f>SUM(S44:S45)</f>
        <v>3510</v>
      </c>
      <c r="T46" s="97"/>
      <c r="U46" s="100">
        <f>+S38+S45</f>
        <v>69918</v>
      </c>
      <c r="V46" s="99" t="s">
        <v>44</v>
      </c>
    </row>
    <row r="47" spans="2:22" x14ac:dyDescent="0.2">
      <c r="B47" s="79"/>
      <c r="C47" s="80"/>
      <c r="D47" s="80"/>
      <c r="E47" s="80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121"/>
      <c r="R47" s="81"/>
      <c r="S47" s="81"/>
      <c r="T47" s="59"/>
    </row>
    <row r="48" spans="2:22" ht="13.5" thickBot="1" x14ac:dyDescent="0.25">
      <c r="B48" s="90"/>
      <c r="C48" s="91"/>
      <c r="D48" s="91"/>
      <c r="E48" s="91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123"/>
      <c r="R48" s="50"/>
      <c r="S48" s="50"/>
      <c r="T48" s="59"/>
    </row>
    <row r="49" spans="2:20" ht="13.5" thickBot="1" x14ac:dyDescent="0.25">
      <c r="B49" s="92" t="s">
        <v>45</v>
      </c>
      <c r="C49" s="93"/>
      <c r="D49" s="93"/>
      <c r="E49" s="93"/>
      <c r="F49" s="66">
        <f t="shared" ref="F49:S49" si="7">+F39+F46</f>
        <v>0</v>
      </c>
      <c r="G49" s="66">
        <f t="shared" si="7"/>
        <v>0</v>
      </c>
      <c r="H49" s="66">
        <f t="shared" si="7"/>
        <v>0</v>
      </c>
      <c r="I49" s="66">
        <f t="shared" si="7"/>
        <v>0</v>
      </c>
      <c r="J49" s="66">
        <f t="shared" si="7"/>
        <v>0</v>
      </c>
      <c r="K49" s="66">
        <f t="shared" si="7"/>
        <v>-77</v>
      </c>
      <c r="L49" s="66">
        <f t="shared" si="7"/>
        <v>9050</v>
      </c>
      <c r="M49" s="66">
        <f t="shared" si="7"/>
        <v>-7542.4199999999983</v>
      </c>
      <c r="N49" s="66">
        <f t="shared" si="7"/>
        <v>-3016.44</v>
      </c>
      <c r="O49" s="66">
        <f t="shared" si="7"/>
        <v>-1448.1400000000003</v>
      </c>
      <c r="P49" s="66">
        <f t="shared" si="7"/>
        <v>8607</v>
      </c>
      <c r="Q49" s="66">
        <f t="shared" si="7"/>
        <v>64345</v>
      </c>
      <c r="R49" s="66">
        <f t="shared" si="7"/>
        <v>0</v>
      </c>
      <c r="S49" s="101">
        <f t="shared" si="7"/>
        <v>69918</v>
      </c>
      <c r="T49" s="97"/>
    </row>
    <row r="50" spans="2:20" x14ac:dyDescent="0.2">
      <c r="B50" s="67"/>
      <c r="C50" s="67"/>
      <c r="D50" s="67"/>
      <c r="E50" s="67"/>
      <c r="S50" s="94"/>
      <c r="T50" s="98"/>
    </row>
    <row r="51" spans="2:20" ht="13.5" thickBot="1" x14ac:dyDescent="0.25">
      <c r="B51" s="11" t="s">
        <v>46</v>
      </c>
      <c r="C51" s="67"/>
      <c r="D51" s="67"/>
      <c r="E51" s="67"/>
      <c r="M51" s="225" t="s">
        <v>47</v>
      </c>
      <c r="N51" s="56"/>
      <c r="O51" s="56"/>
      <c r="P51" s="56"/>
      <c r="Q51" s="57"/>
      <c r="R51" s="56"/>
      <c r="S51" s="95">
        <f>+S49</f>
        <v>69918</v>
      </c>
      <c r="T51" s="96"/>
    </row>
    <row r="52" spans="2:20" ht="13.5" thickTop="1" x14ac:dyDescent="0.2">
      <c r="B52" s="11" t="s">
        <v>48</v>
      </c>
      <c r="C52" s="67"/>
      <c r="D52" s="67"/>
      <c r="E52" s="67"/>
      <c r="S52" s="58"/>
      <c r="T52" s="58"/>
    </row>
    <row r="53" spans="2:20" x14ac:dyDescent="0.2">
      <c r="B53" s="67"/>
      <c r="C53" s="67"/>
      <c r="D53" s="67"/>
      <c r="E53" s="67"/>
    </row>
    <row r="54" spans="2:20" x14ac:dyDescent="0.2">
      <c r="B54" s="11" t="s">
        <v>49</v>
      </c>
      <c r="C54" s="67"/>
      <c r="D54" s="67"/>
      <c r="E54" s="67"/>
      <c r="L54" s="59"/>
      <c r="M54" s="60" t="s">
        <v>50</v>
      </c>
      <c r="N54" s="59"/>
      <c r="O54" s="59"/>
      <c r="P54" s="59"/>
      <c r="Q54" s="59"/>
      <c r="R54" s="59"/>
      <c r="S54" s="89">
        <f>-'[11]ENTRY-CALC'!$F$18</f>
        <v>-69918</v>
      </c>
    </row>
    <row r="55" spans="2:20" x14ac:dyDescent="0.2">
      <c r="B55" s="11" t="s">
        <v>51</v>
      </c>
      <c r="C55" s="67"/>
      <c r="D55" s="67"/>
      <c r="E55" s="67"/>
      <c r="L55" s="59"/>
      <c r="N55" s="59"/>
      <c r="O55" s="59"/>
      <c r="P55" s="59"/>
      <c r="Q55" s="59"/>
      <c r="R55" s="59"/>
      <c r="S55" s="59"/>
    </row>
    <row r="56" spans="2:20" x14ac:dyDescent="0.2">
      <c r="B56" s="11" t="s">
        <v>52</v>
      </c>
      <c r="C56" s="67"/>
      <c r="D56" s="67"/>
      <c r="E56" s="67"/>
      <c r="L56" s="59"/>
      <c r="M56" s="60" t="s">
        <v>53</v>
      </c>
      <c r="N56" s="59"/>
      <c r="O56" s="59"/>
      <c r="P56" s="59"/>
      <c r="Q56" s="59"/>
      <c r="R56" s="59"/>
      <c r="S56" s="89">
        <f>+S54+S49</f>
        <v>0</v>
      </c>
    </row>
    <row r="57" spans="2:20" x14ac:dyDescent="0.2">
      <c r="B57" s="67"/>
      <c r="C57" s="67"/>
      <c r="D57" s="67"/>
      <c r="E57" s="67"/>
      <c r="J57" s="2"/>
      <c r="K57" s="54"/>
      <c r="L57" s="54"/>
      <c r="M57" s="54"/>
      <c r="N57" s="54"/>
      <c r="O57" s="54"/>
      <c r="P57" s="54"/>
      <c r="Q57" s="54"/>
      <c r="R57" s="54"/>
      <c r="S57" s="54"/>
    </row>
    <row r="58" spans="2:20" x14ac:dyDescent="0.2">
      <c r="B58" s="107" t="str">
        <f ca="1">CELL("filename")</f>
        <v>C:\Users\Felienne\Enron\EnronSpreadsheets\[kam_keiser__18014__Reco!J11.xls]Accrual</v>
      </c>
      <c r="C58" s="67"/>
      <c r="D58" s="67"/>
      <c r="E58" s="67"/>
      <c r="K58" s="54"/>
      <c r="L58" s="54"/>
      <c r="M58" s="54"/>
      <c r="N58" s="54"/>
      <c r="O58" s="54"/>
      <c r="P58" s="54"/>
      <c r="Q58" s="54"/>
      <c r="R58" s="54"/>
      <c r="S58" s="54"/>
    </row>
    <row r="59" spans="2:20" x14ac:dyDescent="0.2">
      <c r="B59" s="67"/>
      <c r="C59" s="67"/>
      <c r="D59" s="67"/>
      <c r="E59" s="67"/>
      <c r="K59" s="54"/>
      <c r="L59" s="54"/>
      <c r="M59" s="54"/>
      <c r="N59" s="54"/>
      <c r="O59" s="54"/>
      <c r="P59" s="54"/>
      <c r="Q59" s="54"/>
      <c r="R59" s="54"/>
      <c r="S59" s="54"/>
    </row>
  </sheetData>
  <phoneticPr fontId="0" type="noConversion"/>
  <printOptions horizontalCentered="1"/>
  <pageMargins left="0.75" right="0.75" top="0.5" bottom="0.5" header="0.5" footer="0.5"/>
  <pageSetup scale="54" orientation="landscape" blackAndWhite="1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BS Rec</vt:lpstr>
      <vt:lpstr>Reconciliation</vt:lpstr>
      <vt:lpstr>Monthly GL Rec</vt:lpstr>
      <vt:lpstr>Accrual</vt:lpstr>
      <vt:lpstr>ImportAccess</vt:lpstr>
      <vt:lpstr>Accrual!Print_Area</vt:lpstr>
      <vt:lpstr>'BS Rec'!Print_Area</vt:lpstr>
      <vt:lpstr>'Monthly GL Rec'!Print_Area</vt:lpstr>
      <vt:lpstr>Reconciliation!Print_Area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MLRuffer</dc:creator>
  <cp:lastModifiedBy>Felienne</cp:lastModifiedBy>
  <cp:lastPrinted>2001-12-17T16:01:58Z</cp:lastPrinted>
  <dcterms:created xsi:type="dcterms:W3CDTF">1998-03-16T14:23:03Z</dcterms:created>
  <dcterms:modified xsi:type="dcterms:W3CDTF">2014-09-04T13:58:07Z</dcterms:modified>
</cp:coreProperties>
</file>