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5640" windowHeight="6465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ENRON!$A$1:$AN$55</definedName>
    <definedName name="Print_Area_MI">#REF!</definedName>
    <definedName name="_xlnm.Print_Titles" localSheetId="1">ENRON!$A:$C,ENRON!$1:$6</definedName>
    <definedName name="weekly">ENRON!$E$7:$AN$85</definedName>
  </definedNames>
  <calcPr calcId="152511" fullCalcOnLoad="1" iterate="1" iterateDelta="1"/>
</workbook>
</file>

<file path=xl/calcChain.xml><?xml version="1.0" encoding="utf-8"?>
<calcChain xmlns="http://schemas.openxmlformats.org/spreadsheetml/2006/main">
  <c r="E7" i="2" l="1"/>
  <c r="I7" i="2" s="1"/>
  <c r="X7" i="2"/>
  <c r="Z7" i="2" s="1"/>
  <c r="B6" i="1" s="1"/>
  <c r="AJ7" i="2"/>
  <c r="F6" i="1" s="1"/>
  <c r="AL7" i="2"/>
  <c r="H6" i="1" s="1"/>
  <c r="AN7" i="2"/>
  <c r="AW7" i="2"/>
  <c r="E9" i="2"/>
  <c r="I9" i="2" s="1"/>
  <c r="T9" i="2"/>
  <c r="V9" i="2"/>
  <c r="Z9" i="2"/>
  <c r="B7" i="1" s="1"/>
  <c r="AD9" i="2"/>
  <c r="AF9" i="2"/>
  <c r="AP9" i="2"/>
  <c r="E10" i="2"/>
  <c r="M10" i="2" s="1"/>
  <c r="Q10" i="2" s="1"/>
  <c r="I10" i="2"/>
  <c r="V10" i="2"/>
  <c r="AF10" i="2"/>
  <c r="AJ10" i="2"/>
  <c r="F8" i="1" s="1"/>
  <c r="AL10" i="2"/>
  <c r="H8" i="1" s="1"/>
  <c r="E13" i="2"/>
  <c r="I13" i="2" s="1"/>
  <c r="T13" i="2"/>
  <c r="V13" i="2"/>
  <c r="V25" i="2" s="1"/>
  <c r="Z13" i="2"/>
  <c r="AD13" i="2"/>
  <c r="AF13" i="2"/>
  <c r="AP13" i="2"/>
  <c r="AN13" i="2" s="1"/>
  <c r="AX13" i="2"/>
  <c r="AL13" i="2" s="1"/>
  <c r="E14" i="2"/>
  <c r="I14" i="2" s="1"/>
  <c r="T14" i="2"/>
  <c r="V14" i="2"/>
  <c r="Z14" i="2"/>
  <c r="AD14" i="2"/>
  <c r="AF14" i="2"/>
  <c r="AP14" i="2"/>
  <c r="AN14" i="2" s="1"/>
  <c r="AW14" i="2"/>
  <c r="AL14" i="2" s="1"/>
  <c r="E15" i="2"/>
  <c r="I15" i="2" s="1"/>
  <c r="V15" i="2"/>
  <c r="AF15" i="2"/>
  <c r="AF25" i="2" s="1"/>
  <c r="AP15" i="2"/>
  <c r="AN15" i="2" s="1"/>
  <c r="AR15" i="2"/>
  <c r="AW15" i="2"/>
  <c r="AL15" i="2" s="1"/>
  <c r="E16" i="2"/>
  <c r="I16" i="2" s="1"/>
  <c r="V16" i="2"/>
  <c r="AF16" i="2"/>
  <c r="AP16" i="2"/>
  <c r="AN16" i="2" s="1"/>
  <c r="AW16" i="2"/>
  <c r="AL16" i="2" s="1"/>
  <c r="E17" i="2"/>
  <c r="T17" i="2" s="1"/>
  <c r="M17" i="2"/>
  <c r="V17" i="2"/>
  <c r="AF17" i="2"/>
  <c r="AL17" i="2"/>
  <c r="AP17" i="2"/>
  <c r="AW17" i="2"/>
  <c r="E18" i="2"/>
  <c r="AH18" i="2" s="1"/>
  <c r="M18" i="2"/>
  <c r="T18" i="2"/>
  <c r="V18" i="2"/>
  <c r="Z18" i="2"/>
  <c r="AD18" i="2"/>
  <c r="AF18" i="2"/>
  <c r="AL18" i="2"/>
  <c r="AP18" i="2"/>
  <c r="AN18" i="2" s="1"/>
  <c r="AV18" i="2"/>
  <c r="AJ18" i="2" s="1"/>
  <c r="AW18" i="2"/>
  <c r="AX18" i="2"/>
  <c r="E19" i="2"/>
  <c r="I19" i="2"/>
  <c r="M19" i="2"/>
  <c r="Q19" i="2"/>
  <c r="T19" i="2"/>
  <c r="V19" i="2"/>
  <c r="Z19" i="2"/>
  <c r="AD19" i="2"/>
  <c r="AF19" i="2"/>
  <c r="AH19" i="2"/>
  <c r="AJ19" i="2"/>
  <c r="AL19" i="2"/>
  <c r="AP19" i="2"/>
  <c r="AN19" i="2" s="1"/>
  <c r="AW19" i="2"/>
  <c r="E20" i="2"/>
  <c r="M20" i="2" s="1"/>
  <c r="Z20" i="2"/>
  <c r="AD20" i="2"/>
  <c r="AF20" i="2"/>
  <c r="AH20" i="2"/>
  <c r="AJ20" i="2"/>
  <c r="AP20" i="2"/>
  <c r="AN20" i="2" s="1"/>
  <c r="AW20" i="2"/>
  <c r="AL20" i="2" s="1"/>
  <c r="E21" i="2"/>
  <c r="AL21" i="2" s="1"/>
  <c r="I21" i="2"/>
  <c r="M21" i="2"/>
  <c r="Q21" i="2" s="1"/>
  <c r="V21" i="2"/>
  <c r="AF21" i="2"/>
  <c r="AH21" i="2"/>
  <c r="AJ21" i="2"/>
  <c r="AP21" i="2"/>
  <c r="AW21" i="2"/>
  <c r="E22" i="2"/>
  <c r="AH22" i="2" s="1"/>
  <c r="T22" i="2"/>
  <c r="Z22" i="2"/>
  <c r="AD22" i="2"/>
  <c r="AF22" i="2"/>
  <c r="AP22" i="2"/>
  <c r="AN22" i="2" s="1"/>
  <c r="AW22" i="2"/>
  <c r="AL22" i="2" s="1"/>
  <c r="E23" i="2"/>
  <c r="I23" i="2" s="1"/>
  <c r="V23" i="2"/>
  <c r="AF23" i="2"/>
  <c r="AP23" i="2"/>
  <c r="AN23" i="2" s="1"/>
  <c r="AW23" i="2"/>
  <c r="AL23" i="2" s="1"/>
  <c r="AV29" i="2"/>
  <c r="AX29" i="2"/>
  <c r="A31" i="2"/>
  <c r="C31" i="2"/>
  <c r="E31" i="2"/>
  <c r="AH31" i="2" s="1"/>
  <c r="Z31" i="2"/>
  <c r="AD31" i="2"/>
  <c r="A32" i="2"/>
  <c r="C32" i="2"/>
  <c r="E32" i="2"/>
  <c r="AH32" i="2" s="1"/>
  <c r="Z32" i="2"/>
  <c r="AD32" i="2"/>
  <c r="A33" i="2"/>
  <c r="C33" i="2"/>
  <c r="E33" i="2"/>
  <c r="AH33" i="2" s="1"/>
  <c r="Z33" i="2"/>
  <c r="AD33" i="2"/>
  <c r="AJ33" i="2"/>
  <c r="AL33" i="2"/>
  <c r="AN33" i="2"/>
  <c r="A34" i="2"/>
  <c r="C34" i="2"/>
  <c r="E34" i="2"/>
  <c r="AH34" i="2" s="1"/>
  <c r="Z34" i="2"/>
  <c r="AJ34" i="2"/>
  <c r="AL34" i="2"/>
  <c r="AN34" i="2"/>
  <c r="A35" i="2"/>
  <c r="C35" i="2"/>
  <c r="E35" i="2"/>
  <c r="AH35" i="2" s="1"/>
  <c r="Z35" i="2"/>
  <c r="AJ35" i="2"/>
  <c r="AL35" i="2"/>
  <c r="AN35" i="2"/>
  <c r="A36" i="2"/>
  <c r="C36" i="2"/>
  <c r="E36" i="2"/>
  <c r="X36" i="2"/>
  <c r="Z36" i="2"/>
  <c r="AH36" i="2"/>
  <c r="AJ36" i="2"/>
  <c r="AL36" i="2"/>
  <c r="AN36" i="2"/>
  <c r="A37" i="2"/>
  <c r="C37" i="2"/>
  <c r="E37" i="2"/>
  <c r="Z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D39" i="2"/>
  <c r="AH39" i="2"/>
  <c r="AJ39" i="2"/>
  <c r="AL39" i="2"/>
  <c r="AN39" i="2"/>
  <c r="A40" i="2"/>
  <c r="C40" i="2"/>
  <c r="E40" i="2"/>
  <c r="AJ40" i="2" s="1"/>
  <c r="Z40" i="2"/>
  <c r="AD40" i="2"/>
  <c r="AH40" i="2"/>
  <c r="X46" i="2"/>
  <c r="AB46" i="2"/>
  <c r="X47" i="2"/>
  <c r="AB47" i="2"/>
  <c r="X48" i="2"/>
  <c r="AB48" i="2"/>
  <c r="S84" i="2"/>
  <c r="S7" i="2" s="1"/>
  <c r="X84" i="2"/>
  <c r="AB84" i="2"/>
  <c r="AB7" i="2" s="1"/>
  <c r="B8" i="1"/>
  <c r="T7" i="2" l="1"/>
  <c r="V7" i="2"/>
  <c r="AD25" i="2"/>
  <c r="I25" i="2"/>
  <c r="AL25" i="2"/>
  <c r="H9" i="1" s="1"/>
  <c r="AH42" i="2"/>
  <c r="D10" i="1" s="1"/>
  <c r="AD23" i="2"/>
  <c r="AD16" i="2"/>
  <c r="AL32" i="2"/>
  <c r="AN31" i="2"/>
  <c r="AD21" i="2"/>
  <c r="AL9" i="2"/>
  <c r="H7" i="1" s="1"/>
  <c r="AH7" i="2"/>
  <c r="D6" i="1" s="1"/>
  <c r="AJ17" i="2"/>
  <c r="AN32" i="2"/>
  <c r="Z23" i="2"/>
  <c r="AH17" i="2"/>
  <c r="AJ32" i="2"/>
  <c r="AL31" i="2"/>
  <c r="T23" i="2"/>
  <c r="Z21" i="2"/>
  <c r="T20" i="2"/>
  <c r="AD17" i="2"/>
  <c r="T16" i="2"/>
  <c r="T15" i="2"/>
  <c r="T25" i="2" s="1"/>
  <c r="AJ13" i="2"/>
  <c r="M13" i="2"/>
  <c r="AJ9" i="2"/>
  <c r="F7" i="1" s="1"/>
  <c r="M9" i="2"/>
  <c r="Q9" i="2" s="1"/>
  <c r="AF7" i="2"/>
  <c r="AD15" i="2"/>
  <c r="Z15" i="2"/>
  <c r="Z25" i="2" s="1"/>
  <c r="B9" i="1" s="1"/>
  <c r="AN40" i="2"/>
  <c r="AJ31" i="2"/>
  <c r="AJ42" i="2" s="1"/>
  <c r="F10" i="1" s="1"/>
  <c r="AJ22" i="2"/>
  <c r="Z17" i="2"/>
  <c r="AJ14" i="2"/>
  <c r="M14" i="2"/>
  <c r="Q14" i="2" s="1"/>
  <c r="AH13" i="2"/>
  <c r="T10" i="2"/>
  <c r="AH9" i="2"/>
  <c r="D7" i="1" s="1"/>
  <c r="AD7" i="2"/>
  <c r="M7" i="2"/>
  <c r="Q7" i="2" s="1"/>
  <c r="Z16" i="2"/>
  <c r="AL40" i="2"/>
  <c r="AJ23" i="2"/>
  <c r="M23" i="2"/>
  <c r="Q23" i="2" s="1"/>
  <c r="AN21" i="2"/>
  <c r="T21" i="2"/>
  <c r="AJ16" i="2"/>
  <c r="M16" i="2"/>
  <c r="Q16" i="2" s="1"/>
  <c r="AJ15" i="2"/>
  <c r="M15" i="2"/>
  <c r="Q15" i="2" s="1"/>
  <c r="AH14" i="2"/>
  <c r="AH10" i="2"/>
  <c r="D8" i="1" s="1"/>
  <c r="AH23" i="2"/>
  <c r="AN17" i="2"/>
  <c r="AN25" i="2" s="1"/>
  <c r="AH16" i="2"/>
  <c r="AH15" i="2"/>
  <c r="AP10" i="2"/>
  <c r="M25" i="2" l="1"/>
  <c r="Q13" i="2"/>
  <c r="Q25" i="2" s="1"/>
  <c r="AL42" i="2"/>
  <c r="H10" i="1" s="1"/>
  <c r="AJ25" i="2"/>
  <c r="F9" i="1" s="1"/>
  <c r="AN42" i="2"/>
  <c r="AH25" i="2"/>
  <c r="D9" i="1" s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<sst xmlns="http://schemas.openxmlformats.org/spreadsheetml/2006/main" count="183" uniqueCount="119">
  <si>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</si>
  <si>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</si>
  <si>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</si>
  <si>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</si>
  <si>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</si>
  <si>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</si>
  <si>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</si>
  <si>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</si>
  <si>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</si>
  <si>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</si>
  <si>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</si>
  <si>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</si>
  <si>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</si>
  <si>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DLJ Securities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</si>
  <si>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</si>
  <si>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</si>
  <si>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</si>
  <si>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</si>
  <si>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</si>
  <si>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</si>
  <si>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</si>
  <si>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</si>
  <si>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</si>
  <si>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</si>
  <si>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</si>
  <si>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</si>
  <si>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</si>
  <si>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</si>
  <si>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</si>
  <si>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</si>
  <si>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</si>
  <si>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</si>
  <si>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</si>
  <si>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</si>
  <si>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</si>
  <si>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</si>
  <si>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</si>
  <si>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</si>
  <si>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</si>
  <si>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</si>
  <si>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</si>
  <si>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</si>
  <si>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</si>
  <si>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</si>
  <si>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</si>
  <si>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</si>
  <si>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</si>
  <si>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</si>
  <si>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</si>
  <si>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</si>
  <si>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</si>
  <si>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</si>
  <si>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</si>
  <si>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</si>
  <si>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</si>
  <si>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</si>
  <si>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</si>
  <si>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</si>
  <si>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</si>
  <si>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</si>
  <si>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</si>
  <si>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</si>
  <si>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</si>
  <si>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</si>
  <si>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</si>
  <si>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</si>
  <si>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</si>
  <si>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</si>
  <si>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</si>
  <si>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</si>
  <si>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</si>
  <si>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 xml:space="preserve">Deutsche BankAB 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</si>
  <si>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</si>
  <si>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</si>
  <si>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</si>
  <si>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</si>
  <si>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</si>
  <si>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</si>
  <si>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</si>
  <si>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</si>
  <si>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</si>
  <si>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</si>
  <si>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</si>
  <si>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</si>
  <si>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</si>
  <si>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</si>
  <si>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</si>
  <si>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</si>
  <si>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</si>
  <si>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</si>
  <si>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</si>
  <si>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</si>
  <si>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</si>
  <si>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</si>
  <si>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</si>
  <si>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</si>
  <si>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</si>
  <si>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</si>
  <si>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</si>
  <si>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</si>
  <si>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PaineWebber</t>
  </si>
  <si>
    <t>* Revenue estimates based on fiscal year rather than calendar year</t>
  </si>
  <si>
    <t>Communications and B2B Peers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</si>
  <si>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</si>
  <si>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</si>
  <si>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</si>
  <si>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</si>
  <si>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</si>
  <si>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</si>
  <si>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</si>
  <si>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Communications/B2B Peers</t>
  </si>
  <si>
    <t>Energy Peer Group Average</t>
  </si>
  <si>
    <t xml:space="preserve">12/31/99 Closing </t>
  </si>
  <si>
    <t>8/09/00</t>
  </si>
  <si>
    <t>Dynegy****</t>
  </si>
  <si>
    <t>Howard Weil</t>
  </si>
  <si>
    <t>** Consensus information is not available for 2001</t>
  </si>
  <si>
    <t>FRIDAY</t>
  </si>
  <si>
    <t>**** 2 for 1 stock split effective 8/22/00.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</si>
</sst>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6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169" fontId="5" fillId="0" borderId="10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4" fontId="6" fillId="0" borderId="0" xfId="0" applyFont="1" applyFill="1" applyBorder="1" applyAlignment="1" applyProtection="1">
      <alignment horizontal="left"/>
    </xf>
    <xf numFmtId="164" fontId="5" fillId="0" borderId="25" xfId="0" applyFont="1" applyFill="1" applyBorder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199" fontId="5" fillId="0" borderId="0" xfId="2" applyNumberFormat="1" applyFont="1" applyFill="1"/>
    <xf numFmtId="164" fontId="5" fillId="0" borderId="34" xfId="0" applyFont="1" applyBorder="1" applyAlignment="1" applyProtection="1">
      <alignment horizontal="center"/>
    </xf>
    <xf numFmtId="164" fontId="5" fillId="0" borderId="35" xfId="0" applyFont="1" applyFill="1" applyBorder="1" applyAlignment="1">
      <alignment horizontal="center"/>
    </xf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98" fontId="5" fillId="0" borderId="18" xfId="0" applyNumberFormat="1" applyFont="1" applyFill="1" applyBorder="1" applyProtection="1"/>
    <xf numFmtId="10" fontId="5" fillId="0" borderId="18" xfId="0" applyNumberFormat="1" applyFont="1" applyFill="1" applyBorder="1" applyProtection="1"/>
    <xf numFmtId="198" fontId="5" fillId="0" borderId="10" xfId="0" applyNumberFormat="1" applyFont="1" applyFill="1" applyBorder="1" applyProtection="1"/>
    <xf numFmtId="169" fontId="1" fillId="0" borderId="23" xfId="0" applyNumberFormat="1" applyFont="1" applyFill="1" applyBorder="1"/>
    <xf numFmtId="164" fontId="5" fillId="0" borderId="34" xfId="0" applyFont="1" applyFill="1" applyBorder="1" applyAlignment="1" applyProtection="1">
      <alignment horizontal="center"/>
    </xf>
    <xf numFmtId="164" fontId="5" fillId="0" borderId="25" xfId="0" applyFont="1" applyFill="1" applyBorder="1" applyAlignment="1" applyProtection="1">
      <alignment horizontal="center"/>
    </xf>
    <xf numFmtId="164" fontId="5" fillId="0" borderId="35" xfId="0" applyFont="1" applyFill="1" applyBorder="1" applyAlignment="1" applyProtection="1">
      <alignment horizontal="center"/>
    </xf>
    <xf numFmtId="164" fontId="5" fillId="0" borderId="36" xfId="0" applyFont="1" applyBorder="1" applyAlignment="1" applyProtection="1">
      <alignment horizontal="center"/>
    </xf>
    <xf numFmtId="164" fontId="5" fillId="0" borderId="34" xfId="0" applyFont="1" applyFill="1" applyBorder="1"/>
    <xf numFmtId="10" fontId="5" fillId="0" borderId="25" xfId="0" applyNumberFormat="1" applyFont="1" applyFill="1" applyBorder="1" applyProtection="1"/>
    <xf numFmtId="164" fontId="3" fillId="0" borderId="35" xfId="0" applyFont="1" applyBorder="1"/>
    <xf numFmtId="164" fontId="23" fillId="0" borderId="0" xfId="0" quotePrefix="1" applyFont="1" applyFill="1" applyBorder="1" applyAlignment="1" applyProtection="1">
      <alignment horizontal="left"/>
    </xf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164" fontId="26" fillId="0" borderId="0" xfId="0" applyFont="1" applyFill="1" applyBorder="1" applyAlignment="1" applyProtection="1">
      <alignment horizontal="left"/>
    </xf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5" fillId="0" borderId="37" xfId="0" quotePrefix="1" applyFont="1" applyBorder="1" applyAlignment="1">
      <alignment horizontal="center"/>
    </xf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198" fontId="7" fillId="0" borderId="25" xfId="0" applyNumberFormat="1" applyFont="1" applyFill="1" applyBorder="1" applyAlignment="1" applyProtection="1">
      <alignment horizontal="center"/>
    </xf>
    <xf numFmtId="9" fontId="36" fillId="0" borderId="25" xfId="3" applyFont="1" applyBorder="1"/>
    <xf numFmtId="198" fontId="7" fillId="0" borderId="38" xfId="0" applyNumberFormat="1" applyFont="1" applyFill="1" applyBorder="1" applyAlignment="1" applyProtection="1">
      <alignment horizontal="center"/>
    </xf>
    <xf numFmtId="164" fontId="36" fillId="0" borderId="39" xfId="0" applyFont="1" applyBorder="1" applyAlignment="1">
      <alignment horizontal="center"/>
    </xf>
    <xf numFmtId="169" fontId="36" fillId="0" borderId="40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43" fontId="3" fillId="0" borderId="0" xfId="1" applyFont="1"/>
    <xf numFmtId="170" fontId="11" fillId="0" borderId="0" xfId="0" quotePrefix="1" applyNumberFormat="1" applyFont="1" applyFill="1" applyBorder="1" applyAlignment="1" applyProtection="1">
      <alignment horizontal="center"/>
    </xf>
    <xf numFmtId="170" fontId="16" fillId="0" borderId="41" xfId="0" applyNumberFormat="1" applyFont="1" applyBorder="1" applyAlignment="1" applyProtection="1">
      <alignment horizontal="center"/>
    </xf>
    <xf numFmtId="44" fontId="22" fillId="0" borderId="5" xfId="2" applyFont="1" applyFill="1" applyBorder="1" applyProtection="1"/>
    <xf numFmtId="44" fontId="38" fillId="0" borderId="6" xfId="2" applyFont="1" applyFill="1" applyBorder="1"/>
    <xf numFmtId="199" fontId="38" fillId="0" borderId="6" xfId="2" applyNumberFormat="1" applyFont="1" applyFill="1" applyBorder="1"/>
    <xf numFmtId="199" fontId="22" fillId="0" borderId="0" xfId="0" applyNumberFormat="1" applyFont="1" applyFill="1" applyProtection="1"/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5" fillId="0" borderId="11" xfId="0" applyFont="1" applyFill="1" applyBorder="1" applyAlignment="1">
      <alignment horizontal="center"/>
    </xf>
    <xf numFmtId="164" fontId="5" fillId="0" borderId="12" xfId="0" applyFont="1" applyFill="1" applyBorder="1" applyAlignment="1">
      <alignment horizontal="center"/>
    </xf>
    <xf numFmtId="164" fontId="5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3672.82</val>
          </value>
        </values>
      </ddeItem>
      <ddeItem name=".SPX" advise="1">
        <values>
          <value>
            <val>1436.51</val>
          </value>
        </values>
      </ddeItem>
      <ddeItem name="AES" advise="1">
        <values>
          <value>
            <val>68.51953125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52.515625</val>
          </value>
        </values>
      </ddeItem>
      <ddeItem name="ARBA.O" advise="1">
        <values>
          <value>
            <val>143.265625</val>
          </value>
        </values>
      </ddeItem>
      <ddeItem name="CG">
        <values>
          <value>
            <val>71.01953125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74.125</val>
          </value>
        </values>
      </ddeItem>
      <ddeItem name="CGP,DIVIDEND" advise="1">
        <values>
          <value>
            <val>0.25</val>
          </value>
        </values>
      </ddeItem>
      <ddeItem name="CMRC.O" advise="1">
        <values>
          <value>
            <val>78.5</val>
          </value>
        </values>
      </ddeItem>
      <ddeItem name="D" advise="1">
        <values>
          <value>
            <val>58.08203125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85.76953125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57.01953125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87.64453125</val>
          </value>
        </values>
      </ddeItem>
      <ddeItem name="EPG">
        <values>
          <value>
            <val>61.625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31</val>
          </value>
        </values>
      </ddeItem>
      <ddeItem name="INAP.O" advise="1">
        <values>
          <value>
            <val>32.3125</val>
          </value>
        </values>
      </ddeItem>
      <ddeItem name="ISLD.O" advise="1">
        <values>
          <value>
            <val>18.75</val>
          </value>
        </values>
      </ddeItem>
      <ddeItem name="ITWO.O" advise="1">
        <values>
          <value>
            <val>187.0625</val>
          </value>
        </values>
      </ddeItem>
      <ddeItem name="KMI" advise="1">
        <values>
          <value>
            <val>40.9375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77.125</val>
          </value>
        </values>
      </ddeItem>
      <ddeItem name="PCG">
        <values>
          <value>
            <val>24.20703125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48.125</val>
          </value>
        </values>
      </ddeItem>
      <ddeItem name="TRP">
        <values>
          <value>
            <val>9.3125</val>
          </value>
        </values>
      </ddeItem>
      <ddeItem name="WCG" advise="1">
        <values>
          <value>
            <val>20</val>
          </value>
        </values>
      </ddeItem>
      <ddeItem name="WMB">
        <values>
          <value>
            <val>42.25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I35">
            <v>4650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  <row r="56">
          <cell r="A56" t="str">
            <v>Ariba</v>
          </cell>
          <cell r="B56" t="str">
            <v>ARBA</v>
          </cell>
          <cell r="G56">
            <v>127.34589430306534</v>
          </cell>
          <cell r="J56">
            <v>66.160171649639409</v>
          </cell>
        </row>
        <row r="57">
          <cell r="A57" t="str">
            <v>Commerce One</v>
          </cell>
          <cell r="B57" t="str">
            <v>CMRC</v>
          </cell>
          <cell r="G57">
            <v>28.115766558591936</v>
          </cell>
          <cell r="J57">
            <v>15.175484999999998</v>
          </cell>
        </row>
        <row r="58">
          <cell r="A58" t="str">
            <v>i2</v>
          </cell>
          <cell r="B58" t="str">
            <v>ITWO</v>
          </cell>
          <cell r="G58">
            <v>22.470536133871551</v>
          </cell>
          <cell r="J58">
            <v>16.794216442273054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15" sqref="D15"/>
    </sheetView>
  </sheetViews>
  <sheetFormatPr defaultRowHeight="15.75" x14ac:dyDescent="0.25"/>
  <cols>
    <col min="1" max="1" width="23.6640625" style="238" bestFit="1" customWidth="1"/>
    <col min="2" max="2" width="8.88671875" style="239"/>
    <col min="3" max="3" width="2" style="238" customWidth="1"/>
    <col min="4" max="4" width="7.77734375" style="238" customWidth="1"/>
    <col min="5" max="5" width="1.109375" style="238" customWidth="1"/>
    <col min="6" max="6" width="7.88671875" style="238" customWidth="1"/>
    <col min="7" max="7" width="1.21875" style="238" customWidth="1"/>
    <col min="8" max="8" width="7.21875" style="238" customWidth="1"/>
    <col min="9" max="9" width="0.77734375" style="238" customWidth="1"/>
    <col min="10" max="16384" width="8.88671875" style="238"/>
  </cols>
  <sheetData>
    <row r="1" spans="1:10" ht="18.75" customHeight="1" x14ac:dyDescent="0.25">
      <c r="A1" s="238" t="s">
        <v>82</v>
      </c>
    </row>
    <row r="2" spans="1:10" ht="18" customHeight="1" x14ac:dyDescent="0.25">
      <c r="A2" s="317" t="s">
        <v>21</v>
      </c>
    </row>
    <row r="3" spans="1:10" ht="16.5" thickBot="1" x14ac:dyDescent="0.3"/>
    <row r="4" spans="1:10" ht="16.5" thickBot="1" x14ac:dyDescent="0.3">
      <c r="B4" s="240">
        <v>2000</v>
      </c>
      <c r="D4" s="327" t="s">
        <v>83</v>
      </c>
      <c r="E4" s="328"/>
      <c r="F4" s="328"/>
      <c r="G4" s="328"/>
      <c r="H4" s="329"/>
    </row>
    <row r="5" spans="1:10" ht="32.25" thickBot="1" x14ac:dyDescent="0.3">
      <c r="B5" s="241" t="s">
        <v>39</v>
      </c>
      <c r="D5" s="242" t="s">
        <v>25</v>
      </c>
      <c r="E5" s="243"/>
      <c r="F5" s="244" t="s">
        <v>26</v>
      </c>
      <c r="G5" s="245"/>
      <c r="H5" s="246" t="s">
        <v>27</v>
      </c>
    </row>
    <row r="6" spans="1:10" x14ac:dyDescent="0.25">
      <c r="A6" s="238" t="s">
        <v>84</v>
      </c>
      <c r="B6" s="247">
        <f>ENRON!Z7</f>
        <v>62.112871829541234</v>
      </c>
      <c r="D6" s="254">
        <f>ENRON!AH7</f>
        <v>5.5958207831325303E-2</v>
      </c>
      <c r="E6" s="248"/>
      <c r="F6" s="249">
        <f>ENRON!AJ7</f>
        <v>0.35882994186046513</v>
      </c>
      <c r="G6" s="248"/>
      <c r="H6" s="250">
        <f>ENRON!AL7</f>
        <v>0.98072183098591548</v>
      </c>
    </row>
    <row r="7" spans="1:10" x14ac:dyDescent="0.25">
      <c r="A7" s="238" t="s">
        <v>85</v>
      </c>
      <c r="B7" s="251">
        <f>ENRON!Z9</f>
        <v>24.793061788056612</v>
      </c>
      <c r="D7" s="255">
        <f>ENRON!AH9</f>
        <v>-8.1741123198410311E-3</v>
      </c>
      <c r="E7" s="252"/>
      <c r="F7" s="256">
        <f>ENRON!AJ9</f>
        <v>-9.628076447133151E-3</v>
      </c>
      <c r="G7" s="252"/>
      <c r="H7" s="257">
        <f>ENRON!AL9</f>
        <v>-1.3926738630330908E-2</v>
      </c>
    </row>
    <row r="8" spans="1:10" x14ac:dyDescent="0.25">
      <c r="A8" s="238" t="s">
        <v>89</v>
      </c>
      <c r="B8" s="251" t="str">
        <f>ENRON!Z10</f>
        <v xml:space="preserve">N/A </v>
      </c>
      <c r="D8" s="255">
        <f>ENRON!AH10</f>
        <v>-3.4383347004017094E-2</v>
      </c>
      <c r="E8" s="252"/>
      <c r="F8" s="256">
        <f>ENRON!AJ10</f>
        <v>-7.354057250051059E-2</v>
      </c>
      <c r="G8" s="252"/>
      <c r="H8" s="257">
        <f>ENRON!AL10</f>
        <v>-9.6251452949025679E-2</v>
      </c>
    </row>
    <row r="9" spans="1:10" x14ac:dyDescent="0.25">
      <c r="A9" s="238" t="s">
        <v>109</v>
      </c>
      <c r="B9" s="251">
        <f>ENRON!Z25</f>
        <v>26.257295123312556</v>
      </c>
      <c r="C9" s="307"/>
      <c r="D9" s="255">
        <f>ENRON!AH25</f>
        <v>4.6938613829864237E-2</v>
      </c>
      <c r="E9" s="252"/>
      <c r="F9" s="256">
        <f>ENRON!AJ25</f>
        <v>0.27614898352398393</v>
      </c>
      <c r="G9" s="308"/>
      <c r="H9" s="257">
        <f>ENRON!AL25</f>
        <v>0.72517292023579205</v>
      </c>
      <c r="I9" s="307"/>
      <c r="J9" s="307"/>
    </row>
    <row r="10" spans="1:10" ht="16.5" thickBot="1" x14ac:dyDescent="0.3">
      <c r="A10" s="238" t="s">
        <v>110</v>
      </c>
      <c r="B10" s="315" t="s">
        <v>88</v>
      </c>
      <c r="D10" s="316">
        <f>ENRON!AH42</f>
        <v>-6.5147659694388934E-3</v>
      </c>
      <c r="E10" s="311"/>
      <c r="F10" s="312">
        <f>ENRON!AJ42</f>
        <v>2.1871772879295193E-2</v>
      </c>
      <c r="G10" s="313"/>
      <c r="H10" s="314">
        <f>ENRON!AL42</f>
        <v>-0.15637585589892905</v>
      </c>
    </row>
    <row r="11" spans="1:10" x14ac:dyDescent="0.25">
      <c r="D11" s="309"/>
    </row>
    <row r="12" spans="1:10" x14ac:dyDescent="0.25">
      <c r="A12" s="253"/>
      <c r="F12" s="310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0"/>
  <sheetViews>
    <sheetView tabSelected="1" workbookViewId="0">
      <pane xSplit="3" topLeftCell="E1" activePane="topRight" state="frozen"/>
      <selection pane="topRight"/>
    </sheetView>
  </sheetViews>
  <sheetFormatPr defaultColWidth="9.77734375" defaultRowHeight="15" x14ac:dyDescent="0.2"/>
  <cols>
    <col min="1" max="1" width="17.44140625" style="1" customWidth="1"/>
    <col min="2" max="2" width="7.33203125" style="1" customWidth="1"/>
    <col min="3" max="3" width="6.77734375" style="2" bestFit="1" customWidth="1"/>
    <col min="4" max="4" width="1.77734375" style="1" customWidth="1"/>
    <col min="5" max="5" width="10.33203125" style="1" customWidth="1"/>
    <col min="6" max="6" width="1.44140625" style="1" hidden="1" customWidth="1"/>
    <col min="7" max="7" width="10.77734375" style="1" hidden="1" customWidth="1"/>
    <col min="8" max="8" width="2.5546875" style="1" hidden="1" customWidth="1"/>
    <col min="9" max="9" width="6.77734375" style="1" hidden="1" customWidth="1"/>
    <col min="10" max="10" width="0.44140625" style="1" hidden="1" customWidth="1"/>
    <col min="11" max="11" width="9.33203125" style="1" hidden="1" customWidth="1"/>
    <col min="12" max="12" width="1.88671875" style="1" hidden="1" customWidth="1"/>
    <col min="13" max="13" width="6.77734375" style="1" hidden="1" customWidth="1"/>
    <col min="14" max="14" width="1.109375" style="1" hidden="1" customWidth="1"/>
    <col min="15" max="15" width="10.77734375" style="1" hidden="1" customWidth="1"/>
    <col min="16" max="16" width="2.5546875" style="1" hidden="1" customWidth="1"/>
    <col min="17" max="17" width="6.77734375" style="1" hidden="1" customWidth="1"/>
    <col min="18" max="18" width="1" style="1" hidden="1" customWidth="1"/>
    <col min="19" max="19" width="9.44140625" style="1" hidden="1" customWidth="1"/>
    <col min="20" max="20" width="5.88671875" style="1" hidden="1" customWidth="1"/>
    <col min="21" max="21" width="1.21875" style="11" hidden="1" customWidth="1"/>
    <col min="22" max="22" width="10.21875" style="1" hidden="1" customWidth="1"/>
    <col min="23" max="23" width="1.77734375" style="11" customWidth="1"/>
    <col min="24" max="24" width="9.77734375" style="1" customWidth="1"/>
    <col min="25" max="25" width="1.77734375" style="1" customWidth="1"/>
    <col min="26" max="26" width="6.21875" style="1" customWidth="1"/>
    <col min="27" max="27" width="1.44140625" style="1" customWidth="1"/>
    <col min="28" max="28" width="9.44140625" style="1" customWidth="1"/>
    <col min="29" max="29" width="1.77734375" style="1" customWidth="1"/>
    <col min="30" max="30" width="6" style="1" customWidth="1"/>
    <col min="31" max="31" width="1" style="1" hidden="1" customWidth="1"/>
    <col min="32" max="32" width="8" style="1" hidden="1" customWidth="1"/>
    <col min="33" max="33" width="0.88671875" style="11" customWidth="1"/>
    <col min="34" max="34" width="7" style="11" customWidth="1"/>
    <col min="35" max="35" width="1.21875" style="11" customWidth="1"/>
    <col min="36" max="36" width="8.5546875" style="11" customWidth="1"/>
    <col min="37" max="37" width="0.88671875" style="11" customWidth="1"/>
    <col min="38" max="38" width="7.6640625" style="1" customWidth="1"/>
    <col min="39" max="39" width="1" style="1" customWidth="1"/>
    <col min="40" max="40" width="8.44140625" style="1" customWidth="1"/>
    <col min="41" max="41" width="4.88671875" style="1" customWidth="1"/>
    <col min="42" max="42" width="12.77734375" style="9" customWidth="1"/>
    <col min="43" max="43" width="8.5546875" style="18" customWidth="1"/>
    <col min="44" max="44" width="8.5546875" style="202" customWidth="1"/>
    <col min="45" max="45" width="11.109375" style="1" customWidth="1"/>
    <col min="46" max="46" width="12.33203125" style="1" customWidth="1"/>
    <col min="47" max="47" width="14.5546875" style="1" customWidth="1"/>
    <col min="48" max="48" width="12.88671875" style="1" customWidth="1"/>
    <col min="49" max="49" width="13.33203125" style="1" customWidth="1"/>
    <col min="50" max="50" width="13.6640625" style="1" customWidth="1"/>
    <col min="51" max="16384" width="9.77734375" style="1"/>
  </cols>
  <sheetData>
    <row r="1" spans="1:50" ht="18" x14ac:dyDescent="0.25">
      <c r="A1" s="58" t="s">
        <v>20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117</v>
      </c>
    </row>
    <row r="2" spans="1:50" ht="18" x14ac:dyDescent="0.25">
      <c r="A2" s="58" t="s">
        <v>21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36798</v>
      </c>
    </row>
    <row r="3" spans="1:50" ht="15.75" x14ac:dyDescent="0.25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75" x14ac:dyDescent="0.25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333">
        <v>2000</v>
      </c>
      <c r="Y4" s="334"/>
      <c r="Z4" s="335"/>
      <c r="AA4" s="184"/>
      <c r="AB4" s="333">
        <v>2001</v>
      </c>
      <c r="AC4" s="334"/>
      <c r="AD4" s="335"/>
      <c r="AE4" s="4"/>
      <c r="AF4" s="68" t="s">
        <v>22</v>
      </c>
      <c r="AG4" s="67"/>
      <c r="AH4" s="69" t="s">
        <v>23</v>
      </c>
      <c r="AI4" s="70"/>
      <c r="AJ4" s="70"/>
      <c r="AK4" s="70"/>
      <c r="AL4" s="71"/>
      <c r="AN4" s="13"/>
      <c r="AO4" s="22"/>
      <c r="AP4" s="25" t="s">
        <v>24</v>
      </c>
      <c r="AQ4" s="25"/>
      <c r="AR4" s="203"/>
      <c r="AS4" s="21" t="s">
        <v>25</v>
      </c>
      <c r="AT4" s="72"/>
      <c r="AU4" s="21" t="s">
        <v>26</v>
      </c>
      <c r="AV4" s="21"/>
      <c r="AW4" s="21" t="s">
        <v>27</v>
      </c>
      <c r="AX4" s="21"/>
    </row>
    <row r="5" spans="1:50" x14ac:dyDescent="0.2">
      <c r="A5" s="4"/>
      <c r="B5" s="4"/>
      <c r="C5" s="8"/>
      <c r="D5" s="4"/>
      <c r="E5" s="73" t="s">
        <v>28</v>
      </c>
      <c r="F5" s="4"/>
      <c r="G5" s="74" t="s">
        <v>29</v>
      </c>
      <c r="H5" s="75"/>
      <c r="I5" s="76"/>
      <c r="J5" s="4"/>
      <c r="K5" s="74" t="s">
        <v>29</v>
      </c>
      <c r="L5" s="75"/>
      <c r="M5" s="76"/>
      <c r="N5" s="4"/>
      <c r="O5" s="74" t="s">
        <v>29</v>
      </c>
      <c r="P5" s="75"/>
      <c r="Q5" s="76"/>
      <c r="R5" s="4"/>
      <c r="S5" s="74" t="s">
        <v>29</v>
      </c>
      <c r="T5" s="76"/>
      <c r="U5" s="67"/>
      <c r="V5" s="68" t="s">
        <v>30</v>
      </c>
      <c r="W5" s="77"/>
      <c r="X5" s="74" t="s">
        <v>29</v>
      </c>
      <c r="Y5" s="214"/>
      <c r="Z5" s="76"/>
      <c r="AA5" s="78"/>
      <c r="AB5" s="74" t="s">
        <v>29</v>
      </c>
      <c r="AC5" s="214"/>
      <c r="AD5" s="76"/>
      <c r="AE5" s="78"/>
      <c r="AF5" s="79" t="s">
        <v>30</v>
      </c>
      <c r="AG5" s="77"/>
      <c r="AH5" s="80" t="s">
        <v>31</v>
      </c>
      <c r="AI5" s="77"/>
      <c r="AJ5" s="77" t="s">
        <v>32</v>
      </c>
      <c r="AK5" s="77"/>
      <c r="AL5" s="81" t="s">
        <v>33</v>
      </c>
      <c r="AN5" s="82" t="s">
        <v>34</v>
      </c>
      <c r="AO5" s="83"/>
      <c r="AP5" s="26"/>
      <c r="AQ5" s="27" t="s">
        <v>35</v>
      </c>
      <c r="AR5" s="204" t="s">
        <v>35</v>
      </c>
      <c r="AS5" s="20"/>
      <c r="AT5" s="84">
        <v>36777</v>
      </c>
      <c r="AU5" s="20"/>
      <c r="AV5" s="84">
        <v>36707</v>
      </c>
      <c r="AW5" s="226"/>
      <c r="AX5" s="85"/>
    </row>
    <row r="6" spans="1:50" ht="15.75" thickBot="1" x14ac:dyDescent="0.25">
      <c r="A6" s="86" t="s">
        <v>36</v>
      </c>
      <c r="B6" s="4"/>
      <c r="C6" s="86" t="s">
        <v>37</v>
      </c>
      <c r="D6" s="4"/>
      <c r="E6" s="86" t="s">
        <v>38</v>
      </c>
      <c r="F6" s="4"/>
      <c r="G6" s="87" t="s">
        <v>22</v>
      </c>
      <c r="H6" s="88"/>
      <c r="I6" s="89" t="s">
        <v>39</v>
      </c>
      <c r="J6" s="4"/>
      <c r="K6" s="87" t="s">
        <v>22</v>
      </c>
      <c r="L6" s="88"/>
      <c r="M6" s="89" t="s">
        <v>39</v>
      </c>
      <c r="N6" s="4"/>
      <c r="O6" s="87" t="s">
        <v>22</v>
      </c>
      <c r="P6" s="88"/>
      <c r="Q6" s="89" t="s">
        <v>39</v>
      </c>
      <c r="R6" s="4"/>
      <c r="S6" s="87" t="s">
        <v>22</v>
      </c>
      <c r="T6" s="89" t="s">
        <v>39</v>
      </c>
      <c r="U6" s="90"/>
      <c r="V6" s="91" t="s">
        <v>40</v>
      </c>
      <c r="W6" s="90"/>
      <c r="X6" s="87" t="s">
        <v>97</v>
      </c>
      <c r="Y6" s="219"/>
      <c r="Z6" s="89" t="s">
        <v>39</v>
      </c>
      <c r="AA6" s="92"/>
      <c r="AB6" s="87" t="s">
        <v>97</v>
      </c>
      <c r="AC6" s="219"/>
      <c r="AD6" s="89" t="s">
        <v>39</v>
      </c>
      <c r="AE6" s="92"/>
      <c r="AF6" s="91" t="s">
        <v>41</v>
      </c>
      <c r="AG6" s="90"/>
      <c r="AH6" s="93" t="s">
        <v>42</v>
      </c>
      <c r="AI6" s="90"/>
      <c r="AJ6" s="94" t="s">
        <v>43</v>
      </c>
      <c r="AK6" s="90"/>
      <c r="AL6" s="95" t="s">
        <v>43</v>
      </c>
      <c r="AN6" s="91" t="s">
        <v>44</v>
      </c>
      <c r="AO6" s="96"/>
      <c r="AP6" s="97" t="s">
        <v>45</v>
      </c>
      <c r="AQ6" s="24" t="s">
        <v>46</v>
      </c>
      <c r="AR6" s="205" t="s">
        <v>34</v>
      </c>
      <c r="AS6" s="97" t="s">
        <v>47</v>
      </c>
      <c r="AT6" s="225" t="s">
        <v>48</v>
      </c>
      <c r="AU6" s="97" t="s">
        <v>49</v>
      </c>
      <c r="AV6" s="98" t="s">
        <v>50</v>
      </c>
      <c r="AW6" s="227" t="s">
        <v>51</v>
      </c>
      <c r="AX6" s="98" t="s">
        <v>112</v>
      </c>
    </row>
    <row r="7" spans="1:50" ht="15.75" thickBot="1" x14ac:dyDescent="0.25">
      <c r="A7" s="99" t="s">
        <v>52</v>
      </c>
      <c r="B7" s="100"/>
      <c r="C7" s="101" t="s">
        <v>0</v>
      </c>
      <c r="D7" s="100"/>
      <c r="E7" s="102">
        <f>[1]!ENE</f>
        <v>87.64453125</v>
      </c>
      <c r="F7" s="100"/>
      <c r="G7" s="103">
        <v>2.16</v>
      </c>
      <c r="H7" s="104" t="s">
        <v>53</v>
      </c>
      <c r="I7" s="105">
        <f>E7/G7</f>
        <v>40.576171875</v>
      </c>
      <c r="J7" s="100"/>
      <c r="K7" s="103">
        <v>2.14</v>
      </c>
      <c r="L7" s="106" t="s">
        <v>54</v>
      </c>
      <c r="M7" s="105">
        <f>E7/K7</f>
        <v>40.95538843457944</v>
      </c>
      <c r="N7" s="100"/>
      <c r="O7" s="103">
        <v>2.16</v>
      </c>
      <c r="P7" s="104" t="s">
        <v>53</v>
      </c>
      <c r="Q7" s="105">
        <f>M7/O7</f>
        <v>18.960827978971963</v>
      </c>
      <c r="R7" s="100"/>
      <c r="S7" s="107">
        <f>+S84</f>
        <v>1.9945454545454544</v>
      </c>
      <c r="T7" s="105">
        <f>E7/S7</f>
        <v>43.942107737010033</v>
      </c>
      <c r="U7" s="108"/>
      <c r="V7" s="109">
        <f>(S7-K7)/K7</f>
        <v>-6.7969413763806413E-2</v>
      </c>
      <c r="W7" s="110"/>
      <c r="X7" s="258">
        <f>+X84</f>
        <v>1.4110526315789469</v>
      </c>
      <c r="Y7" s="234"/>
      <c r="Z7" s="105">
        <f>E7/X7</f>
        <v>62.112871829541234</v>
      </c>
      <c r="AA7" s="108"/>
      <c r="AB7" s="258">
        <f>+AB84</f>
        <v>1.6405263157894736</v>
      </c>
      <c r="AC7" s="218"/>
      <c r="AD7" s="105">
        <f>E7/AB7</f>
        <v>53.424642083734362</v>
      </c>
      <c r="AE7" s="108"/>
      <c r="AF7" s="109">
        <f>(X7-S7)/S7</f>
        <v>-0.29254425946360907</v>
      </c>
      <c r="AG7" s="110"/>
      <c r="AH7" s="111">
        <f>((+AS7+E7-AT7)/AT7)</f>
        <v>5.5958207831325303E-2</v>
      </c>
      <c r="AI7" s="110"/>
      <c r="AJ7" s="110">
        <f>((+AU7+E7-AV7)/AV7)</f>
        <v>0.35882994186046513</v>
      </c>
      <c r="AK7" s="110"/>
      <c r="AL7" s="112">
        <f>((+AW7+E7-AX7)/AX7)</f>
        <v>0.98072183098591548</v>
      </c>
      <c r="AM7" s="50"/>
      <c r="AN7" s="198">
        <f>AP7/E7</f>
        <v>5.7048625038998079E-3</v>
      </c>
      <c r="AO7" s="113"/>
      <c r="AP7" s="55">
        <v>0.5</v>
      </c>
      <c r="AQ7" s="318">
        <v>36775</v>
      </c>
      <c r="AR7" s="206">
        <v>0.125</v>
      </c>
      <c r="AS7" s="41"/>
      <c r="AT7" s="102">
        <v>83</v>
      </c>
      <c r="AU7" s="231"/>
      <c r="AV7" s="181">
        <v>64.5</v>
      </c>
      <c r="AW7" s="228">
        <f>0.125+0.125</f>
        <v>0.25</v>
      </c>
      <c r="AX7" s="181">
        <v>44.375</v>
      </c>
    </row>
    <row r="8" spans="1:50" ht="6" customHeight="1" x14ac:dyDescent="0.2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20"/>
      <c r="Z8" s="118"/>
      <c r="AA8" s="67"/>
      <c r="AB8" s="185"/>
      <c r="AC8" s="67"/>
      <c r="AD8" s="195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6"/>
      <c r="AS8" s="42"/>
      <c r="AT8" s="115"/>
      <c r="AU8" s="232"/>
      <c r="AV8" s="182"/>
      <c r="AW8" s="229"/>
      <c r="AX8" s="182"/>
    </row>
    <row r="9" spans="1:50" x14ac:dyDescent="0.2">
      <c r="A9" s="122" t="s">
        <v>55</v>
      </c>
      <c r="B9" s="66"/>
      <c r="C9" s="114" t="s">
        <v>68</v>
      </c>
      <c r="D9" s="66"/>
      <c r="E9" s="326">
        <f>[1]!'.SPX'</f>
        <v>1436.51</v>
      </c>
      <c r="F9" s="124"/>
      <c r="G9" s="125">
        <v>40.53</v>
      </c>
      <c r="H9" s="117"/>
      <c r="I9" s="126">
        <f>E9/G9</f>
        <v>35.443128546755489</v>
      </c>
      <c r="J9" s="67"/>
      <c r="K9" s="125">
        <v>42.08</v>
      </c>
      <c r="L9" s="67"/>
      <c r="M9" s="126">
        <f>E9/K9</f>
        <v>34.137595057034218</v>
      </c>
      <c r="N9" s="124"/>
      <c r="O9" s="125">
        <v>40.53</v>
      </c>
      <c r="P9" s="117"/>
      <c r="Q9" s="126">
        <f>M9/O9</f>
        <v>0.84227967078791555</v>
      </c>
      <c r="R9" s="67"/>
      <c r="S9" s="127">
        <v>40.18</v>
      </c>
      <c r="T9" s="126">
        <f>E9/S9</f>
        <v>35.751866600298655</v>
      </c>
      <c r="U9" s="128"/>
      <c r="V9" s="129">
        <f>(S9-K9)/K9</f>
        <v>-4.5152091254752821E-2</v>
      </c>
      <c r="W9" s="130"/>
      <c r="X9" s="127">
        <v>57.94</v>
      </c>
      <c r="Y9" s="215"/>
      <c r="Z9" s="126">
        <f>E9/X9</f>
        <v>24.793061788056612</v>
      </c>
      <c r="AA9" s="128"/>
      <c r="AB9" s="127">
        <v>62.58</v>
      </c>
      <c r="AC9" s="215"/>
      <c r="AD9" s="126">
        <f>E9/AB9</f>
        <v>22.954777884308086</v>
      </c>
      <c r="AE9" s="128"/>
      <c r="AF9" s="129">
        <f>(X9-S9)/S9</f>
        <v>0.44201095072175206</v>
      </c>
      <c r="AG9" s="130"/>
      <c r="AH9" s="113">
        <f>((+AS9+E9-AT9)/AT9)</f>
        <v>-8.1741123198410311E-3</v>
      </c>
      <c r="AI9" s="130"/>
      <c r="AJ9" s="130">
        <f>((+AU9+E9-AV9)/AV9)</f>
        <v>-9.628076447133151E-3</v>
      </c>
      <c r="AK9" s="130"/>
      <c r="AL9" s="131">
        <f>((+AW9+E9-AX9)/AX9)</f>
        <v>-1.3926738630330908E-2</v>
      </c>
      <c r="AM9" s="29"/>
      <c r="AN9" s="223">
        <v>1.11E-2</v>
      </c>
      <c r="AO9" s="113"/>
      <c r="AP9" s="213">
        <f>AN9*E9</f>
        <v>15.945261</v>
      </c>
      <c r="AQ9" s="40"/>
      <c r="AR9" s="206"/>
      <c r="AS9" s="201">
        <v>0.36799999999999999</v>
      </c>
      <c r="AT9" s="123">
        <v>1448.72</v>
      </c>
      <c r="AU9" s="201">
        <v>4.085</v>
      </c>
      <c r="AV9" s="183">
        <v>1454.6</v>
      </c>
      <c r="AW9" s="201">
        <v>12.288</v>
      </c>
      <c r="AX9" s="183">
        <v>1469.26</v>
      </c>
    </row>
    <row r="10" spans="1:50" x14ac:dyDescent="0.2">
      <c r="A10" s="122" t="s">
        <v>89</v>
      </c>
      <c r="B10" s="66"/>
      <c r="C10" s="114" t="s">
        <v>86</v>
      </c>
      <c r="D10" s="66"/>
      <c r="E10" s="326">
        <f>[1]!'.IXIC'</f>
        <v>3672.82</v>
      </c>
      <c r="F10" s="124"/>
      <c r="G10" s="125">
        <v>40.53</v>
      </c>
      <c r="H10" s="117"/>
      <c r="I10" s="126">
        <f>E10/G10</f>
        <v>90.619787811497659</v>
      </c>
      <c r="J10" s="67"/>
      <c r="K10" s="125">
        <v>42.08</v>
      </c>
      <c r="L10" s="67"/>
      <c r="M10" s="126">
        <f>E10/K10</f>
        <v>87.281844106463879</v>
      </c>
      <c r="N10" s="124"/>
      <c r="O10" s="125">
        <v>40.53</v>
      </c>
      <c r="P10" s="117"/>
      <c r="Q10" s="126">
        <f>M10/O10</f>
        <v>2.1535120677637276</v>
      </c>
      <c r="R10" s="67"/>
      <c r="S10" s="127">
        <v>40.18</v>
      </c>
      <c r="T10" s="126">
        <f>E10/S10</f>
        <v>91.409158785465408</v>
      </c>
      <c r="U10" s="128"/>
      <c r="V10" s="129">
        <f>(S10-K10)/K10</f>
        <v>-4.5152091254752821E-2</v>
      </c>
      <c r="W10" s="130"/>
      <c r="X10" s="260" t="s">
        <v>87</v>
      </c>
      <c r="Y10" s="215"/>
      <c r="Z10" s="261" t="s">
        <v>88</v>
      </c>
      <c r="AA10" s="128"/>
      <c r="AB10" s="260" t="s">
        <v>87</v>
      </c>
      <c r="AC10" s="215"/>
      <c r="AD10" s="261" t="s">
        <v>88</v>
      </c>
      <c r="AE10" s="128"/>
      <c r="AF10" s="129" t="e">
        <f>(X10-S10)/S10</f>
        <v>#VALUE!</v>
      </c>
      <c r="AG10" s="130"/>
      <c r="AH10" s="113">
        <f>((+AS10+E10-AT10)/AT10)</f>
        <v>-3.4383347004017094E-2</v>
      </c>
      <c r="AI10" s="130"/>
      <c r="AJ10" s="130">
        <f>((+AU10+E10-AV10)/AV10)</f>
        <v>-7.354057250051059E-2</v>
      </c>
      <c r="AK10" s="130"/>
      <c r="AL10" s="131">
        <f>((+AW10+E10-AX10)/AX10)</f>
        <v>-9.6251452949025679E-2</v>
      </c>
      <c r="AM10" s="29"/>
      <c r="AN10" s="223">
        <v>1.8E-3</v>
      </c>
      <c r="AO10" s="113"/>
      <c r="AP10" s="213">
        <f>AN10*E10</f>
        <v>6.6110759999999997</v>
      </c>
      <c r="AQ10" s="40"/>
      <c r="AR10" s="206"/>
      <c r="AS10" s="201">
        <v>0.154</v>
      </c>
      <c r="AT10" s="123">
        <v>3803.76</v>
      </c>
      <c r="AU10" s="201">
        <v>1.62</v>
      </c>
      <c r="AV10" s="183">
        <v>3966.11</v>
      </c>
      <c r="AW10" s="201">
        <v>4.8129999999999997</v>
      </c>
      <c r="AX10" s="183">
        <v>4069.31</v>
      </c>
    </row>
    <row r="11" spans="1:50" ht="9.75" customHeight="1" x14ac:dyDescent="0.2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5"/>
      <c r="Z11" s="31"/>
      <c r="AA11" s="10"/>
      <c r="AB11" s="127"/>
      <c r="AC11" s="215"/>
      <c r="AD11" s="196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6"/>
      <c r="AS11" s="42"/>
      <c r="AT11" s="123"/>
      <c r="AU11" s="233"/>
      <c r="AV11" s="183"/>
      <c r="AW11" s="229"/>
      <c r="AX11" s="183"/>
    </row>
    <row r="12" spans="1:50" x14ac:dyDescent="0.2">
      <c r="A12" s="297" t="s">
        <v>96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5"/>
      <c r="Z12" s="31"/>
      <c r="AA12" s="10"/>
      <c r="AB12" s="127"/>
      <c r="AC12" s="215"/>
      <c r="AD12" s="196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6"/>
      <c r="AS12" s="295"/>
      <c r="AT12" s="123"/>
      <c r="AU12" s="296"/>
      <c r="AV12" s="183"/>
      <c r="AW12" s="229"/>
      <c r="AX12" s="183"/>
    </row>
    <row r="13" spans="1:50" x14ac:dyDescent="0.2">
      <c r="A13" s="66" t="s">
        <v>107</v>
      </c>
      <c r="B13" s="66"/>
      <c r="C13" s="132" t="s">
        <v>77</v>
      </c>
      <c r="D13" s="66"/>
      <c r="E13" s="123">
        <f>[1]!AES</f>
        <v>68.51953125</v>
      </c>
      <c r="F13" s="66"/>
      <c r="G13" s="125">
        <v>4.72</v>
      </c>
      <c r="H13" s="133" t="s">
        <v>53</v>
      </c>
      <c r="I13" s="126">
        <f>E13/G13</f>
        <v>14.516849841101696</v>
      </c>
      <c r="J13" s="66"/>
      <c r="K13" s="125">
        <v>4.9400000000000004</v>
      </c>
      <c r="L13" s="67"/>
      <c r="M13" s="126">
        <f t="shared" ref="M13:M20" si="0">E13/K13</f>
        <v>13.870350455465585</v>
      </c>
      <c r="N13" s="66"/>
      <c r="O13" s="125">
        <v>4.72</v>
      </c>
      <c r="P13" s="133" t="s">
        <v>53</v>
      </c>
      <c r="Q13" s="126">
        <f>M13/O13</f>
        <v>2.9386335710732174</v>
      </c>
      <c r="R13" s="66"/>
      <c r="S13" s="127">
        <v>3.43</v>
      </c>
      <c r="T13" s="126">
        <f t="shared" ref="T13:T20" si="1">E13/S13</f>
        <v>19.976539723032069</v>
      </c>
      <c r="U13" s="128"/>
      <c r="V13" s="129">
        <f t="shared" ref="V13:V19" si="2">(S13-K13)/K13</f>
        <v>-0.30566801619433198</v>
      </c>
      <c r="W13" s="130"/>
      <c r="X13" s="127">
        <v>1.49</v>
      </c>
      <c r="Y13" s="215"/>
      <c r="Z13" s="126">
        <f t="shared" ref="Z13:Z23" si="3">E13/X13</f>
        <v>45.986262583892618</v>
      </c>
      <c r="AA13" s="128"/>
      <c r="AB13" s="127">
        <v>1.92</v>
      </c>
      <c r="AC13" s="215"/>
      <c r="AD13" s="126">
        <f t="shared" ref="AD13:AD23" si="4">E13/AB13</f>
        <v>35.687255859375</v>
      </c>
      <c r="AE13" s="128"/>
      <c r="AF13" s="129">
        <f t="shared" ref="AF13:AF23" si="5">(X13-S13)/S13</f>
        <v>-0.56559766763848396</v>
      </c>
      <c r="AG13" s="130"/>
      <c r="AH13" s="113">
        <f t="shared" ref="AH13:AH23" si="6">((+AS13+E13-AT13)/AT13)</f>
        <v>5.2123320537428026E-2</v>
      </c>
      <c r="AI13" s="130"/>
      <c r="AJ13" s="130">
        <f t="shared" ref="AJ13:AJ23" si="7">((+AU13+E13-AV13)/AV13)</f>
        <v>0.50179794520547949</v>
      </c>
      <c r="AK13" s="130"/>
      <c r="AL13" s="131">
        <f t="shared" ref="AL13:AL23" si="8">((+AW13+E13-AX13)/AX13)</f>
        <v>0.83329849498327757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9" t="s">
        <v>79</v>
      </c>
      <c r="AR13" s="206">
        <v>0</v>
      </c>
      <c r="AS13" s="43"/>
      <c r="AT13" s="183">
        <v>65.125</v>
      </c>
      <c r="AU13" s="43"/>
      <c r="AV13" s="183">
        <v>45.625</v>
      </c>
      <c r="AW13" s="43">
        <v>0</v>
      </c>
      <c r="AX13" s="183">
        <f>74.75/2</f>
        <v>37.375</v>
      </c>
    </row>
    <row r="14" spans="1:50" x14ac:dyDescent="0.2">
      <c r="A14" s="122" t="s">
        <v>57</v>
      </c>
      <c r="B14" s="66"/>
      <c r="C14" s="132" t="s">
        <v>2</v>
      </c>
      <c r="D14" s="66"/>
      <c r="E14" s="123">
        <f>[1]!CG</f>
        <v>71.01953125</v>
      </c>
      <c r="F14" s="66"/>
      <c r="G14" s="125">
        <v>4.72</v>
      </c>
      <c r="H14" s="133" t="s">
        <v>53</v>
      </c>
      <c r="I14" s="126">
        <f>E14/G14</f>
        <v>15.046510858050848</v>
      </c>
      <c r="J14" s="66"/>
      <c r="K14" s="125">
        <v>4.9400000000000004</v>
      </c>
      <c r="L14" s="67"/>
      <c r="M14" s="126">
        <f>E14/K14</f>
        <v>14.376423329959513</v>
      </c>
      <c r="N14" s="66"/>
      <c r="O14" s="125">
        <v>4.72</v>
      </c>
      <c r="P14" s="133" t="s">
        <v>53</v>
      </c>
      <c r="Q14" s="126">
        <f>M14/O14</f>
        <v>3.0458524004151513</v>
      </c>
      <c r="R14" s="66"/>
      <c r="S14" s="127">
        <v>3.43</v>
      </c>
      <c r="T14" s="126">
        <f>E14/S14</f>
        <v>20.705402696793001</v>
      </c>
      <c r="U14" s="128"/>
      <c r="V14" s="129">
        <f>(S14-K14)/K14</f>
        <v>-0.30566801619433198</v>
      </c>
      <c r="W14" s="130"/>
      <c r="X14" s="127">
        <v>4.0599999999999996</v>
      </c>
      <c r="Y14" s="215"/>
      <c r="Z14" s="126">
        <f>E14/X14</f>
        <v>17.492495381773402</v>
      </c>
      <c r="AA14" s="128"/>
      <c r="AB14" s="127">
        <v>4.51</v>
      </c>
      <c r="AC14" s="215"/>
      <c r="AD14" s="126">
        <f>E14/AB14</f>
        <v>15.747124445676276</v>
      </c>
      <c r="AE14" s="128"/>
      <c r="AF14" s="129">
        <f>(X14-S14)/S14</f>
        <v>0.18367346938775495</v>
      </c>
      <c r="AG14" s="130"/>
      <c r="AH14" s="113">
        <f>((+AS14+E14-AT14)/AT14)</f>
        <v>5.5862831858407083E-3</v>
      </c>
      <c r="AI14" s="130"/>
      <c r="AJ14" s="130">
        <f>((+AU14+E14-AV14)/AV14)</f>
        <v>8.5630952380952294E-2</v>
      </c>
      <c r="AK14" s="130"/>
      <c r="AL14" s="131">
        <f>((+AW14+E14-AX14)/AX14)</f>
        <v>0.1335103754940711</v>
      </c>
      <c r="AM14" s="29"/>
      <c r="AN14" s="134">
        <f>AP14/E14</f>
        <v>1.2672570265661955E-2</v>
      </c>
      <c r="AO14" s="135"/>
      <c r="AP14" s="55">
        <f>[1]!'CG,DIVIDEND'</f>
        <v>0.9</v>
      </c>
      <c r="AQ14" s="259">
        <v>36762</v>
      </c>
      <c r="AR14" s="206">
        <v>0.22500000000000001</v>
      </c>
      <c r="AS14" s="43"/>
      <c r="AT14" s="183">
        <v>70.625</v>
      </c>
      <c r="AU14" s="43">
        <v>0.22500000000000001</v>
      </c>
      <c r="AV14" s="183">
        <v>65.625</v>
      </c>
      <c r="AW14" s="43">
        <f>0.225+0.225+0.225</f>
        <v>0.67500000000000004</v>
      </c>
      <c r="AX14" s="183">
        <v>63.25</v>
      </c>
    </row>
    <row r="15" spans="1:50" x14ac:dyDescent="0.2">
      <c r="A15" s="122" t="s">
        <v>56</v>
      </c>
      <c r="B15" s="66"/>
      <c r="C15" s="132" t="s">
        <v>1</v>
      </c>
      <c r="D15" s="66"/>
      <c r="E15" s="123">
        <f>[1]!CGP</f>
        <v>74.125</v>
      </c>
      <c r="F15" s="66"/>
      <c r="G15" s="125">
        <v>2.88</v>
      </c>
      <c r="H15" s="133" t="s">
        <v>53</v>
      </c>
      <c r="I15" s="126">
        <f>E15/G15</f>
        <v>25.737847222222221</v>
      </c>
      <c r="J15" s="66"/>
      <c r="K15" s="125">
        <v>3.48</v>
      </c>
      <c r="L15" s="67"/>
      <c r="M15" s="126">
        <f>E15/K15</f>
        <v>21.300287356321839</v>
      </c>
      <c r="N15" s="66"/>
      <c r="O15" s="125">
        <v>2.88</v>
      </c>
      <c r="P15" s="133" t="s">
        <v>53</v>
      </c>
      <c r="Q15" s="126">
        <f>M15/O15</f>
        <v>7.3959331098339725</v>
      </c>
      <c r="R15" s="66"/>
      <c r="S15" s="127">
        <v>2.02</v>
      </c>
      <c r="T15" s="126">
        <f>E15/S15</f>
        <v>36.695544554455445</v>
      </c>
      <c r="U15" s="128"/>
      <c r="V15" s="129">
        <f>(S15-K15)/K15</f>
        <v>-0.41954022988505746</v>
      </c>
      <c r="W15" s="130"/>
      <c r="X15" s="127">
        <v>2.87</v>
      </c>
      <c r="Y15" s="215"/>
      <c r="Z15" s="126">
        <f>E15/X15</f>
        <v>25.827526132404181</v>
      </c>
      <c r="AA15" s="128"/>
      <c r="AB15" s="127">
        <v>3.3</v>
      </c>
      <c r="AC15" s="215"/>
      <c r="AD15" s="126">
        <f>E15/AB15</f>
        <v>22.462121212121215</v>
      </c>
      <c r="AE15" s="128"/>
      <c r="AF15" s="129">
        <f>(X15-S15)/S15</f>
        <v>0.42079207920792083</v>
      </c>
      <c r="AG15" s="130"/>
      <c r="AH15" s="113">
        <f>((+AS15+E15-AT15)/AT15)</f>
        <v>7.4275362318840576E-2</v>
      </c>
      <c r="AI15" s="130"/>
      <c r="AJ15" s="130">
        <f>((+AU15+E15-AV15)/AV15)</f>
        <v>0.21868583162217659</v>
      </c>
      <c r="AK15" s="130"/>
      <c r="AL15" s="131">
        <f>((+AW15+E15-AX15)/AX15)</f>
        <v>1.0970017636684304</v>
      </c>
      <c r="AM15" s="29"/>
      <c r="AN15" s="134">
        <f>AP15/E15</f>
        <v>3.3726812816188868E-3</v>
      </c>
      <c r="AO15" s="135"/>
      <c r="AP15" s="55">
        <f>[1]!'CGP,DIVIDEND'</f>
        <v>0.25</v>
      </c>
      <c r="AQ15" s="259">
        <v>36767</v>
      </c>
      <c r="AR15" s="206">
        <f>0.125/2</f>
        <v>6.25E-2</v>
      </c>
      <c r="AS15" s="43"/>
      <c r="AT15" s="183">
        <v>69</v>
      </c>
      <c r="AU15" s="43">
        <v>6.25E-2</v>
      </c>
      <c r="AV15" s="183">
        <v>60.875</v>
      </c>
      <c r="AW15" s="43">
        <f>0.0625+0.0625+0.0625</f>
        <v>0.1875</v>
      </c>
      <c r="AX15" s="183">
        <v>35.4375</v>
      </c>
    </row>
    <row r="16" spans="1:50" x14ac:dyDescent="0.2">
      <c r="A16" s="122" t="s">
        <v>80</v>
      </c>
      <c r="B16" s="66"/>
      <c r="C16" s="132" t="s">
        <v>81</v>
      </c>
      <c r="D16" s="66"/>
      <c r="E16" s="237">
        <f>[1]!D</f>
        <v>58.08203125</v>
      </c>
      <c r="F16" s="66"/>
      <c r="G16" s="125">
        <v>3.24</v>
      </c>
      <c r="H16" s="117"/>
      <c r="I16" s="126">
        <f>E16/G16</f>
        <v>17.926552854938269</v>
      </c>
      <c r="J16" s="66"/>
      <c r="K16" s="125">
        <v>3.34</v>
      </c>
      <c r="L16" s="67"/>
      <c r="M16" s="126">
        <f t="shared" si="0"/>
        <v>17.389829715568862</v>
      </c>
      <c r="N16" s="66"/>
      <c r="O16" s="125">
        <v>3.24</v>
      </c>
      <c r="P16" s="117"/>
      <c r="Q16" s="126">
        <f>M16/O16</f>
        <v>5.3672313936940927</v>
      </c>
      <c r="R16" s="66"/>
      <c r="S16" s="127">
        <v>2.87</v>
      </c>
      <c r="T16" s="126">
        <f t="shared" si="1"/>
        <v>20.237641550522646</v>
      </c>
      <c r="U16" s="128"/>
      <c r="V16" s="129">
        <f t="shared" si="2"/>
        <v>-0.14071856287425144</v>
      </c>
      <c r="W16" s="130"/>
      <c r="X16" s="127">
        <v>3.3</v>
      </c>
      <c r="Y16" s="215"/>
      <c r="Z16" s="126">
        <f t="shared" si="3"/>
        <v>17.600615530303031</v>
      </c>
      <c r="AA16" s="128"/>
      <c r="AB16" s="127">
        <v>3.81</v>
      </c>
      <c r="AC16" s="215"/>
      <c r="AD16" s="126">
        <f t="shared" si="4"/>
        <v>15.244627624671915</v>
      </c>
      <c r="AE16" s="128"/>
      <c r="AF16" s="129">
        <f t="shared" si="5"/>
        <v>0.14982578397212534</v>
      </c>
      <c r="AG16" s="130"/>
      <c r="AH16" s="113">
        <f t="shared" si="6"/>
        <v>5.6036931818181819E-2</v>
      </c>
      <c r="AI16" s="130"/>
      <c r="AJ16" s="130">
        <f t="shared" si="7"/>
        <v>0.36972667638483975</v>
      </c>
      <c r="AK16" s="130"/>
      <c r="AL16" s="131">
        <f t="shared" si="8"/>
        <v>0.52909633757961794</v>
      </c>
      <c r="AM16" s="29"/>
      <c r="AN16" s="134">
        <f t="shared" si="9"/>
        <v>4.4419934091061944E-2</v>
      </c>
      <c r="AO16" s="135"/>
      <c r="AP16" s="55">
        <f>[1]!'D,DIVIDEND'</f>
        <v>2.58</v>
      </c>
      <c r="AQ16" s="259">
        <v>36761</v>
      </c>
      <c r="AR16" s="206">
        <v>0.64500000000000002</v>
      </c>
      <c r="AS16" s="43"/>
      <c r="AT16" s="183">
        <v>55</v>
      </c>
      <c r="AU16" s="43">
        <v>0.64500000000000002</v>
      </c>
      <c r="AV16" s="183">
        <v>42.875</v>
      </c>
      <c r="AW16" s="43">
        <f>0.645+0.645+0.645</f>
        <v>1.9350000000000001</v>
      </c>
      <c r="AX16" s="183">
        <v>39.25</v>
      </c>
    </row>
    <row r="17" spans="1:50" x14ac:dyDescent="0.2">
      <c r="A17" s="122" t="s">
        <v>58</v>
      </c>
      <c r="B17" s="66"/>
      <c r="C17" s="132" t="s">
        <v>3</v>
      </c>
      <c r="D17" s="66"/>
      <c r="E17" s="123">
        <f>[1]!DUK</f>
        <v>85.76953125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29.074417372881353</v>
      </c>
      <c r="N17" s="66"/>
      <c r="O17" s="125"/>
      <c r="P17" s="133"/>
      <c r="Q17" s="126"/>
      <c r="R17" s="66"/>
      <c r="S17" s="127">
        <v>3.38</v>
      </c>
      <c r="T17" s="126">
        <f t="shared" si="1"/>
        <v>25.375600961538463</v>
      </c>
      <c r="U17" s="128"/>
      <c r="V17" s="129">
        <f t="shared" si="2"/>
        <v>0.14576271186440667</v>
      </c>
      <c r="W17" s="130"/>
      <c r="X17" s="127">
        <v>4.07</v>
      </c>
      <c r="Y17" s="215"/>
      <c r="Z17" s="126">
        <f t="shared" si="3"/>
        <v>21.0735949017199</v>
      </c>
      <c r="AA17" s="128"/>
      <c r="AB17" s="127">
        <v>4.4800000000000004</v>
      </c>
      <c r="AC17" s="215"/>
      <c r="AD17" s="126">
        <f t="shared" si="4"/>
        <v>19.144984654017854</v>
      </c>
      <c r="AE17" s="128"/>
      <c r="AF17" s="129">
        <f t="shared" si="5"/>
        <v>0.20414201183431965</v>
      </c>
      <c r="AG17" s="130"/>
      <c r="AH17" s="113">
        <f t="shared" si="6"/>
        <v>0.13040568369028008</v>
      </c>
      <c r="AI17" s="130"/>
      <c r="AJ17" s="130">
        <f t="shared" si="7"/>
        <v>0.53116685144124165</v>
      </c>
      <c r="AK17" s="130"/>
      <c r="AL17" s="131">
        <f t="shared" si="8"/>
        <v>0.74403054862842899</v>
      </c>
      <c r="AM17" s="29"/>
      <c r="AN17" s="134">
        <f t="shared" si="9"/>
        <v>2.5650134353509133E-2</v>
      </c>
      <c r="AO17" s="135"/>
      <c r="AP17" s="55">
        <f>[1]!'DUK,DIVIDEND'</f>
        <v>2.2000000000000002</v>
      </c>
      <c r="AQ17" s="321" t="s">
        <v>113</v>
      </c>
      <c r="AR17" s="206">
        <v>0.55000000000000004</v>
      </c>
      <c r="AS17" s="43"/>
      <c r="AT17" s="183">
        <v>75.875</v>
      </c>
      <c r="AU17" s="43">
        <v>0.55000000000000004</v>
      </c>
      <c r="AV17" s="183">
        <v>56.375</v>
      </c>
      <c r="AW17" s="43">
        <f>0.55+0.55+0.55</f>
        <v>1.6500000000000001</v>
      </c>
      <c r="AX17" s="183">
        <v>50.125</v>
      </c>
    </row>
    <row r="18" spans="1:50" ht="15.75" x14ac:dyDescent="0.25">
      <c r="A18" s="122" t="s">
        <v>114</v>
      </c>
      <c r="B18" s="66"/>
      <c r="C18" s="132" t="s">
        <v>59</v>
      </c>
      <c r="D18" s="66"/>
      <c r="E18" s="123">
        <f>[1]!DYN</f>
        <v>57.01953125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81.456473214285722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98.309536637931046</v>
      </c>
      <c r="U18" s="128"/>
      <c r="V18" s="129">
        <f>(S18-K18)/K18</f>
        <v>-0.17142857142857143</v>
      </c>
      <c r="W18" s="130"/>
      <c r="X18" s="127">
        <v>1.31</v>
      </c>
      <c r="Y18" s="215"/>
      <c r="Z18" s="126">
        <f t="shared" si="3"/>
        <v>43.526359732824424</v>
      </c>
      <c r="AA18" s="128"/>
      <c r="AB18" s="127">
        <v>1.63</v>
      </c>
      <c r="AC18" s="235"/>
      <c r="AD18" s="126">
        <f t="shared" si="4"/>
        <v>34.981307515337427</v>
      </c>
      <c r="AE18" s="128"/>
      <c r="AF18" s="129">
        <f t="shared" si="5"/>
        <v>1.2586206896551726</v>
      </c>
      <c r="AG18" s="130"/>
      <c r="AH18" s="113">
        <f t="shared" si="6"/>
        <v>8.7380810488676991E-2</v>
      </c>
      <c r="AI18" s="130"/>
      <c r="AJ18" s="130">
        <f t="shared" si="7"/>
        <v>0.67166466517984802</v>
      </c>
      <c r="AK18" s="130"/>
      <c r="AL18" s="131">
        <f t="shared" si="8"/>
        <v>2.2462587156812339</v>
      </c>
      <c r="AM18" s="29"/>
      <c r="AN18" s="134">
        <f t="shared" si="9"/>
        <v>5.2613550729601975E-3</v>
      </c>
      <c r="AO18" s="135"/>
      <c r="AP18" s="55">
        <f>[1]!'DYN,DIVIDEND'</f>
        <v>0.3</v>
      </c>
      <c r="AQ18" s="259">
        <v>36767</v>
      </c>
      <c r="AR18" s="206">
        <v>7.4999999999999997E-2</v>
      </c>
      <c r="AS18" s="43"/>
      <c r="AT18" s="323">
        <v>52.4375</v>
      </c>
      <c r="AU18" s="43">
        <v>7.4999999999999997E-2</v>
      </c>
      <c r="AV18" s="183">
        <f>68.30859375/2</f>
        <v>34.154296875</v>
      </c>
      <c r="AW18" s="43">
        <f>(0.04451+0.15)/2+0.075</f>
        <v>0.17225499999999999</v>
      </c>
      <c r="AX18" s="183">
        <f>24.3125/0.69/2</f>
        <v>17.617753623188406</v>
      </c>
    </row>
    <row r="19" spans="1:50" x14ac:dyDescent="0.2">
      <c r="A19" s="122" t="s">
        <v>60</v>
      </c>
      <c r="B19" s="66"/>
      <c r="C19" s="132" t="s">
        <v>4</v>
      </c>
      <c r="D19" s="66"/>
      <c r="E19" s="123">
        <f>[1]!EPG</f>
        <v>61.625</v>
      </c>
      <c r="F19" s="66"/>
      <c r="G19" s="125">
        <v>2.85</v>
      </c>
      <c r="H19" s="133" t="s">
        <v>53</v>
      </c>
      <c r="I19" s="126">
        <f>E19/G19</f>
        <v>21.62280701754386</v>
      </c>
      <c r="J19" s="66"/>
      <c r="K19" s="125">
        <v>3.18</v>
      </c>
      <c r="L19" s="67"/>
      <c r="M19" s="126">
        <f t="shared" si="0"/>
        <v>19.378930817610062</v>
      </c>
      <c r="N19" s="66"/>
      <c r="O19" s="125">
        <v>2.85</v>
      </c>
      <c r="P19" s="133" t="s">
        <v>53</v>
      </c>
      <c r="Q19" s="126">
        <f>M19/O19</f>
        <v>6.7996248482842319</v>
      </c>
      <c r="R19" s="66"/>
      <c r="S19" s="127">
        <v>1.83</v>
      </c>
      <c r="T19" s="126">
        <f t="shared" si="1"/>
        <v>33.674863387978142</v>
      </c>
      <c r="U19" s="128"/>
      <c r="V19" s="129">
        <f t="shared" si="2"/>
        <v>-0.42452830188679247</v>
      </c>
      <c r="W19" s="130"/>
      <c r="X19" s="127">
        <v>2.58</v>
      </c>
      <c r="Y19" s="215"/>
      <c r="Z19" s="126">
        <f t="shared" si="3"/>
        <v>23.88565891472868</v>
      </c>
      <c r="AA19" s="128"/>
      <c r="AB19" s="127">
        <v>3.15</v>
      </c>
      <c r="AC19" s="215"/>
      <c r="AD19" s="126">
        <f t="shared" si="4"/>
        <v>19.563492063492063</v>
      </c>
      <c r="AE19" s="128"/>
      <c r="AF19" s="129">
        <f t="shared" si="5"/>
        <v>0.4098360655737705</v>
      </c>
      <c r="AG19" s="130"/>
      <c r="AH19" s="113">
        <f t="shared" si="6"/>
        <v>5.7939914163090127E-2</v>
      </c>
      <c r="AI19" s="130"/>
      <c r="AJ19" s="130">
        <f t="shared" si="7"/>
        <v>0.21386012269938656</v>
      </c>
      <c r="AK19" s="130"/>
      <c r="AL19" s="131">
        <f t="shared" si="8"/>
        <v>0.60368438003220615</v>
      </c>
      <c r="AM19" s="29"/>
      <c r="AN19" s="134">
        <f t="shared" si="9"/>
        <v>1.330628803245436E-2</v>
      </c>
      <c r="AO19" s="135"/>
      <c r="AP19" s="55">
        <f>[1]!'EPG,DIVIDEND'</f>
        <v>0.82</v>
      </c>
      <c r="AQ19" s="259">
        <v>36768</v>
      </c>
      <c r="AR19" s="206">
        <v>0.20599999999999999</v>
      </c>
      <c r="AS19" s="43"/>
      <c r="AT19" s="183">
        <v>58.25</v>
      </c>
      <c r="AU19" s="43">
        <v>0.20599999999999999</v>
      </c>
      <c r="AV19" s="183">
        <v>50.9375</v>
      </c>
      <c r="AW19" s="43">
        <f>0.206+0.206+0.206</f>
        <v>0.61799999999999999</v>
      </c>
      <c r="AX19" s="183">
        <v>38.8125</v>
      </c>
    </row>
    <row r="20" spans="1:50" x14ac:dyDescent="0.2">
      <c r="A20" s="122" t="s">
        <v>74</v>
      </c>
      <c r="B20" s="66"/>
      <c r="C20" s="132" t="s">
        <v>75</v>
      </c>
      <c r="D20" s="66"/>
      <c r="E20" s="123">
        <f>[1]!KMI</f>
        <v>40.9375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16.846707818930039</v>
      </c>
      <c r="N20" s="66"/>
      <c r="O20" s="125"/>
      <c r="P20" s="133"/>
      <c r="Q20" s="126"/>
      <c r="R20" s="66"/>
      <c r="S20" s="127">
        <v>1.17</v>
      </c>
      <c r="T20" s="126">
        <f t="shared" si="1"/>
        <v>34.989316239316238</v>
      </c>
      <c r="U20" s="128"/>
      <c r="V20" s="129"/>
      <c r="W20" s="130"/>
      <c r="X20" s="127">
        <v>1.24</v>
      </c>
      <c r="Y20" s="215"/>
      <c r="Z20" s="126">
        <f t="shared" si="3"/>
        <v>33.014112903225808</v>
      </c>
      <c r="AA20" s="128"/>
      <c r="AB20" s="127">
        <v>1.56</v>
      </c>
      <c r="AC20" s="215"/>
      <c r="AD20" s="126">
        <f t="shared" si="4"/>
        <v>26.241987179487179</v>
      </c>
      <c r="AE20" s="128"/>
      <c r="AF20" s="129">
        <f t="shared" si="5"/>
        <v>5.9829059829059887E-2</v>
      </c>
      <c r="AG20" s="130"/>
      <c r="AH20" s="113">
        <f t="shared" si="6"/>
        <v>3.6392405063291139E-2</v>
      </c>
      <c r="AI20" s="130"/>
      <c r="AJ20" s="130">
        <f t="shared" si="7"/>
        <v>0.18535924084952546</v>
      </c>
      <c r="AK20" s="130"/>
      <c r="AL20" s="131">
        <f t="shared" si="8"/>
        <v>1.0352941176470587</v>
      </c>
      <c r="AM20" s="29"/>
      <c r="AN20" s="134">
        <f t="shared" si="9"/>
        <v>4.885496183206107E-3</v>
      </c>
      <c r="AO20" s="135"/>
      <c r="AP20" s="55">
        <f>[1]!'KMI,DIVIDEND'</f>
        <v>0.2</v>
      </c>
      <c r="AQ20" s="259">
        <v>36734</v>
      </c>
      <c r="AR20" s="206">
        <v>0.05</v>
      </c>
      <c r="AS20" s="43"/>
      <c r="AT20" s="183">
        <v>39.5</v>
      </c>
      <c r="AU20" s="43">
        <v>0.05</v>
      </c>
      <c r="AV20" s="183">
        <v>34.578125</v>
      </c>
      <c r="AW20" s="43">
        <f>0.05+0.05+0.05</f>
        <v>0.15000000000000002</v>
      </c>
      <c r="AX20" s="183">
        <v>20.1875</v>
      </c>
    </row>
    <row r="21" spans="1:50" x14ac:dyDescent="0.2">
      <c r="A21" s="66" t="s">
        <v>65</v>
      </c>
      <c r="B21" s="66"/>
      <c r="C21" s="132" t="s">
        <v>66</v>
      </c>
      <c r="D21" s="66"/>
      <c r="E21" s="123">
        <f>[1]!PCG</f>
        <v>24.20703125</v>
      </c>
      <c r="F21" s="66"/>
      <c r="G21" s="125">
        <v>2.88</v>
      </c>
      <c r="H21" s="133" t="s">
        <v>53</v>
      </c>
      <c r="I21" s="126">
        <f>E21/G21</f>
        <v>8.4052191840277786</v>
      </c>
      <c r="J21" s="66"/>
      <c r="K21" s="125">
        <v>3.48</v>
      </c>
      <c r="L21" s="67"/>
      <c r="M21" s="126">
        <f>E21/K21</f>
        <v>6.9560434626436782</v>
      </c>
      <c r="N21" s="66"/>
      <c r="O21" s="125">
        <v>2.88</v>
      </c>
      <c r="P21" s="133" t="s">
        <v>53</v>
      </c>
      <c r="Q21" s="126">
        <f>M21/O21</f>
        <v>2.4152928689734994</v>
      </c>
      <c r="R21" s="66"/>
      <c r="S21" s="127">
        <v>1.79</v>
      </c>
      <c r="T21" s="126">
        <f>E21/S21</f>
        <v>13.523481145251397</v>
      </c>
      <c r="U21" s="128"/>
      <c r="V21" s="129">
        <f>(S21-K21)/K21</f>
        <v>-0.48563218390804597</v>
      </c>
      <c r="W21" s="130"/>
      <c r="X21" s="127">
        <v>2.5299999999999998</v>
      </c>
      <c r="Y21" s="215"/>
      <c r="Z21" s="126">
        <f t="shared" si="3"/>
        <v>9.5679965415019765</v>
      </c>
      <c r="AA21" s="128"/>
      <c r="AB21" s="127">
        <v>2.75</v>
      </c>
      <c r="AC21" s="215"/>
      <c r="AD21" s="126">
        <f t="shared" si="4"/>
        <v>8.8025568181818183</v>
      </c>
      <c r="AE21" s="128"/>
      <c r="AF21" s="129">
        <f t="shared" si="5"/>
        <v>0.41340782122905012</v>
      </c>
      <c r="AG21" s="130"/>
      <c r="AH21" s="113">
        <f t="shared" si="6"/>
        <v>-6.8960336538461536E-2</v>
      </c>
      <c r="AI21" s="130"/>
      <c r="AJ21" s="130">
        <f t="shared" si="7"/>
        <v>-4.7906091370558089E-3</v>
      </c>
      <c r="AK21" s="130"/>
      <c r="AL21" s="131">
        <f t="shared" si="8"/>
        <v>0.22473323170731702</v>
      </c>
      <c r="AM21" s="29"/>
      <c r="AN21" s="134">
        <f t="shared" si="9"/>
        <v>4.9572373729223816E-2</v>
      </c>
      <c r="AO21" s="135"/>
      <c r="AP21" s="55">
        <f>[1]!'PCG,DIVIDEND'</f>
        <v>1.2</v>
      </c>
      <c r="AQ21" s="259">
        <v>36782</v>
      </c>
      <c r="AR21" s="206">
        <v>0.3</v>
      </c>
      <c r="AS21" s="43"/>
      <c r="AT21" s="183">
        <v>26</v>
      </c>
      <c r="AU21" s="43">
        <v>0.3</v>
      </c>
      <c r="AV21" s="183">
        <v>24.625</v>
      </c>
      <c r="AW21" s="43">
        <f>0.3+0.3+0.3</f>
        <v>0.89999999999999991</v>
      </c>
      <c r="AX21" s="183">
        <v>20.5</v>
      </c>
    </row>
    <row r="22" spans="1:50" x14ac:dyDescent="0.2">
      <c r="A22" s="122" t="s">
        <v>61</v>
      </c>
      <c r="B22" s="66"/>
      <c r="C22" s="132" t="s">
        <v>5</v>
      </c>
      <c r="D22" s="66"/>
      <c r="E22" s="123">
        <f>[1]!TRP</f>
        <v>9.3125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8.0978260869565215</v>
      </c>
      <c r="U22" s="128"/>
      <c r="V22" s="129"/>
      <c r="W22" s="130"/>
      <c r="X22" s="127">
        <v>0.77</v>
      </c>
      <c r="Y22" s="215"/>
      <c r="Z22" s="126">
        <f t="shared" si="3"/>
        <v>12.094155844155845</v>
      </c>
      <c r="AA22" s="128"/>
      <c r="AB22" s="127">
        <v>0.82</v>
      </c>
      <c r="AC22" s="215"/>
      <c r="AD22" s="126">
        <f t="shared" si="4"/>
        <v>11.356707317073171</v>
      </c>
      <c r="AE22" s="128"/>
      <c r="AF22" s="129">
        <f t="shared" si="5"/>
        <v>-0.33043478260869558</v>
      </c>
      <c r="AG22" s="130"/>
      <c r="AH22" s="113">
        <f t="shared" si="6"/>
        <v>2.83783783783783E-2</v>
      </c>
      <c r="AI22" s="130"/>
      <c r="AJ22" s="130">
        <f t="shared" si="7"/>
        <v>0.2475409836065573</v>
      </c>
      <c r="AK22" s="130"/>
      <c r="AL22" s="131">
        <f t="shared" si="8"/>
        <v>0.13285714285714281</v>
      </c>
      <c r="AM22" s="29"/>
      <c r="AN22" s="134">
        <f t="shared" si="9"/>
        <v>8.5906040268456385E-2</v>
      </c>
      <c r="AO22" s="135"/>
      <c r="AP22" s="319">
        <f>AR22*4</f>
        <v>0.8</v>
      </c>
      <c r="AQ22" s="259">
        <v>36797</v>
      </c>
      <c r="AR22" s="206">
        <v>0.2</v>
      </c>
      <c r="AS22" s="43">
        <v>0.2</v>
      </c>
      <c r="AT22" s="183">
        <v>9.25</v>
      </c>
      <c r="AU22" s="43">
        <v>0.2</v>
      </c>
      <c r="AV22" s="183">
        <v>7.625</v>
      </c>
      <c r="AW22" s="43">
        <f>0.2+0.2+0.2</f>
        <v>0.60000000000000009</v>
      </c>
      <c r="AX22" s="183">
        <v>8.75</v>
      </c>
    </row>
    <row r="23" spans="1:50" x14ac:dyDescent="0.2">
      <c r="A23" s="122" t="s">
        <v>98</v>
      </c>
      <c r="B23" s="66"/>
      <c r="C23" s="132" t="s">
        <v>6</v>
      </c>
      <c r="D23" s="66"/>
      <c r="E23" s="123">
        <f>[1]!WMB</f>
        <v>42.25</v>
      </c>
      <c r="F23" s="66"/>
      <c r="G23" s="125">
        <v>2.08</v>
      </c>
      <c r="H23" s="133" t="s">
        <v>53</v>
      </c>
      <c r="I23" s="126">
        <f>E23/G23</f>
        <v>20.3125</v>
      </c>
      <c r="J23" s="66"/>
      <c r="K23" s="125">
        <v>1.04</v>
      </c>
      <c r="L23" s="67"/>
      <c r="M23" s="126">
        <f>E23/K23</f>
        <v>40.625</v>
      </c>
      <c r="N23" s="66"/>
      <c r="O23" s="125">
        <v>2.08</v>
      </c>
      <c r="P23" s="133" t="s">
        <v>53</v>
      </c>
      <c r="Q23" s="126">
        <f>M23/O23</f>
        <v>19.53125</v>
      </c>
      <c r="R23" s="66"/>
      <c r="S23" s="127">
        <v>0.82</v>
      </c>
      <c r="T23" s="126">
        <f>E23/S23</f>
        <v>51.524390243902445</v>
      </c>
      <c r="U23" s="128"/>
      <c r="V23" s="129">
        <f>(S23-K23)/K23</f>
        <v>-0.21153846153846162</v>
      </c>
      <c r="W23" s="130"/>
      <c r="X23" s="127">
        <v>1.0900000000000001</v>
      </c>
      <c r="Y23" s="215"/>
      <c r="Z23" s="126">
        <f t="shared" si="3"/>
        <v>38.761467889908253</v>
      </c>
      <c r="AA23" s="128"/>
      <c r="AB23" s="127">
        <v>1.1599999999999999</v>
      </c>
      <c r="AC23" s="215"/>
      <c r="AD23" s="126">
        <f t="shared" si="4"/>
        <v>36.422413793103452</v>
      </c>
      <c r="AE23" s="128"/>
      <c r="AF23" s="129">
        <f t="shared" si="5"/>
        <v>0.32926829268292701</v>
      </c>
      <c r="AG23" s="130"/>
      <c r="AH23" s="113">
        <f t="shared" si="6"/>
        <v>5.676599902296043E-2</v>
      </c>
      <c r="AI23" s="130"/>
      <c r="AJ23" s="130">
        <f t="shared" si="7"/>
        <v>1.699615853087226E-2</v>
      </c>
      <c r="AK23" s="130"/>
      <c r="AL23" s="131">
        <f t="shared" si="8"/>
        <v>0.39713701431492854</v>
      </c>
      <c r="AM23" s="29"/>
      <c r="AN23" s="134">
        <f t="shared" si="9"/>
        <v>1.4201183431952662E-2</v>
      </c>
      <c r="AO23" s="135"/>
      <c r="AP23" s="55">
        <f>[1]!'WMB,DIVIDEND'</f>
        <v>0.6</v>
      </c>
      <c r="AQ23" s="259">
        <v>36761</v>
      </c>
      <c r="AR23" s="206">
        <v>0.15</v>
      </c>
      <c r="AS23" s="43"/>
      <c r="AT23" s="183">
        <v>39.98046875</v>
      </c>
      <c r="AU23" s="43">
        <v>0.15</v>
      </c>
      <c r="AV23" s="183">
        <v>41.69140625</v>
      </c>
      <c r="AW23" s="43">
        <f>0.15+0.15+0.15</f>
        <v>0.44999999999999996</v>
      </c>
      <c r="AX23" s="183">
        <v>30.5625</v>
      </c>
    </row>
    <row r="24" spans="1:50" ht="10.5" customHeight="1" x14ac:dyDescent="0.2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6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7"/>
      <c r="AS24" s="30"/>
      <c r="AT24" s="57"/>
      <c r="AU24" s="233"/>
      <c r="AV24" s="23"/>
      <c r="AW24" s="230"/>
      <c r="AX24" s="23"/>
    </row>
    <row r="25" spans="1:50" x14ac:dyDescent="0.2">
      <c r="A25" s="122" t="s">
        <v>111</v>
      </c>
      <c r="B25" s="66"/>
      <c r="C25" s="114"/>
      <c r="D25" s="66"/>
      <c r="E25" s="123"/>
      <c r="F25" s="66"/>
      <c r="G25" s="138"/>
      <c r="H25" s="139"/>
      <c r="I25" s="140">
        <f>AVERAGE(I13:I23)</f>
        <v>17.652612425412094</v>
      </c>
      <c r="J25" s="67"/>
      <c r="K25" s="138"/>
      <c r="L25" s="139"/>
      <c r="M25" s="140">
        <f>AVERAGE(M13:M23)</f>
        <v>26.127446354366668</v>
      </c>
      <c r="N25" s="66"/>
      <c r="O25" s="138"/>
      <c r="P25" s="139"/>
      <c r="Q25" s="140">
        <f>AVERAGE(Q13:Q23)</f>
        <v>6.78483117032488</v>
      </c>
      <c r="R25" s="67"/>
      <c r="S25" s="138"/>
      <c r="T25" s="140">
        <f>AVERAGE(T13:T23)</f>
        <v>33.010013020697947</v>
      </c>
      <c r="U25" s="128"/>
      <c r="V25" s="141">
        <f>AVERAGE(V13:V23)</f>
        <v>-0.25766218133838198</v>
      </c>
      <c r="W25" s="130"/>
      <c r="X25" s="199"/>
      <c r="Y25" s="221"/>
      <c r="Z25" s="140">
        <f>AVERAGE(Z13:Z23)</f>
        <v>26.257295123312556</v>
      </c>
      <c r="AA25" s="128"/>
      <c r="AB25" s="186"/>
      <c r="AC25" s="216"/>
      <c r="AD25" s="140">
        <f>AVERAGE(AD13:AD23)</f>
        <v>22.332234407503396</v>
      </c>
      <c r="AE25" s="128"/>
      <c r="AF25" s="141">
        <f>AVERAGE(AF13:AF23)</f>
        <v>0.23030571119317472</v>
      </c>
      <c r="AG25" s="130"/>
      <c r="AH25" s="142">
        <f>AVERAGE(AH13:AH23)</f>
        <v>4.6938613829864237E-2</v>
      </c>
      <c r="AI25" s="143"/>
      <c r="AJ25" s="143">
        <f>AVERAGE(AJ13:AJ23)</f>
        <v>0.27614898352398393</v>
      </c>
      <c r="AK25" s="143"/>
      <c r="AL25" s="144">
        <f>AVERAGE(AL13:AL23)</f>
        <v>0.72517292023579205</v>
      </c>
      <c r="AM25" s="29"/>
      <c r="AN25" s="141">
        <f>AVERAGE(AN13:AN23)</f>
        <v>2.3568005155464131E-2</v>
      </c>
      <c r="AO25" s="142"/>
      <c r="AP25" s="145"/>
      <c r="AQ25" s="146"/>
      <c r="AR25" s="208"/>
      <c r="AS25" s="37"/>
      <c r="AT25" s="224"/>
      <c r="AU25" s="37"/>
      <c r="AV25" s="53"/>
      <c r="AW25" s="224"/>
      <c r="AX25" s="53"/>
    </row>
    <row r="26" spans="1:50" hidden="1" x14ac:dyDescent="0.2">
      <c r="A26" s="147" t="s">
        <v>62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4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8"/>
      <c r="AQ26" s="149"/>
      <c r="AR26" s="209"/>
      <c r="AS26" s="11"/>
    </row>
    <row r="27" spans="1:50" x14ac:dyDescent="0.2">
      <c r="A27" s="147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4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8"/>
      <c r="AQ27" s="149"/>
      <c r="AR27" s="209"/>
      <c r="AS27" s="11"/>
    </row>
    <row r="28" spans="1:50" x14ac:dyDescent="0.2">
      <c r="B28" s="33"/>
      <c r="C28" s="34"/>
      <c r="D28" s="33"/>
      <c r="E28" s="33"/>
      <c r="F28" s="33"/>
      <c r="G28" s="66"/>
      <c r="H28" s="66"/>
      <c r="I28" s="66"/>
      <c r="J28" s="66"/>
      <c r="K28" s="66"/>
      <c r="L28" s="66"/>
      <c r="M28" s="66"/>
      <c r="N28" s="33"/>
      <c r="O28" s="66"/>
      <c r="P28" s="66"/>
      <c r="Q28" s="66"/>
      <c r="R28" s="66"/>
      <c r="S28" s="66"/>
      <c r="T28" s="66"/>
      <c r="U28" s="67"/>
      <c r="V28" s="38"/>
      <c r="W28" s="12"/>
      <c r="X28" s="333">
        <v>2000</v>
      </c>
      <c r="Y28" s="334"/>
      <c r="Z28" s="335"/>
      <c r="AA28" s="66"/>
      <c r="AB28" s="333">
        <v>2001</v>
      </c>
      <c r="AC28" s="334"/>
      <c r="AD28" s="335"/>
      <c r="AE28" s="66"/>
      <c r="AF28" s="38"/>
      <c r="AG28" s="12"/>
      <c r="AH28" s="69" t="s">
        <v>23</v>
      </c>
      <c r="AI28" s="70"/>
      <c r="AJ28" s="70"/>
      <c r="AK28" s="70"/>
      <c r="AL28" s="71"/>
      <c r="AN28" s="13"/>
      <c r="AO28" s="29"/>
      <c r="AP28" s="148"/>
      <c r="AQ28" s="149"/>
      <c r="AR28" s="209"/>
      <c r="AS28" s="11"/>
    </row>
    <row r="29" spans="1:50" x14ac:dyDescent="0.2"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83" t="s">
        <v>29</v>
      </c>
      <c r="Y29" s="67"/>
      <c r="Z29" s="118"/>
      <c r="AA29" s="66"/>
      <c r="AB29" s="83" t="s">
        <v>29</v>
      </c>
      <c r="AC29" s="67"/>
      <c r="AD29" s="118"/>
      <c r="AE29" s="66"/>
      <c r="AF29" s="38"/>
      <c r="AG29" s="12"/>
      <c r="AH29" s="80" t="s">
        <v>31</v>
      </c>
      <c r="AI29" s="77"/>
      <c r="AJ29" s="77" t="s">
        <v>32</v>
      </c>
      <c r="AK29" s="77"/>
      <c r="AL29" s="81" t="s">
        <v>33</v>
      </c>
      <c r="AN29" s="82" t="s">
        <v>34</v>
      </c>
      <c r="AO29" s="29"/>
      <c r="AP29" s="148"/>
      <c r="AQ29" s="149"/>
      <c r="AR29" s="209"/>
      <c r="AS29" s="11"/>
      <c r="AT29" s="322">
        <v>36791</v>
      </c>
      <c r="AV29" s="322">
        <f>+AV5</f>
        <v>36707</v>
      </c>
      <c r="AX29" s="322" t="str">
        <f>+AX6</f>
        <v xml:space="preserve">12/31/99 Closing </v>
      </c>
    </row>
    <row r="30" spans="1:50" ht="15.75" thickBot="1" x14ac:dyDescent="0.25">
      <c r="A30" s="298" t="s">
        <v>102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70" t="s">
        <v>94</v>
      </c>
      <c r="Y30" s="265"/>
      <c r="Z30" s="271" t="s">
        <v>95</v>
      </c>
      <c r="AA30" s="291"/>
      <c r="AB30" s="270" t="s">
        <v>94</v>
      </c>
      <c r="AC30" s="265"/>
      <c r="AD30" s="271" t="s">
        <v>95</v>
      </c>
      <c r="AE30" s="265"/>
      <c r="AF30" s="292"/>
      <c r="AG30" s="292"/>
      <c r="AH30" s="287" t="s">
        <v>42</v>
      </c>
      <c r="AI30" s="288"/>
      <c r="AJ30" s="288" t="s">
        <v>43</v>
      </c>
      <c r="AK30" s="288"/>
      <c r="AL30" s="289" t="s">
        <v>43</v>
      </c>
      <c r="AM30" s="293"/>
      <c r="AN30" s="290" t="s">
        <v>44</v>
      </c>
      <c r="AO30" s="29"/>
      <c r="AP30" s="148"/>
      <c r="AQ30" s="149"/>
      <c r="AR30" s="209"/>
      <c r="AS30" s="11"/>
      <c r="AT30" s="225"/>
      <c r="AV30" s="225" t="s">
        <v>50</v>
      </c>
    </row>
    <row r="31" spans="1:50" x14ac:dyDescent="0.2">
      <c r="A31" s="180" t="str">
        <f>'[2]7-07-00'!$A$17</f>
        <v>Akamai*</v>
      </c>
      <c r="B31" s="66"/>
      <c r="C31" s="114" t="str">
        <f>'[2]7-07-00'!$B$17</f>
        <v>AKAM</v>
      </c>
      <c r="D31" s="66"/>
      <c r="E31" s="123">
        <f>[1]!AKAM.O</f>
        <v>52.515625</v>
      </c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324">
        <v>81.135999999999996</v>
      </c>
      <c r="Y31" s="67"/>
      <c r="Z31" s="273">
        <f>'[2]7-07-00'!$G$17</f>
        <v>154.66440677966102</v>
      </c>
      <c r="AA31" s="66"/>
      <c r="AB31" s="324">
        <v>184.5</v>
      </c>
      <c r="AC31" s="67"/>
      <c r="AD31" s="273">
        <f>'[2]7-07-00'!$J$17</f>
        <v>70.611666666666665</v>
      </c>
      <c r="AE31" s="66"/>
      <c r="AF31" s="38"/>
      <c r="AG31" s="12"/>
      <c r="AH31" s="113">
        <f t="shared" ref="AH31:AH40" si="10">((+AS31+E31-AT31)/AT31)</f>
        <v>-6.6388888888888886E-2</v>
      </c>
      <c r="AI31" s="266"/>
      <c r="AJ31" s="130">
        <f t="shared" ref="AJ31:AJ40" si="11">((+AU31+E31-AV31)/AV31)</f>
        <v>-0.55768866335382805</v>
      </c>
      <c r="AK31" s="12"/>
      <c r="AL31" s="131">
        <f t="shared" ref="AL31:AL40" si="12">((+AW31+E31-AX31)/AX31)</f>
        <v>-0.83970812666921024</v>
      </c>
      <c r="AM31" s="29"/>
      <c r="AN31" s="134">
        <f t="shared" ref="AN31:AN37" si="13">AP31/E31</f>
        <v>0</v>
      </c>
      <c r="AO31" s="29"/>
      <c r="AP31" s="148">
        <v>0</v>
      </c>
      <c r="AQ31" s="149"/>
      <c r="AR31" s="209"/>
      <c r="AS31" s="11"/>
      <c r="AT31" s="320">
        <v>56.25</v>
      </c>
      <c r="AV31" s="1">
        <v>118.73</v>
      </c>
      <c r="AX31" s="183">
        <v>327.625</v>
      </c>
    </row>
    <row r="32" spans="1:50" x14ac:dyDescent="0.2">
      <c r="A32" s="180" t="str">
        <f>'[2]7-07-00'!$A$19</f>
        <v>Digital Island*</v>
      </c>
      <c r="B32" s="66"/>
      <c r="C32" s="114" t="str">
        <f>'[2]7-07-00'!$B$19</f>
        <v>ISLD</v>
      </c>
      <c r="D32" s="66"/>
      <c r="E32" s="123">
        <f>[1]!ISLD.O</f>
        <v>18.75</v>
      </c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324">
        <v>55.639000000000003</v>
      </c>
      <c r="Y32" s="67"/>
      <c r="Z32" s="273">
        <f>'[2]7-07-00'!$G$19</f>
        <v>54.394945155393046</v>
      </c>
      <c r="AA32" s="66"/>
      <c r="AB32" s="324">
        <v>171.875</v>
      </c>
      <c r="AC32" s="67"/>
      <c r="AD32" s="273">
        <f>'[2]7-07-00'!$J$19</f>
        <v>18.807860303413403</v>
      </c>
      <c r="AE32" s="66"/>
      <c r="AF32" s="38"/>
      <c r="AG32" s="12"/>
      <c r="AH32" s="113">
        <f t="shared" si="10"/>
        <v>-0.21465968586387435</v>
      </c>
      <c r="AI32" s="266"/>
      <c r="AJ32" s="130">
        <f t="shared" si="11"/>
        <v>-0.6144355336212215</v>
      </c>
      <c r="AK32" s="12"/>
      <c r="AL32" s="131">
        <f t="shared" si="12"/>
        <v>-0.80289093298291725</v>
      </c>
      <c r="AM32" s="29"/>
      <c r="AN32" s="134">
        <f t="shared" si="13"/>
        <v>0</v>
      </c>
      <c r="AO32" s="29"/>
      <c r="AP32" s="148">
        <v>0</v>
      </c>
      <c r="AQ32" s="149"/>
      <c r="AR32" s="209"/>
      <c r="AS32" s="11"/>
      <c r="AT32" s="320">
        <v>23.875</v>
      </c>
      <c r="AV32" s="1">
        <v>48.63</v>
      </c>
      <c r="AX32" s="183">
        <v>95.125</v>
      </c>
    </row>
    <row r="33" spans="1:50" x14ac:dyDescent="0.2">
      <c r="A33" s="180" t="str">
        <f>'[2]7-07-00'!$A$22</f>
        <v>InterNap</v>
      </c>
      <c r="B33" s="66"/>
      <c r="C33" s="114" t="str">
        <f>'[2]7-07-00'!$B$22</f>
        <v>INAP</v>
      </c>
      <c r="D33" s="66"/>
      <c r="E33" s="123">
        <f>[1]!INAP.O</f>
        <v>32.3125</v>
      </c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324">
        <v>67.5</v>
      </c>
      <c r="Y33" s="67"/>
      <c r="Z33" s="273">
        <f>'[2]7-07-00'!$G$22</f>
        <v>86.069645765472302</v>
      </c>
      <c r="AA33" s="66"/>
      <c r="AB33" s="324">
        <v>204</v>
      </c>
      <c r="AC33" s="67"/>
      <c r="AD33" s="273">
        <f>'[2]7-07-00'!$J$22</f>
        <v>30.868436039719626</v>
      </c>
      <c r="AE33" s="66"/>
      <c r="AF33" s="38"/>
      <c r="AG33" s="12"/>
      <c r="AH33" s="113">
        <f t="shared" si="10"/>
        <v>0.13129102844638948</v>
      </c>
      <c r="AI33" s="266"/>
      <c r="AJ33" s="130">
        <f t="shared" si="11"/>
        <v>-0.22176059730250489</v>
      </c>
      <c r="AK33" s="12"/>
      <c r="AL33" s="131">
        <f t="shared" si="12"/>
        <v>-0.62644508670520227</v>
      </c>
      <c r="AM33" s="29"/>
      <c r="AN33" s="134">
        <f t="shared" si="13"/>
        <v>0</v>
      </c>
      <c r="AO33" s="29"/>
      <c r="AP33" s="148">
        <v>0</v>
      </c>
      <c r="AQ33" s="149"/>
      <c r="AR33" s="209"/>
      <c r="AS33" s="11"/>
      <c r="AT33" s="320">
        <v>28.5625</v>
      </c>
      <c r="AV33" s="1">
        <v>41.52</v>
      </c>
      <c r="AX33" s="183">
        <v>86.5</v>
      </c>
    </row>
    <row r="34" spans="1:50" x14ac:dyDescent="0.2">
      <c r="A34" s="180" t="str">
        <f>'[2]7-07-00'!$A$33</f>
        <v>Williams Communications**</v>
      </c>
      <c r="B34" s="66"/>
      <c r="C34" s="114" t="str">
        <f>'[2]7-07-00'!$B$33</f>
        <v>WCG</v>
      </c>
      <c r="D34" s="66"/>
      <c r="E34" s="123">
        <f>[1]!WCG</f>
        <v>20</v>
      </c>
      <c r="F34" s="33"/>
      <c r="G34" s="66"/>
      <c r="H34" s="66"/>
      <c r="I34" s="66"/>
      <c r="J34" s="66"/>
      <c r="K34" s="66"/>
      <c r="L34" s="66"/>
      <c r="M34" s="66"/>
      <c r="N34" s="33"/>
      <c r="O34" s="66"/>
      <c r="P34" s="66"/>
      <c r="Q34" s="66"/>
      <c r="R34" s="66"/>
      <c r="S34" s="66"/>
      <c r="T34" s="66"/>
      <c r="U34" s="67"/>
      <c r="V34" s="38"/>
      <c r="W34" s="12"/>
      <c r="X34" s="325">
        <v>2258.8780000000002</v>
      </c>
      <c r="Y34" s="302"/>
      <c r="Z34" s="273">
        <f>'[2]7-07-00'!$J$33</f>
        <v>5.7713396354166671</v>
      </c>
      <c r="AA34" s="66"/>
      <c r="AB34" s="324" t="s">
        <v>87</v>
      </c>
      <c r="AC34" s="67"/>
      <c r="AD34" s="273" t="s">
        <v>87</v>
      </c>
      <c r="AE34" s="66"/>
      <c r="AF34" s="38"/>
      <c r="AG34" s="12"/>
      <c r="AH34" s="113">
        <f t="shared" si="10"/>
        <v>3.896103896103896E-2</v>
      </c>
      <c r="AI34" s="266"/>
      <c r="AJ34" s="130">
        <f t="shared" si="11"/>
        <v>-0.3955877908733757</v>
      </c>
      <c r="AK34" s="12"/>
      <c r="AL34" s="131">
        <f t="shared" si="12"/>
        <v>-0.30885529157667385</v>
      </c>
      <c r="AM34" s="29"/>
      <c r="AN34" s="134">
        <f t="shared" si="13"/>
        <v>0</v>
      </c>
      <c r="AO34" s="29"/>
      <c r="AP34" s="148">
        <v>0</v>
      </c>
      <c r="AQ34" s="149"/>
      <c r="AR34" s="209"/>
      <c r="AS34" s="11"/>
      <c r="AT34" s="320">
        <v>19.25</v>
      </c>
      <c r="AV34" s="1">
        <v>33.090000000000003</v>
      </c>
      <c r="AX34" s="183">
        <v>28.9375</v>
      </c>
    </row>
    <row r="35" spans="1:50" x14ac:dyDescent="0.2">
      <c r="A35" s="180" t="str">
        <f>'[2]7-07-00'!$A$34</f>
        <v>Level3**</v>
      </c>
      <c r="B35" s="66"/>
      <c r="C35" s="114" t="str">
        <f>'[2]7-07-00'!$B$34</f>
        <v>LVLT</v>
      </c>
      <c r="D35" s="66"/>
      <c r="E35" s="123">
        <f>[1]!LVLT.O</f>
        <v>77.125</v>
      </c>
      <c r="F35" s="33"/>
      <c r="G35" s="66"/>
      <c r="H35" s="66"/>
      <c r="I35" s="66"/>
      <c r="J35" s="66"/>
      <c r="K35" s="66"/>
      <c r="L35" s="66"/>
      <c r="M35" s="66"/>
      <c r="N35" s="33"/>
      <c r="O35" s="66"/>
      <c r="P35" s="66"/>
      <c r="Q35" s="66"/>
      <c r="R35" s="66"/>
      <c r="S35" s="66"/>
      <c r="T35" s="66"/>
      <c r="U35" s="67"/>
      <c r="V35" s="38"/>
      <c r="W35" s="12"/>
      <c r="X35" s="325">
        <v>1132.5</v>
      </c>
      <c r="Y35" s="302"/>
      <c r="Z35" s="273">
        <f>'[2]7-07-00'!$J$34</f>
        <v>34.558799868053406</v>
      </c>
      <c r="AA35" s="66"/>
      <c r="AB35" s="324">
        <v>2066.6999999999998</v>
      </c>
      <c r="AC35" s="67"/>
      <c r="AD35" s="273" t="s">
        <v>87</v>
      </c>
      <c r="AE35" s="66"/>
      <c r="AF35" s="38"/>
      <c r="AG35" s="12"/>
      <c r="AH35" s="113">
        <f t="shared" si="10"/>
        <v>5.8319039451114926E-2</v>
      </c>
      <c r="AI35" s="266"/>
      <c r="AJ35" s="130">
        <f t="shared" si="11"/>
        <v>-0.12357954545454546</v>
      </c>
      <c r="AK35" s="12"/>
      <c r="AL35" s="131">
        <f t="shared" si="12"/>
        <v>-5.8015267175572517E-2</v>
      </c>
      <c r="AM35" s="29"/>
      <c r="AN35" s="134">
        <f t="shared" si="13"/>
        <v>0</v>
      </c>
      <c r="AO35" s="29"/>
      <c r="AP35" s="148">
        <v>0</v>
      </c>
      <c r="AQ35" s="149"/>
      <c r="AR35" s="209"/>
      <c r="AS35" s="11"/>
      <c r="AT35" s="320">
        <v>72.875</v>
      </c>
      <c r="AV35" s="1">
        <v>88</v>
      </c>
      <c r="AX35" s="183">
        <v>81.875</v>
      </c>
    </row>
    <row r="36" spans="1:50" x14ac:dyDescent="0.2">
      <c r="A36" s="180" t="str">
        <f>'[2]7-07-00'!$A$35</f>
        <v>Global Crossing**</v>
      </c>
      <c r="B36" s="66"/>
      <c r="C36" s="114" t="str">
        <f>'[2]7-07-00'!$B$35</f>
        <v>GBLX</v>
      </c>
      <c r="D36" s="66"/>
      <c r="E36" s="123">
        <f>[1]!GBLX.O</f>
        <v>31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325">
        <f>'[2]7-07-00'!$I$35</f>
        <v>4650</v>
      </c>
      <c r="Y36" s="302"/>
      <c r="Z36" s="273">
        <f>'[2]7-07-00'!$J$35</f>
        <v>4.7806383064516131</v>
      </c>
      <c r="AA36" s="66"/>
      <c r="AB36" s="324" t="s">
        <v>87</v>
      </c>
      <c r="AC36" s="67"/>
      <c r="AD36" s="273" t="s">
        <v>87</v>
      </c>
      <c r="AE36" s="66"/>
      <c r="AF36" s="38"/>
      <c r="AG36" s="12"/>
      <c r="AH36" s="113">
        <f t="shared" si="10"/>
        <v>9.7345132743362831E-2</v>
      </c>
      <c r="AI36" s="266"/>
      <c r="AJ36" s="130">
        <f t="shared" si="11"/>
        <v>0.17825921702774616</v>
      </c>
      <c r="AK36" s="12"/>
      <c r="AL36" s="131">
        <f t="shared" si="12"/>
        <v>-0.38</v>
      </c>
      <c r="AM36" s="29"/>
      <c r="AN36" s="134">
        <f t="shared" si="13"/>
        <v>0</v>
      </c>
      <c r="AO36" s="29"/>
      <c r="AP36" s="148">
        <v>0</v>
      </c>
      <c r="AQ36" s="149"/>
      <c r="AR36" s="209"/>
      <c r="AS36" s="11"/>
      <c r="AT36" s="320">
        <v>28.25</v>
      </c>
      <c r="AV36" s="1">
        <v>26.31</v>
      </c>
      <c r="AX36" s="183">
        <v>50</v>
      </c>
    </row>
    <row r="37" spans="1:50" x14ac:dyDescent="0.2">
      <c r="A37" s="180" t="str">
        <f>'[2]7-07-00'!$A$36</f>
        <v>Qwest</v>
      </c>
      <c r="B37" s="66"/>
      <c r="C37" s="114" t="str">
        <f>'[2]7-07-00'!$B$36</f>
        <v>Q</v>
      </c>
      <c r="D37" s="66"/>
      <c r="E37" s="123">
        <f>[1]!Q</f>
        <v>48.125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25">
        <v>8649.7749999999996</v>
      </c>
      <c r="Y37" s="302"/>
      <c r="Z37" s="273">
        <f>'[2]7-07-00'!$J$36</f>
        <v>17.517848839462161</v>
      </c>
      <c r="AA37" s="66"/>
      <c r="AB37" s="324">
        <v>10213.5</v>
      </c>
      <c r="AC37" s="67"/>
      <c r="AD37" s="273" t="s">
        <v>87</v>
      </c>
      <c r="AE37" s="66"/>
      <c r="AF37" s="38"/>
      <c r="AG37" s="12"/>
      <c r="AH37" s="113">
        <f t="shared" si="10"/>
        <v>0</v>
      </c>
      <c r="AI37" s="266"/>
      <c r="AJ37" s="130">
        <f t="shared" si="11"/>
        <v>-3.1495270678204824E-2</v>
      </c>
      <c r="AK37" s="12"/>
      <c r="AL37" s="131">
        <f t="shared" si="12"/>
        <v>0.11918604651162791</v>
      </c>
      <c r="AM37" s="29"/>
      <c r="AN37" s="134">
        <f t="shared" si="13"/>
        <v>0</v>
      </c>
      <c r="AO37" s="29"/>
      <c r="AP37" s="148">
        <v>0</v>
      </c>
      <c r="AQ37" s="149"/>
      <c r="AR37" s="209"/>
      <c r="AS37" s="11"/>
      <c r="AT37" s="320">
        <v>48.125</v>
      </c>
      <c r="AV37" s="1">
        <v>49.69</v>
      </c>
      <c r="AX37" s="183">
        <v>43</v>
      </c>
    </row>
    <row r="38" spans="1:50" x14ac:dyDescent="0.2">
      <c r="A38" s="180" t="str">
        <f>'[2]7-07-00'!$A$56</f>
        <v>Ariba</v>
      </c>
      <c r="B38" s="66"/>
      <c r="C38" s="114" t="str">
        <f>'[2]7-07-00'!$B$56</f>
        <v>ARBA</v>
      </c>
      <c r="D38" s="66"/>
      <c r="E38" s="123">
        <f>[1]!ARBA.O</f>
        <v>143.265625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24">
        <v>244.75</v>
      </c>
      <c r="Y38" s="67"/>
      <c r="Z38" s="273">
        <f>'[2]7-07-00'!$G$56</f>
        <v>127.34589430306534</v>
      </c>
      <c r="AA38" s="66"/>
      <c r="AB38" s="324">
        <v>550.54999999999995</v>
      </c>
      <c r="AC38" s="67"/>
      <c r="AD38" s="273">
        <f>'[2]7-07-00'!$J$56</f>
        <v>66.160171649639409</v>
      </c>
      <c r="AE38" s="66"/>
      <c r="AF38" s="38"/>
      <c r="AG38" s="12"/>
      <c r="AH38" s="113">
        <f t="shared" si="10"/>
        <v>-0.15101851851851852</v>
      </c>
      <c r="AI38" s="266"/>
      <c r="AJ38" s="130">
        <f t="shared" si="11"/>
        <v>0.46114864864864868</v>
      </c>
      <c r="AK38" s="12"/>
      <c r="AL38" s="131">
        <f t="shared" si="12"/>
        <v>0.61539816772374911</v>
      </c>
      <c r="AM38" s="29"/>
      <c r="AN38" s="134">
        <f>AP38/E38</f>
        <v>0</v>
      </c>
      <c r="AO38" s="29"/>
      <c r="AP38" s="148">
        <v>0</v>
      </c>
      <c r="AQ38" s="149"/>
      <c r="AR38" s="209"/>
      <c r="AS38" s="11"/>
      <c r="AT38" s="320">
        <v>168.75</v>
      </c>
      <c r="AV38" s="1">
        <v>98.05</v>
      </c>
      <c r="AX38" s="183">
        <v>88.6875</v>
      </c>
    </row>
    <row r="39" spans="1:50" x14ac:dyDescent="0.2">
      <c r="A39" s="180" t="str">
        <f>'[2]7-07-00'!$A$57</f>
        <v>Commerce One</v>
      </c>
      <c r="B39" s="66"/>
      <c r="C39" s="114" t="str">
        <f>'[2]7-07-00'!$B$57</f>
        <v>CMRC</v>
      </c>
      <c r="D39" s="66"/>
      <c r="E39" s="123">
        <f>[1]!CMRC.O</f>
        <v>78.5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24">
        <v>267.721</v>
      </c>
      <c r="Y39" s="67"/>
      <c r="Z39" s="273">
        <f>'[2]7-07-00'!$G$57</f>
        <v>28.115766558591936</v>
      </c>
      <c r="AA39" s="66"/>
      <c r="AB39" s="324">
        <v>449.83800000000002</v>
      </c>
      <c r="AC39" s="67"/>
      <c r="AD39" s="273">
        <f>'[2]7-07-00'!$J$57</f>
        <v>15.175484999999998</v>
      </c>
      <c r="AE39" s="66"/>
      <c r="AF39" s="38"/>
      <c r="AG39" s="12"/>
      <c r="AH39" s="113">
        <f t="shared" si="10"/>
        <v>3.6303630363036306E-2</v>
      </c>
      <c r="AI39" s="266"/>
      <c r="AJ39" s="130">
        <f t="shared" si="11"/>
        <v>0.72983693256941373</v>
      </c>
      <c r="AK39" s="12"/>
      <c r="AL39" s="131">
        <f t="shared" si="12"/>
        <v>-0.2010178117048346</v>
      </c>
      <c r="AM39" s="29"/>
      <c r="AN39" s="134">
        <f>AP39/E39</f>
        <v>0</v>
      </c>
      <c r="AO39" s="29"/>
      <c r="AP39" s="148">
        <v>0</v>
      </c>
      <c r="AQ39" s="149"/>
      <c r="AR39" s="209"/>
      <c r="AS39" s="11"/>
      <c r="AT39" s="320">
        <v>75.75</v>
      </c>
      <c r="AV39" s="1">
        <v>45.38</v>
      </c>
      <c r="AX39" s="183">
        <v>98.25</v>
      </c>
    </row>
    <row r="40" spans="1:50" x14ac:dyDescent="0.2">
      <c r="A40" s="180" t="str">
        <f>'[2]7-07-00'!$A$58</f>
        <v>i2</v>
      </c>
      <c r="B40" s="66"/>
      <c r="C40" s="114" t="str">
        <f>'[2]7-07-00'!$B$58</f>
        <v>ITWO</v>
      </c>
      <c r="D40" s="66"/>
      <c r="E40" s="123">
        <f>[1]!ITWO.O</f>
        <v>187.0625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24">
        <v>1016.8630000000001</v>
      </c>
      <c r="Y40" s="67"/>
      <c r="Z40" s="273">
        <f>'[2]7-07-00'!$G$58</f>
        <v>22.470536133871551</v>
      </c>
      <c r="AA40" s="66"/>
      <c r="AB40" s="324">
        <v>1471.788</v>
      </c>
      <c r="AC40" s="67"/>
      <c r="AD40" s="273">
        <f>'[2]7-07-00'!$J$58</f>
        <v>16.794216442273054</v>
      </c>
      <c r="AE40" s="66"/>
      <c r="AF40" s="38"/>
      <c r="AG40" s="12"/>
      <c r="AH40" s="113">
        <f t="shared" si="10"/>
        <v>4.6995636119503189E-3</v>
      </c>
      <c r="AI40" s="266"/>
      <c r="AJ40" s="130">
        <f t="shared" si="11"/>
        <v>0.79402033183082388</v>
      </c>
      <c r="AK40" s="12"/>
      <c r="AL40" s="131">
        <f t="shared" si="12"/>
        <v>0.91858974358974355</v>
      </c>
      <c r="AM40" s="29"/>
      <c r="AN40" s="134">
        <f>AP40/E40</f>
        <v>0</v>
      </c>
      <c r="AO40" s="29"/>
      <c r="AP40" s="148">
        <v>0</v>
      </c>
      <c r="AQ40" s="149"/>
      <c r="AR40" s="209"/>
      <c r="AS40" s="11"/>
      <c r="AT40" s="320">
        <v>186.1875</v>
      </c>
      <c r="AV40" s="1">
        <v>104.27</v>
      </c>
      <c r="AX40" s="183">
        <v>97.5</v>
      </c>
    </row>
    <row r="41" spans="1:50" x14ac:dyDescent="0.2">
      <c r="A41" s="180"/>
      <c r="B41" s="66"/>
      <c r="C41" s="114"/>
      <c r="D41" s="66"/>
      <c r="E41" s="263"/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274"/>
      <c r="Y41" s="302"/>
      <c r="Z41" s="273"/>
      <c r="AA41" s="66"/>
      <c r="AB41" s="272"/>
      <c r="AC41" s="67"/>
      <c r="AD41" s="273"/>
      <c r="AE41" s="66"/>
      <c r="AF41" s="38"/>
      <c r="AG41" s="12"/>
      <c r="AH41" s="279"/>
      <c r="AI41" s="266"/>
      <c r="AJ41" s="267"/>
      <c r="AK41" s="12"/>
      <c r="AL41" s="280"/>
      <c r="AM41" s="29"/>
      <c r="AN41" s="134"/>
      <c r="AO41" s="29"/>
      <c r="AP41" s="148"/>
      <c r="AQ41" s="149"/>
      <c r="AR41" s="209"/>
      <c r="AS41" s="11"/>
    </row>
    <row r="42" spans="1:50" x14ac:dyDescent="0.2">
      <c r="A42" s="180" t="s">
        <v>99</v>
      </c>
      <c r="B42" s="66"/>
      <c r="C42" s="114"/>
      <c r="D42" s="66"/>
      <c r="E42" s="263"/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275"/>
      <c r="Y42" s="139"/>
      <c r="Z42" s="276"/>
      <c r="AA42" s="66"/>
      <c r="AB42" s="277"/>
      <c r="AC42" s="139"/>
      <c r="AD42" s="278"/>
      <c r="AE42" s="66"/>
      <c r="AF42" s="38"/>
      <c r="AG42" s="12"/>
      <c r="AH42" s="281">
        <f>AVERAGE(AH31:AH40)</f>
        <v>-6.5147659694388934E-3</v>
      </c>
      <c r="AI42" s="282"/>
      <c r="AJ42" s="283">
        <f>AVERAGE(AJ31:AJ40)</f>
        <v>2.1871772879295193E-2</v>
      </c>
      <c r="AK42" s="284"/>
      <c r="AL42" s="285">
        <f>AVERAGE(AL31:AL40)</f>
        <v>-0.15637585589892905</v>
      </c>
      <c r="AM42" s="29"/>
      <c r="AN42" s="286">
        <f>AVERAGE(AN31:AN40)</f>
        <v>0</v>
      </c>
      <c r="AO42" s="29"/>
      <c r="AP42" s="148"/>
      <c r="AQ42" s="149"/>
      <c r="AR42" s="209"/>
      <c r="AS42" s="11"/>
    </row>
    <row r="43" spans="1:50" x14ac:dyDescent="0.2">
      <c r="A43" s="180"/>
      <c r="B43" s="66"/>
      <c r="C43" s="114"/>
      <c r="D43" s="66"/>
      <c r="E43" s="263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9"/>
      <c r="Y43" s="66"/>
      <c r="Z43" s="200"/>
      <c r="AA43" s="66"/>
      <c r="AB43" s="263"/>
      <c r="AC43" s="66"/>
      <c r="AD43" s="263"/>
      <c r="AE43" s="66"/>
      <c r="AF43" s="38"/>
      <c r="AG43" s="12"/>
      <c r="AH43" s="266"/>
      <c r="AI43" s="266"/>
      <c r="AJ43" s="267"/>
      <c r="AK43" s="12"/>
      <c r="AL43" s="267"/>
      <c r="AM43" s="29"/>
      <c r="AN43" s="268"/>
      <c r="AO43" s="29"/>
      <c r="AP43" s="148"/>
      <c r="AQ43" s="149"/>
      <c r="AR43" s="209"/>
      <c r="AS43" s="11"/>
    </row>
    <row r="44" spans="1:50" x14ac:dyDescent="0.2">
      <c r="A44" s="264"/>
      <c r="B44" s="33"/>
      <c r="C44" s="34"/>
      <c r="D44" s="33"/>
      <c r="E44" s="33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33"/>
      <c r="S44" s="33"/>
      <c r="T44" s="33"/>
      <c r="U44" s="33"/>
      <c r="V44" s="33"/>
      <c r="W44" s="33"/>
      <c r="X44" s="330" t="s">
        <v>105</v>
      </c>
      <c r="Y44" s="331"/>
      <c r="Z44" s="331"/>
      <c r="AA44" s="331"/>
      <c r="AB44" s="332"/>
      <c r="AC44" s="67"/>
      <c r="AD44" s="194"/>
      <c r="AE44" s="66"/>
      <c r="AF44" s="38"/>
      <c r="AG44" s="12"/>
      <c r="AH44" s="12"/>
      <c r="AI44" s="12"/>
      <c r="AJ44" s="12"/>
      <c r="AK44" s="12"/>
      <c r="AL44" s="38"/>
      <c r="AM44" s="29"/>
      <c r="AN44" s="29"/>
      <c r="AO44" s="29"/>
      <c r="AP44" s="148"/>
      <c r="AQ44" s="149"/>
      <c r="AR44" s="209"/>
      <c r="AS44" s="11"/>
    </row>
    <row r="45" spans="1:50" ht="16.5" thickBot="1" x14ac:dyDescent="0.3">
      <c r="A45" s="294" t="s">
        <v>7</v>
      </c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6" t="s">
        <v>103</v>
      </c>
      <c r="Y45" s="156"/>
      <c r="Z45" s="44"/>
      <c r="AA45" s="44"/>
      <c r="AB45" s="306" t="s">
        <v>104</v>
      </c>
      <c r="AC45" s="67"/>
      <c r="AD45" s="194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8"/>
      <c r="AQ45" s="149"/>
      <c r="AR45" s="209"/>
      <c r="AS45" s="11"/>
    </row>
    <row r="46" spans="1:50" x14ac:dyDescent="0.2">
      <c r="A46" s="147" t="s">
        <v>91</v>
      </c>
      <c r="B46" s="33"/>
      <c r="C46" s="34"/>
      <c r="D46" s="33"/>
      <c r="E46" s="33"/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299">
        <f>AVERAGE(X64:X82)</f>
        <v>1.4110526315789469</v>
      </c>
      <c r="Y46" s="66"/>
      <c r="Z46" s="66"/>
      <c r="AA46" s="66"/>
      <c r="AB46" s="299">
        <f>AVERAGE(AB64:AB82)</f>
        <v>1.6405263157894736</v>
      </c>
      <c r="AC46" s="66"/>
      <c r="AD46" s="194"/>
      <c r="AE46" s="66"/>
      <c r="AF46" s="38"/>
      <c r="AG46" s="12"/>
      <c r="AH46" s="12"/>
      <c r="AI46" s="12"/>
      <c r="AJ46" s="12"/>
      <c r="AK46" s="12"/>
      <c r="AL46" s="38"/>
      <c r="AM46" s="29"/>
      <c r="AN46" s="29"/>
      <c r="AO46" s="29"/>
      <c r="AP46" s="148"/>
      <c r="AQ46" s="149"/>
      <c r="AR46" s="209"/>
      <c r="AS46" s="11"/>
    </row>
    <row r="47" spans="1:50" x14ac:dyDescent="0.2">
      <c r="A47" s="147" t="s">
        <v>92</v>
      </c>
      <c r="B47" s="33"/>
      <c r="C47" s="34"/>
      <c r="D47" s="33"/>
      <c r="E47" s="33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99">
        <f>MAX(X64:X82)</f>
        <v>1.5</v>
      </c>
      <c r="Y47" s="66"/>
      <c r="Z47" s="66"/>
      <c r="AA47" s="66"/>
      <c r="AB47" s="299">
        <f>MAX(AB64:AB82)</f>
        <v>1.75</v>
      </c>
      <c r="AC47" s="66"/>
      <c r="AD47" s="194"/>
      <c r="AE47" s="66"/>
      <c r="AF47" s="38"/>
      <c r="AG47" s="12"/>
      <c r="AH47" s="12"/>
      <c r="AI47" s="12"/>
      <c r="AJ47" s="12"/>
      <c r="AK47" s="12"/>
      <c r="AL47" s="38"/>
      <c r="AM47" s="29"/>
      <c r="AN47" s="29"/>
      <c r="AO47" s="29"/>
      <c r="AP47" s="148"/>
      <c r="AQ47" s="149"/>
      <c r="AR47" s="209"/>
      <c r="AS47" s="11"/>
    </row>
    <row r="48" spans="1:50" x14ac:dyDescent="0.2">
      <c r="A48" s="147" t="s">
        <v>93</v>
      </c>
      <c r="B48" s="33"/>
      <c r="C48" s="34"/>
      <c r="D48" s="33"/>
      <c r="E48" s="33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300">
        <f>MIN(X64:X82)</f>
        <v>1.38</v>
      </c>
      <c r="Y48" s="66"/>
      <c r="Z48" s="66"/>
      <c r="AA48" s="66"/>
      <c r="AB48" s="300">
        <f>MIN(AB64:AB82)</f>
        <v>1.53</v>
      </c>
      <c r="AC48" s="66"/>
      <c r="AD48" s="194"/>
      <c r="AE48" s="66"/>
      <c r="AF48" s="38"/>
      <c r="AG48" s="12"/>
      <c r="AH48" s="12"/>
      <c r="AI48" s="12"/>
      <c r="AJ48" s="12"/>
      <c r="AK48" s="12"/>
      <c r="AL48" s="38"/>
      <c r="AM48" s="29"/>
      <c r="AN48" s="29"/>
      <c r="AO48" s="29"/>
      <c r="AP48" s="148"/>
      <c r="AQ48" s="149"/>
      <c r="AR48" s="209"/>
      <c r="AS48" s="11"/>
    </row>
    <row r="49" spans="1:50" ht="10.5" customHeight="1" x14ac:dyDescent="0.2">
      <c r="A49" s="33"/>
      <c r="B49" s="33"/>
      <c r="C49" s="34"/>
      <c r="D49" s="33"/>
      <c r="E49" s="123"/>
      <c r="F49" s="33"/>
      <c r="G49" s="35"/>
      <c r="H49" s="36"/>
      <c r="I49" s="31"/>
      <c r="J49" s="66"/>
      <c r="K49" s="35"/>
      <c r="L49" s="10"/>
      <c r="M49" s="31"/>
      <c r="N49" s="33"/>
      <c r="O49" s="35"/>
      <c r="P49" s="36"/>
      <c r="Q49" s="10"/>
      <c r="R49" s="67"/>
      <c r="S49" s="10"/>
      <c r="T49" s="10"/>
      <c r="U49" s="10"/>
      <c r="V49" s="130"/>
      <c r="W49" s="130"/>
      <c r="X49" s="10"/>
      <c r="Y49" s="10"/>
      <c r="Z49" s="10"/>
      <c r="AA49" s="10"/>
      <c r="AB49" s="10"/>
      <c r="AC49" s="10"/>
      <c r="AD49" s="304"/>
      <c r="AE49" s="10"/>
      <c r="AF49" s="130"/>
      <c r="AG49" s="130"/>
      <c r="AH49" s="130"/>
      <c r="AI49" s="130"/>
      <c r="AJ49" s="130"/>
      <c r="AK49" s="130"/>
      <c r="AL49" s="130"/>
      <c r="AM49" s="11"/>
      <c r="AN49" s="130"/>
      <c r="AO49" s="130"/>
      <c r="AP49" s="305"/>
      <c r="AQ49" s="137"/>
      <c r="AR49" s="207"/>
      <c r="AS49" s="30"/>
      <c r="AT49" s="57"/>
      <c r="AU49" s="233"/>
      <c r="AV49" s="23"/>
      <c r="AW49" s="230"/>
      <c r="AX49" s="23"/>
    </row>
    <row r="50" spans="1:50" x14ac:dyDescent="0.2">
      <c r="A50" s="301" t="s">
        <v>101</v>
      </c>
      <c r="B50" s="33"/>
      <c r="C50" s="34"/>
      <c r="D50" s="33"/>
      <c r="E50" s="33"/>
      <c r="F50" s="33"/>
      <c r="G50" s="66"/>
      <c r="H50" s="66"/>
      <c r="I50" s="66"/>
      <c r="J50" s="66"/>
      <c r="K50" s="66"/>
      <c r="L50" s="66"/>
      <c r="M50" s="66"/>
      <c r="N50" s="33"/>
      <c r="O50" s="66"/>
      <c r="P50" s="66"/>
      <c r="Q50" s="66"/>
      <c r="R50" s="66"/>
      <c r="S50" s="66"/>
      <c r="T50" s="66"/>
      <c r="U50" s="67"/>
      <c r="V50" s="38"/>
      <c r="W50" s="12"/>
      <c r="X50" s="263"/>
      <c r="Y50" s="66"/>
      <c r="Z50" s="66"/>
      <c r="AA50" s="66"/>
      <c r="AB50" s="263"/>
      <c r="AC50" s="66"/>
      <c r="AD50" s="194"/>
      <c r="AE50" s="66"/>
      <c r="AF50" s="38"/>
      <c r="AG50" s="12"/>
      <c r="AH50" s="12"/>
      <c r="AI50" s="12"/>
      <c r="AJ50" s="12"/>
      <c r="AK50" s="12"/>
      <c r="AL50" s="38"/>
      <c r="AM50" s="29"/>
      <c r="AN50" s="29"/>
      <c r="AO50" s="29"/>
      <c r="AP50" s="148"/>
      <c r="AQ50" s="149"/>
      <c r="AR50" s="209"/>
      <c r="AS50" s="11"/>
    </row>
    <row r="51" spans="1:50" x14ac:dyDescent="0.2">
      <c r="A51" s="301" t="s">
        <v>116</v>
      </c>
      <c r="B51" s="33"/>
      <c r="C51" s="34"/>
      <c r="D51" s="33"/>
      <c r="E51" s="33"/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263"/>
      <c r="Y51" s="66"/>
      <c r="Z51" s="66"/>
      <c r="AA51" s="66"/>
      <c r="AB51" s="263"/>
      <c r="AC51" s="66"/>
      <c r="AD51" s="194"/>
      <c r="AE51" s="66"/>
      <c r="AF51" s="38"/>
      <c r="AG51" s="12"/>
      <c r="AH51" s="12"/>
      <c r="AI51" s="12"/>
      <c r="AJ51" s="12"/>
      <c r="AK51" s="12"/>
      <c r="AL51" s="38"/>
      <c r="AM51" s="29"/>
      <c r="AN51" s="29"/>
      <c r="AO51" s="29"/>
      <c r="AP51" s="148"/>
      <c r="AQ51" s="149"/>
      <c r="AR51" s="209"/>
      <c r="AS51" s="11"/>
    </row>
    <row r="52" spans="1:50" x14ac:dyDescent="0.2">
      <c r="A52" s="301" t="s">
        <v>108</v>
      </c>
      <c r="B52" s="33"/>
      <c r="C52" s="34"/>
      <c r="D52" s="33"/>
      <c r="E52" s="3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263"/>
      <c r="Y52" s="66"/>
      <c r="Z52" s="66"/>
      <c r="AA52" s="66"/>
      <c r="AB52" s="263"/>
      <c r="AC52" s="66"/>
      <c r="AD52" s="194"/>
      <c r="AE52" s="66"/>
      <c r="AF52" s="38"/>
      <c r="AG52" s="12"/>
      <c r="AH52" s="12"/>
      <c r="AI52" s="12"/>
      <c r="AJ52" s="12"/>
      <c r="AK52" s="12"/>
      <c r="AL52" s="38"/>
      <c r="AM52" s="29"/>
      <c r="AN52" s="29"/>
      <c r="AO52" s="29"/>
      <c r="AP52" s="148"/>
      <c r="AQ52" s="149"/>
      <c r="AR52" s="209"/>
      <c r="AS52" s="11"/>
    </row>
    <row r="53" spans="1:50" x14ac:dyDescent="0.2">
      <c r="A53" s="301" t="s">
        <v>118</v>
      </c>
      <c r="B53" s="33"/>
      <c r="C53" s="34"/>
      <c r="D53" s="33"/>
      <c r="E53" s="33"/>
      <c r="F53" s="33"/>
      <c r="G53" s="66"/>
      <c r="H53" s="66"/>
      <c r="I53" s="66"/>
      <c r="J53" s="66"/>
      <c r="K53" s="66"/>
      <c r="L53" s="66"/>
      <c r="M53" s="66"/>
      <c r="N53" s="33"/>
      <c r="O53" s="66"/>
      <c r="P53" s="66"/>
      <c r="Q53" s="66"/>
      <c r="R53" s="66"/>
      <c r="S53" s="66"/>
      <c r="T53" s="66"/>
      <c r="U53" s="67"/>
      <c r="V53" s="38"/>
      <c r="W53" s="12"/>
      <c r="X53" s="66"/>
      <c r="Y53" s="66"/>
      <c r="Z53" s="66"/>
      <c r="AA53" s="66"/>
      <c r="AB53" s="66"/>
      <c r="AC53" s="66"/>
      <c r="AD53" s="194"/>
      <c r="AE53" s="66"/>
      <c r="AF53" s="38"/>
      <c r="AG53" s="12"/>
      <c r="AH53" s="12"/>
      <c r="AI53" s="12"/>
      <c r="AJ53" s="12"/>
      <c r="AK53" s="12"/>
      <c r="AL53" s="38"/>
      <c r="AM53" s="29"/>
      <c r="AN53" s="29"/>
      <c r="AO53" s="29"/>
      <c r="AP53" s="148"/>
      <c r="AQ53" s="149"/>
      <c r="AR53" s="209"/>
      <c r="AS53" s="11"/>
    </row>
    <row r="54" spans="1:50" x14ac:dyDescent="0.2">
      <c r="A54" s="147"/>
      <c r="B54" s="33"/>
      <c r="C54" s="34"/>
      <c r="D54" s="33"/>
      <c r="E54" s="33"/>
      <c r="F54" s="33"/>
      <c r="G54" s="66"/>
      <c r="H54" s="66"/>
      <c r="I54" s="66"/>
      <c r="J54" s="66"/>
      <c r="K54" s="66"/>
      <c r="L54" s="66"/>
      <c r="M54" s="66"/>
      <c r="N54" s="33"/>
      <c r="O54" s="66"/>
      <c r="P54" s="66"/>
      <c r="Q54" s="66"/>
      <c r="R54" s="66"/>
      <c r="S54" s="66"/>
      <c r="T54" s="66"/>
      <c r="U54" s="67"/>
      <c r="V54" s="38"/>
      <c r="W54" s="12"/>
      <c r="X54" s="66"/>
      <c r="Y54" s="66"/>
      <c r="Z54" s="66"/>
      <c r="AA54" s="66"/>
      <c r="AB54" s="66"/>
      <c r="AC54" s="66"/>
      <c r="AD54" s="194"/>
      <c r="AE54" s="66"/>
      <c r="AF54" s="38"/>
      <c r="AG54" s="12"/>
      <c r="AH54" s="12"/>
      <c r="AI54" s="12"/>
      <c r="AJ54" s="12"/>
      <c r="AK54" s="12"/>
      <c r="AL54" s="38"/>
      <c r="AM54" s="29"/>
      <c r="AN54" s="29"/>
      <c r="AO54" s="29"/>
      <c r="AP54" s="148"/>
      <c r="AQ54" s="149"/>
      <c r="AR54" s="209"/>
      <c r="AS54" s="11"/>
    </row>
    <row r="55" spans="1:50" x14ac:dyDescent="0.2">
      <c r="A55" s="147"/>
      <c r="B55" s="33"/>
      <c r="C55" s="34"/>
      <c r="D55" s="33"/>
      <c r="E55" s="33"/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66"/>
      <c r="Y55" s="66"/>
      <c r="Z55" s="66"/>
      <c r="AA55" s="66"/>
      <c r="AB55" s="66"/>
      <c r="AC55" s="66"/>
      <c r="AD55" s="194"/>
      <c r="AE55" s="66"/>
      <c r="AF55" s="38"/>
      <c r="AG55" s="12"/>
      <c r="AH55" s="12"/>
      <c r="AI55" s="12"/>
      <c r="AJ55" s="12"/>
      <c r="AK55" s="12"/>
      <c r="AL55" s="38"/>
      <c r="AM55" s="29"/>
      <c r="AN55" s="29"/>
      <c r="AO55" s="29"/>
      <c r="AP55" s="148"/>
      <c r="AQ55" s="149"/>
      <c r="AR55" s="209"/>
      <c r="AS55" s="11"/>
    </row>
    <row r="56" spans="1:50" x14ac:dyDescent="0.2">
      <c r="A56" s="147"/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66"/>
      <c r="Y56" s="66"/>
      <c r="Z56" s="66"/>
      <c r="AA56" s="66"/>
      <c r="AB56" s="66"/>
      <c r="AC56" s="66"/>
      <c r="AD56" s="194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8"/>
      <c r="AQ56" s="149"/>
      <c r="AR56" s="209"/>
      <c r="AS56" s="11"/>
    </row>
    <row r="57" spans="1:50" x14ac:dyDescent="0.2">
      <c r="A57" s="147"/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66"/>
      <c r="Y57" s="66"/>
      <c r="Z57" s="66"/>
      <c r="AA57" s="66"/>
      <c r="AB57" s="66"/>
      <c r="AC57" s="66"/>
      <c r="AD57" s="194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8"/>
      <c r="AQ57" s="149"/>
      <c r="AR57" s="209"/>
      <c r="AS57" s="11"/>
    </row>
    <row r="58" spans="1:50" x14ac:dyDescent="0.2">
      <c r="A58" s="147"/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X58" s="66"/>
      <c r="Y58" s="66"/>
      <c r="Z58" s="66"/>
      <c r="AA58" s="66"/>
      <c r="AB58" s="66"/>
      <c r="AC58" s="66"/>
      <c r="AD58" s="194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8"/>
      <c r="AQ58" s="149"/>
      <c r="AR58" s="209"/>
      <c r="AS58" s="11"/>
    </row>
    <row r="59" spans="1:50" x14ac:dyDescent="0.2">
      <c r="A59" s="147"/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X59" s="66"/>
      <c r="Y59" s="66"/>
      <c r="Z59" s="66"/>
      <c r="AA59" s="66"/>
      <c r="AB59" s="66"/>
      <c r="AC59" s="66"/>
      <c r="AD59" s="194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8"/>
      <c r="AQ59" s="149"/>
      <c r="AR59" s="209"/>
      <c r="AS59" s="11"/>
    </row>
    <row r="60" spans="1:50" ht="18" customHeight="1" x14ac:dyDescent="0.2">
      <c r="A60" s="122"/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200"/>
      <c r="AA60" s="66"/>
      <c r="AB60" s="66"/>
      <c r="AC60" s="66"/>
      <c r="AD60" s="194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8"/>
      <c r="AQ60" s="149"/>
      <c r="AR60" s="209"/>
      <c r="AS60" s="11"/>
    </row>
    <row r="61" spans="1:50" ht="9.75" customHeight="1" x14ac:dyDescent="0.25">
      <c r="A61" s="54"/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7"/>
      <c r="U61" s="67"/>
      <c r="V61" s="12"/>
      <c r="W61" s="12"/>
      <c r="X61" s="67"/>
      <c r="Y61" s="67"/>
      <c r="Z61" s="66"/>
      <c r="AA61" s="66"/>
      <c r="AB61" s="139"/>
      <c r="AC61" s="67"/>
      <c r="AD61" s="66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8"/>
      <c r="AQ61" s="149"/>
      <c r="AR61" s="209"/>
      <c r="AS61" s="11"/>
    </row>
    <row r="62" spans="1:50" ht="15.75" x14ac:dyDescent="0.25">
      <c r="A62" s="150" t="s">
        <v>7</v>
      </c>
      <c r="B62" s="151"/>
      <c r="C62" s="152"/>
      <c r="D62" s="75"/>
      <c r="E62" s="153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154" t="s">
        <v>8</v>
      </c>
      <c r="T62" s="191"/>
      <c r="U62" s="191"/>
      <c r="V62" s="191"/>
      <c r="W62" s="191"/>
      <c r="X62" s="154" t="s">
        <v>69</v>
      </c>
      <c r="Y62" s="154"/>
      <c r="Z62" s="191"/>
      <c r="AA62" s="191"/>
      <c r="AB62" s="193" t="s">
        <v>78</v>
      </c>
      <c r="AC62" s="217"/>
      <c r="AD62" s="48"/>
      <c r="AE62" s="48"/>
      <c r="AF62" s="48"/>
      <c r="AG62" s="44"/>
      <c r="AH62" s="44"/>
      <c r="AI62" s="44"/>
      <c r="AJ62" s="54"/>
      <c r="AK62" s="44"/>
      <c r="AL62" s="54"/>
      <c r="AM62" s="54"/>
      <c r="AN62" s="54"/>
      <c r="AR62" s="210"/>
    </row>
    <row r="63" spans="1:50" ht="12.75" customHeight="1" x14ac:dyDescent="0.25">
      <c r="A63" s="155" t="s">
        <v>9</v>
      </c>
      <c r="B63" s="188"/>
      <c r="C63" s="188"/>
      <c r="D63" s="188"/>
      <c r="E63" s="18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156" t="s">
        <v>10</v>
      </c>
      <c r="T63" s="44"/>
      <c r="U63" s="44"/>
      <c r="V63" s="44"/>
      <c r="W63" s="44"/>
      <c r="X63" s="156" t="s">
        <v>10</v>
      </c>
      <c r="Y63" s="156"/>
      <c r="Z63" s="44"/>
      <c r="AA63" s="44"/>
      <c r="AB63" s="157" t="s">
        <v>10</v>
      </c>
      <c r="AC63" s="156"/>
      <c r="AD63" s="48"/>
      <c r="AE63" s="48"/>
      <c r="AF63" s="48"/>
      <c r="AG63" s="44"/>
      <c r="AH63" s="44"/>
      <c r="AI63" s="44"/>
      <c r="AJ63" s="49"/>
      <c r="AK63" s="44"/>
      <c r="AL63" s="49"/>
      <c r="AM63" s="49"/>
      <c r="AN63" s="49"/>
    </row>
    <row r="64" spans="1:50" ht="15.75" x14ac:dyDescent="0.25">
      <c r="A64" s="158" t="s">
        <v>11</v>
      </c>
      <c r="B64" s="187"/>
      <c r="C64" s="187"/>
      <c r="D64" s="187"/>
      <c r="E64" s="187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159">
        <v>2</v>
      </c>
      <c r="T64" s="44"/>
      <c r="U64" s="44"/>
      <c r="V64" s="44"/>
      <c r="W64" s="44"/>
      <c r="X64" s="222">
        <v>1.4</v>
      </c>
      <c r="Y64" s="189"/>
      <c r="Z64" s="44"/>
      <c r="AA64" s="44"/>
      <c r="AB64" s="160">
        <v>1.65</v>
      </c>
      <c r="AC64" s="190"/>
      <c r="AD64" s="48"/>
      <c r="AE64" s="48"/>
      <c r="AF64" s="48"/>
      <c r="AG64" s="44"/>
      <c r="AH64" s="44"/>
      <c r="AI64" s="44"/>
      <c r="AJ64" s="49"/>
      <c r="AK64" s="44"/>
      <c r="AL64" s="49"/>
      <c r="AM64" s="49"/>
      <c r="AN64" s="49"/>
    </row>
    <row r="65" spans="1:44" ht="15.75" x14ac:dyDescent="0.25">
      <c r="A65" s="158" t="s">
        <v>72</v>
      </c>
      <c r="B65" s="187"/>
      <c r="C65" s="187"/>
      <c r="D65" s="187"/>
      <c r="E65" s="187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159">
        <v>2</v>
      </c>
      <c r="T65" s="44"/>
      <c r="U65" s="44"/>
      <c r="V65" s="44"/>
      <c r="W65" s="44"/>
      <c r="X65" s="190">
        <v>1.4</v>
      </c>
      <c r="Y65" s="190"/>
      <c r="Z65" s="44"/>
      <c r="AA65" s="44"/>
      <c r="AB65" s="160">
        <v>1.6</v>
      </c>
      <c r="AC65" s="190"/>
      <c r="AD65" s="48"/>
      <c r="AE65" s="48"/>
      <c r="AF65" s="48"/>
      <c r="AG65" s="44"/>
      <c r="AH65" s="44"/>
      <c r="AI65" s="44"/>
      <c r="AJ65" s="49"/>
      <c r="AK65" s="44"/>
      <c r="AL65" s="49"/>
      <c r="AM65" s="49"/>
      <c r="AN65" s="49"/>
    </row>
    <row r="66" spans="1:44" ht="15.75" x14ac:dyDescent="0.25">
      <c r="A66" s="158" t="s">
        <v>12</v>
      </c>
      <c r="B66" s="187"/>
      <c r="C66" s="187"/>
      <c r="D66" s="187"/>
      <c r="E66" s="187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159">
        <v>2</v>
      </c>
      <c r="T66" s="44"/>
      <c r="U66" s="44"/>
      <c r="V66" s="44"/>
      <c r="W66" s="44"/>
      <c r="X66" s="190">
        <v>1.42</v>
      </c>
      <c r="Y66" s="190"/>
      <c r="Z66" s="44"/>
      <c r="AA66" s="44"/>
      <c r="AB66" s="160">
        <v>1.62</v>
      </c>
      <c r="AC66" s="190"/>
      <c r="AD66" s="48"/>
      <c r="AE66" s="48"/>
      <c r="AF66" s="48"/>
      <c r="AG66" s="44"/>
      <c r="AH66" s="44"/>
      <c r="AI66" s="44"/>
      <c r="AJ66" s="49"/>
      <c r="AK66" s="44"/>
      <c r="AL66" s="49"/>
      <c r="AM66" s="49"/>
      <c r="AN66" s="49"/>
    </row>
    <row r="67" spans="1:44" ht="15.75" x14ac:dyDescent="0.25">
      <c r="A67" s="158" t="s">
        <v>73</v>
      </c>
      <c r="B67" s="187"/>
      <c r="C67" s="187"/>
      <c r="D67" s="187"/>
      <c r="E67" s="187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159"/>
      <c r="T67" s="44"/>
      <c r="U67" s="44"/>
      <c r="V67" s="44"/>
      <c r="W67" s="44"/>
      <c r="X67" s="303">
        <v>1.4</v>
      </c>
      <c r="Y67" s="190"/>
      <c r="Z67" s="44"/>
      <c r="AA67" s="44"/>
      <c r="AB67" s="236">
        <v>1.6</v>
      </c>
      <c r="AC67" s="190"/>
      <c r="AD67" s="48"/>
      <c r="AE67" s="48"/>
      <c r="AF67" s="48"/>
      <c r="AG67" s="44"/>
      <c r="AH67" s="44"/>
      <c r="AI67" s="44"/>
      <c r="AJ67" s="49"/>
      <c r="AK67" s="44"/>
      <c r="AL67" s="49"/>
      <c r="AM67" s="49"/>
      <c r="AN67" s="49"/>
    </row>
    <row r="68" spans="1:44" ht="15.75" x14ac:dyDescent="0.25">
      <c r="A68" s="158" t="s">
        <v>13</v>
      </c>
      <c r="B68" s="187"/>
      <c r="C68" s="187"/>
      <c r="D68" s="187"/>
      <c r="E68" s="187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159">
        <v>1.95</v>
      </c>
      <c r="T68" s="161"/>
      <c r="U68" s="44"/>
      <c r="V68" s="44"/>
      <c r="W68" s="44"/>
      <c r="X68" s="190">
        <v>1.44</v>
      </c>
      <c r="Y68" s="190"/>
      <c r="Z68" s="161"/>
      <c r="AA68" s="161"/>
      <c r="AB68" s="236">
        <v>1.75</v>
      </c>
      <c r="AC68" s="190"/>
      <c r="AD68" s="162"/>
      <c r="AE68" s="162"/>
      <c r="AF68" s="48"/>
      <c r="AG68" s="44"/>
      <c r="AH68" s="44"/>
      <c r="AI68" s="44"/>
      <c r="AJ68" s="49"/>
      <c r="AK68" s="44"/>
      <c r="AL68" s="49"/>
      <c r="AM68" s="49"/>
      <c r="AN68" s="49"/>
    </row>
    <row r="69" spans="1:44" ht="15.75" x14ac:dyDescent="0.25">
      <c r="A69" s="158" t="s">
        <v>76</v>
      </c>
      <c r="B69" s="187"/>
      <c r="C69" s="187"/>
      <c r="D69" s="187"/>
      <c r="E69" s="187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159"/>
      <c r="T69" s="161"/>
      <c r="U69" s="44"/>
      <c r="V69" s="44"/>
      <c r="W69" s="44"/>
      <c r="X69" s="190">
        <v>1.4</v>
      </c>
      <c r="Y69" s="190"/>
      <c r="Z69" s="161"/>
      <c r="AA69" s="161"/>
      <c r="AB69" s="236">
        <v>1.65</v>
      </c>
      <c r="AC69" s="190"/>
      <c r="AD69" s="162"/>
      <c r="AE69" s="162"/>
      <c r="AF69" s="48"/>
      <c r="AG69" s="44"/>
      <c r="AH69" s="44"/>
      <c r="AI69" s="44"/>
      <c r="AJ69" s="49"/>
      <c r="AK69" s="44"/>
      <c r="AL69" s="49"/>
      <c r="AM69" s="49"/>
      <c r="AN69" s="49"/>
    </row>
    <row r="70" spans="1:44" ht="15.75" x14ac:dyDescent="0.25">
      <c r="A70" s="158" t="s">
        <v>71</v>
      </c>
      <c r="B70" s="187"/>
      <c r="C70" s="187"/>
      <c r="D70" s="187"/>
      <c r="E70" s="18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9"/>
      <c r="T70" s="161"/>
      <c r="U70" s="44"/>
      <c r="V70" s="44"/>
      <c r="W70" s="44"/>
      <c r="X70" s="190">
        <v>1.38</v>
      </c>
      <c r="Y70" s="190"/>
      <c r="Z70" s="161"/>
      <c r="AA70" s="161"/>
      <c r="AB70" s="236">
        <v>1.58</v>
      </c>
      <c r="AC70" s="190"/>
      <c r="AD70" s="162"/>
      <c r="AE70" s="162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4" ht="15.75" x14ac:dyDescent="0.25">
      <c r="A71" s="158" t="s">
        <v>67</v>
      </c>
      <c r="B71" s="187"/>
      <c r="C71" s="187"/>
      <c r="D71" s="187"/>
      <c r="E71" s="187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9">
        <v>2</v>
      </c>
      <c r="T71" s="161"/>
      <c r="U71" s="44"/>
      <c r="V71" s="44"/>
      <c r="W71" s="44"/>
      <c r="X71" s="190">
        <v>1.5</v>
      </c>
      <c r="Y71" s="190"/>
      <c r="Z71" s="161"/>
      <c r="AA71" s="161"/>
      <c r="AB71" s="236">
        <v>1.75</v>
      </c>
      <c r="AC71" s="190"/>
      <c r="AD71" s="162"/>
      <c r="AE71" s="162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4" s="6" customFormat="1" ht="15.75" x14ac:dyDescent="0.25">
      <c r="A72" s="163" t="s">
        <v>14</v>
      </c>
      <c r="B72" s="187"/>
      <c r="C72" s="187"/>
      <c r="D72" s="187"/>
      <c r="E72" s="187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9">
        <v>2</v>
      </c>
      <c r="T72" s="164"/>
      <c r="U72" s="165"/>
      <c r="V72" s="165"/>
      <c r="W72" s="165"/>
      <c r="X72" s="190">
        <v>1.4</v>
      </c>
      <c r="Y72" s="190"/>
      <c r="Z72" s="164"/>
      <c r="AA72" s="164"/>
      <c r="AB72" s="236">
        <v>1.65</v>
      </c>
      <c r="AC72" s="190"/>
      <c r="AD72" s="167"/>
      <c r="AE72" s="167"/>
      <c r="AF72" s="166"/>
      <c r="AG72" s="165"/>
      <c r="AH72" s="165"/>
      <c r="AI72" s="45"/>
      <c r="AJ72" s="46"/>
      <c r="AK72" s="45"/>
      <c r="AL72" s="46"/>
      <c r="AM72" s="46"/>
      <c r="AN72" s="46"/>
      <c r="AQ72" s="19"/>
      <c r="AR72" s="211"/>
    </row>
    <row r="73" spans="1:44" s="6" customFormat="1" ht="15.75" x14ac:dyDescent="0.25">
      <c r="A73" s="163" t="s">
        <v>115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9"/>
      <c r="T73" s="164"/>
      <c r="U73" s="165"/>
      <c r="V73" s="165"/>
      <c r="W73" s="165"/>
      <c r="X73" s="190">
        <v>1.43</v>
      </c>
      <c r="Y73" s="190"/>
      <c r="Z73" s="164"/>
      <c r="AA73" s="164"/>
      <c r="AB73" s="236">
        <v>1.53</v>
      </c>
      <c r="AC73" s="190"/>
      <c r="AD73" s="167"/>
      <c r="AE73" s="167"/>
      <c r="AF73" s="166"/>
      <c r="AG73" s="165"/>
      <c r="AH73" s="165"/>
      <c r="AI73" s="45"/>
      <c r="AJ73" s="46"/>
      <c r="AK73" s="45"/>
      <c r="AL73" s="46"/>
      <c r="AM73" s="46"/>
      <c r="AN73" s="46"/>
      <c r="AQ73" s="19"/>
      <c r="AR73" s="211"/>
    </row>
    <row r="74" spans="1:44" s="6" customFormat="1" ht="15.75" x14ac:dyDescent="0.25">
      <c r="A74" s="163" t="s">
        <v>70</v>
      </c>
      <c r="B74" s="187"/>
      <c r="C74" s="187"/>
      <c r="D74" s="187"/>
      <c r="E74" s="187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9"/>
      <c r="T74" s="164"/>
      <c r="U74" s="165"/>
      <c r="V74" s="165"/>
      <c r="W74" s="165"/>
      <c r="X74" s="190">
        <v>1.41</v>
      </c>
      <c r="Y74" s="190"/>
      <c r="Z74" s="164"/>
      <c r="AA74" s="164"/>
      <c r="AB74" s="160">
        <v>1.69</v>
      </c>
      <c r="AC74" s="190"/>
      <c r="AD74" s="167"/>
      <c r="AE74" s="167"/>
      <c r="AF74" s="166"/>
      <c r="AG74" s="165"/>
      <c r="AH74" s="165"/>
      <c r="AI74" s="45"/>
      <c r="AJ74" s="46"/>
      <c r="AK74" s="45"/>
      <c r="AL74" s="46"/>
      <c r="AM74" s="46"/>
      <c r="AN74" s="46"/>
      <c r="AQ74" s="19"/>
      <c r="AR74" s="211"/>
    </row>
    <row r="75" spans="1:44" s="6" customFormat="1" ht="15.75" x14ac:dyDescent="0.25">
      <c r="A75" s="163" t="s">
        <v>15</v>
      </c>
      <c r="B75" s="187"/>
      <c r="C75" s="187"/>
      <c r="D75" s="187"/>
      <c r="E75" s="187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9"/>
      <c r="T75" s="164"/>
      <c r="U75" s="165"/>
      <c r="V75" s="165"/>
      <c r="W75" s="165"/>
      <c r="X75" s="190">
        <v>1.41</v>
      </c>
      <c r="Y75" s="190"/>
      <c r="Z75" s="164"/>
      <c r="AA75" s="164"/>
      <c r="AB75" s="160">
        <v>1.65</v>
      </c>
      <c r="AC75" s="190"/>
      <c r="AD75" s="167"/>
      <c r="AE75" s="167"/>
      <c r="AF75" s="166"/>
      <c r="AG75" s="165"/>
      <c r="AH75" s="165"/>
      <c r="AI75" s="45"/>
      <c r="AJ75" s="45"/>
      <c r="AK75" s="45"/>
      <c r="AL75" s="46"/>
      <c r="AM75" s="46"/>
      <c r="AN75" s="46"/>
      <c r="AQ75" s="19"/>
      <c r="AR75" s="211"/>
    </row>
    <row r="76" spans="1:44" s="6" customFormat="1" ht="15.75" x14ac:dyDescent="0.25">
      <c r="A76" s="163" t="s">
        <v>16</v>
      </c>
      <c r="B76" s="187"/>
      <c r="C76" s="187"/>
      <c r="D76" s="187"/>
      <c r="E76" s="187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9">
        <v>2</v>
      </c>
      <c r="T76" s="164"/>
      <c r="U76" s="165"/>
      <c r="V76" s="165"/>
      <c r="W76" s="165"/>
      <c r="X76" s="190">
        <v>1.4</v>
      </c>
      <c r="Y76" s="190"/>
      <c r="Z76" s="164"/>
      <c r="AA76" s="164"/>
      <c r="AB76" s="160">
        <v>1.61</v>
      </c>
      <c r="AC76" s="190"/>
      <c r="AD76" s="167"/>
      <c r="AE76" s="167"/>
      <c r="AF76" s="166"/>
      <c r="AG76" s="165"/>
      <c r="AH76" s="165"/>
      <c r="AI76" s="45"/>
      <c r="AJ76" s="45"/>
      <c r="AK76" s="45"/>
      <c r="AL76" s="46"/>
      <c r="AM76" s="46"/>
      <c r="AN76" s="46"/>
      <c r="AQ76" s="19"/>
      <c r="AR76" s="211"/>
    </row>
    <row r="77" spans="1:44" ht="15.75" x14ac:dyDescent="0.25">
      <c r="A77" s="163" t="s">
        <v>17</v>
      </c>
      <c r="B77" s="187"/>
      <c r="C77" s="187"/>
      <c r="D77" s="187"/>
      <c r="E77" s="187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9">
        <v>1.98</v>
      </c>
      <c r="T77" s="161"/>
      <c r="U77" s="168"/>
      <c r="V77" s="168"/>
      <c r="W77" s="168"/>
      <c r="X77" s="190">
        <v>1.41</v>
      </c>
      <c r="Y77" s="190"/>
      <c r="Z77" s="161"/>
      <c r="AA77" s="161"/>
      <c r="AB77" s="160">
        <v>1.65</v>
      </c>
      <c r="AC77" s="190"/>
      <c r="AD77" s="162"/>
      <c r="AE77" s="162"/>
      <c r="AF77" s="169"/>
      <c r="AG77" s="168"/>
      <c r="AH77" s="168"/>
      <c r="AI77" s="47"/>
      <c r="AJ77" s="47"/>
      <c r="AK77" s="47"/>
      <c r="AL77" s="49"/>
      <c r="AM77" s="49"/>
      <c r="AN77" s="49"/>
      <c r="AP77" s="1"/>
      <c r="AQ77" s="2"/>
      <c r="AR77" s="212"/>
    </row>
    <row r="78" spans="1:44" ht="15.75" x14ac:dyDescent="0.25">
      <c r="A78" s="163" t="s">
        <v>100</v>
      </c>
      <c r="B78" s="187"/>
      <c r="C78" s="187"/>
      <c r="D78" s="187"/>
      <c r="E78" s="187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9">
        <v>2</v>
      </c>
      <c r="T78" s="161"/>
      <c r="U78" s="168"/>
      <c r="V78" s="168"/>
      <c r="W78" s="168"/>
      <c r="X78" s="190">
        <v>1.4</v>
      </c>
      <c r="Y78" s="190"/>
      <c r="Z78" s="161"/>
      <c r="AA78" s="161"/>
      <c r="AB78" s="160">
        <v>1.65</v>
      </c>
      <c r="AC78" s="190"/>
      <c r="AD78" s="162"/>
      <c r="AE78" s="162"/>
      <c r="AF78" s="169"/>
      <c r="AG78" s="168"/>
      <c r="AH78" s="168"/>
      <c r="AI78" s="47"/>
      <c r="AJ78" s="47"/>
      <c r="AK78" s="47"/>
      <c r="AL78" s="49"/>
      <c r="AM78" s="49"/>
      <c r="AN78" s="49"/>
      <c r="AP78" s="1"/>
      <c r="AQ78" s="2"/>
      <c r="AR78" s="212"/>
    </row>
    <row r="79" spans="1:44" ht="15.75" x14ac:dyDescent="0.25">
      <c r="A79" s="163" t="s">
        <v>18</v>
      </c>
      <c r="B79" s="187"/>
      <c r="C79" s="187"/>
      <c r="D79" s="187"/>
      <c r="E79" s="187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9">
        <v>2.0099999999999998</v>
      </c>
      <c r="T79" s="161"/>
      <c r="U79" s="168"/>
      <c r="V79" s="168"/>
      <c r="W79" s="168"/>
      <c r="X79" s="190">
        <v>1.4</v>
      </c>
      <c r="Y79" s="190"/>
      <c r="Z79" s="161"/>
      <c r="AA79" s="161"/>
      <c r="AB79" s="236">
        <v>1.65</v>
      </c>
      <c r="AC79" s="190"/>
      <c r="AD79" s="162"/>
      <c r="AE79" s="162"/>
      <c r="AF79" s="169"/>
      <c r="AG79" s="168"/>
      <c r="AH79" s="168"/>
      <c r="AI79" s="47"/>
      <c r="AJ79" s="47"/>
      <c r="AK79" s="47"/>
      <c r="AL79" s="49"/>
      <c r="AM79" s="49"/>
      <c r="AN79" s="49"/>
      <c r="AP79" s="1"/>
      <c r="AQ79" s="2"/>
      <c r="AR79" s="212"/>
    </row>
    <row r="80" spans="1:44" ht="15.75" x14ac:dyDescent="0.25">
      <c r="A80" s="163" t="s">
        <v>106</v>
      </c>
      <c r="B80" s="187"/>
      <c r="C80" s="187"/>
      <c r="D80" s="187"/>
      <c r="E80" s="18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9"/>
      <c r="T80" s="161"/>
      <c r="U80" s="168"/>
      <c r="V80" s="168"/>
      <c r="W80" s="168"/>
      <c r="X80" s="190">
        <v>1.43</v>
      </c>
      <c r="Y80" s="190"/>
      <c r="Z80" s="161"/>
      <c r="AA80" s="161"/>
      <c r="AB80" s="160">
        <v>1.7</v>
      </c>
      <c r="AC80" s="190"/>
      <c r="AD80" s="162"/>
      <c r="AE80" s="162"/>
      <c r="AF80" s="169"/>
      <c r="AG80" s="168"/>
      <c r="AH80" s="168"/>
      <c r="AI80" s="47"/>
      <c r="AJ80" s="47"/>
      <c r="AK80" s="47"/>
      <c r="AL80" s="49"/>
      <c r="AM80" s="49"/>
      <c r="AN80" s="49"/>
      <c r="AP80" s="1"/>
      <c r="AQ80" s="2"/>
      <c r="AR80" s="212"/>
    </row>
    <row r="81" spans="1:44" ht="15.75" x14ac:dyDescent="0.25">
      <c r="A81" s="163" t="s">
        <v>64</v>
      </c>
      <c r="B81" s="187"/>
      <c r="C81" s="187"/>
      <c r="D81" s="187"/>
      <c r="E81" s="187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9">
        <v>2</v>
      </c>
      <c r="T81" s="161"/>
      <c r="U81" s="168"/>
      <c r="V81" s="168"/>
      <c r="W81" s="168"/>
      <c r="X81" s="190">
        <v>1.38</v>
      </c>
      <c r="Y81" s="190"/>
      <c r="Z81" s="161"/>
      <c r="AA81" s="161"/>
      <c r="AB81" s="236">
        <v>1.57</v>
      </c>
      <c r="AC81" s="190"/>
      <c r="AD81" s="162"/>
      <c r="AE81" s="162"/>
      <c r="AF81" s="169"/>
      <c r="AG81" s="168"/>
      <c r="AH81" s="168"/>
      <c r="AI81" s="47"/>
      <c r="AJ81" s="47"/>
      <c r="AK81" s="47"/>
      <c r="AL81" s="49"/>
      <c r="AM81" s="49"/>
      <c r="AN81" s="49"/>
      <c r="AP81" s="1"/>
      <c r="AQ81" s="2"/>
      <c r="AR81" s="212"/>
    </row>
    <row r="82" spans="1:44" ht="15.75" x14ac:dyDescent="0.25">
      <c r="A82" s="163" t="s">
        <v>90</v>
      </c>
      <c r="B82" s="187"/>
      <c r="C82" s="187"/>
      <c r="D82" s="187"/>
      <c r="E82" s="187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9"/>
      <c r="T82" s="161"/>
      <c r="U82" s="168"/>
      <c r="V82" s="168"/>
      <c r="W82" s="168"/>
      <c r="X82" s="190">
        <v>1.4</v>
      </c>
      <c r="Y82" s="190"/>
      <c r="Z82" s="161"/>
      <c r="AA82" s="161"/>
      <c r="AB82" s="160">
        <v>1.62</v>
      </c>
      <c r="AC82" s="190"/>
      <c r="AD82" s="162"/>
      <c r="AE82" s="162"/>
      <c r="AF82" s="169"/>
      <c r="AG82" s="168"/>
      <c r="AH82" s="168"/>
      <c r="AI82" s="47"/>
      <c r="AJ82" s="47"/>
      <c r="AK82" s="47"/>
      <c r="AL82" s="49"/>
      <c r="AM82" s="49"/>
      <c r="AN82" s="49"/>
      <c r="AP82" s="1"/>
      <c r="AQ82" s="2"/>
      <c r="AR82" s="212"/>
    </row>
    <row r="83" spans="1:44" ht="15.75" x14ac:dyDescent="0.25">
      <c r="A83" s="170"/>
      <c r="B83" s="187"/>
      <c r="C83" s="187"/>
      <c r="D83" s="187"/>
      <c r="E83" s="187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9"/>
      <c r="T83" s="161"/>
      <c r="U83" s="168"/>
      <c r="V83" s="168"/>
      <c r="W83" s="168"/>
      <c r="X83" s="190"/>
      <c r="Y83" s="190"/>
      <c r="Z83" s="161"/>
      <c r="AA83" s="161"/>
      <c r="AB83" s="160"/>
      <c r="AC83" s="190"/>
      <c r="AD83" s="162"/>
      <c r="AE83" s="162"/>
      <c r="AF83" s="169"/>
      <c r="AG83" s="168"/>
      <c r="AH83" s="168"/>
      <c r="AI83" s="47"/>
      <c r="AJ83" s="47"/>
      <c r="AK83" s="47"/>
      <c r="AL83" s="49"/>
      <c r="AM83" s="49"/>
      <c r="AN83" s="49"/>
      <c r="AP83" s="148"/>
      <c r="AQ83" s="149"/>
      <c r="AR83" s="209"/>
    </row>
    <row r="84" spans="1:44" ht="15.75" x14ac:dyDescent="0.25">
      <c r="A84" s="171" t="s">
        <v>19</v>
      </c>
      <c r="B84" s="172"/>
      <c r="C84" s="172"/>
      <c r="D84" s="172"/>
      <c r="E84" s="172"/>
      <c r="F84" s="173"/>
      <c r="G84" s="173"/>
      <c r="H84" s="173"/>
      <c r="I84" s="173"/>
      <c r="J84" s="173"/>
      <c r="K84" s="173"/>
      <c r="L84" s="173"/>
      <c r="M84" s="173"/>
      <c r="N84" s="173"/>
      <c r="O84" s="173"/>
      <c r="P84" s="173"/>
      <c r="Q84" s="173"/>
      <c r="R84" s="173"/>
      <c r="S84" s="192">
        <f>AVERAGE(S64:S82)</f>
        <v>1.9945454545454544</v>
      </c>
      <c r="T84" s="174"/>
      <c r="U84" s="175"/>
      <c r="V84" s="175"/>
      <c r="W84" s="175"/>
      <c r="X84" s="197">
        <f>AVERAGE(X64:X82)</f>
        <v>1.4110526315789469</v>
      </c>
      <c r="Y84" s="197"/>
      <c r="Z84" s="174"/>
      <c r="AA84" s="174"/>
      <c r="AB84" s="262">
        <f>AVERAGE(AB64:AB82)</f>
        <v>1.6405263157894736</v>
      </c>
      <c r="AC84" s="190"/>
      <c r="AD84" s="162"/>
      <c r="AE84" s="162"/>
      <c r="AF84" s="169"/>
      <c r="AG84" s="168"/>
      <c r="AH84" s="168"/>
      <c r="AI84" s="47"/>
      <c r="AJ84" s="47"/>
      <c r="AK84" s="47"/>
      <c r="AL84" s="49"/>
      <c r="AM84" s="49"/>
      <c r="AN84" s="49"/>
      <c r="AP84" s="148"/>
      <c r="AQ84" s="149"/>
      <c r="AR84" s="209"/>
    </row>
    <row r="85" spans="1:44" ht="15.75" x14ac:dyDescent="0.25">
      <c r="C85" s="1"/>
      <c r="U85" s="1"/>
      <c r="W85" s="1"/>
      <c r="AC85" s="190"/>
      <c r="AD85" s="162"/>
      <c r="AE85" s="162"/>
      <c r="AF85" s="169"/>
      <c r="AG85" s="168"/>
      <c r="AH85" s="168"/>
      <c r="AI85" s="47"/>
      <c r="AJ85" s="47"/>
      <c r="AK85" s="47"/>
      <c r="AL85" s="49"/>
      <c r="AM85" s="49"/>
      <c r="AN85" s="49"/>
      <c r="AP85" s="148"/>
      <c r="AQ85" s="149"/>
      <c r="AR85" s="209"/>
    </row>
    <row r="86" spans="1:44" ht="15.75" x14ac:dyDescent="0.25">
      <c r="A86" s="4"/>
      <c r="C86" s="1"/>
      <c r="U86" s="1"/>
      <c r="W86" s="1"/>
      <c r="AC86" s="190"/>
      <c r="AD86" s="162"/>
      <c r="AE86" s="162"/>
      <c r="AF86" s="169"/>
      <c r="AG86" s="168"/>
      <c r="AH86" s="168"/>
      <c r="AI86" s="47"/>
      <c r="AJ86" s="47"/>
      <c r="AK86" s="47"/>
      <c r="AL86" s="49"/>
      <c r="AM86" s="49"/>
      <c r="AN86" s="49"/>
      <c r="AP86" s="148"/>
      <c r="AQ86" s="149"/>
      <c r="AR86" s="209"/>
    </row>
    <row r="87" spans="1:44" ht="15.75" x14ac:dyDescent="0.25">
      <c r="A87" s="4"/>
      <c r="B87" s="4"/>
      <c r="C87" s="17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177"/>
      <c r="T87" s="177"/>
      <c r="U87" s="178"/>
      <c r="V87" s="179"/>
      <c r="W87" s="178"/>
      <c r="X87" s="177"/>
      <c r="Y87" s="177"/>
      <c r="Z87" s="177"/>
      <c r="AA87" s="177"/>
      <c r="AB87" s="177"/>
      <c r="AC87" s="177"/>
      <c r="AD87" s="177"/>
      <c r="AE87" s="177"/>
      <c r="AF87" s="179"/>
      <c r="AG87" s="178"/>
      <c r="AH87" s="178"/>
      <c r="AP87" s="148"/>
      <c r="AQ87" s="149"/>
      <c r="AR87" s="209"/>
    </row>
    <row r="88" spans="1:44" ht="15.75" hidden="1" x14ac:dyDescent="0.25">
      <c r="A88" s="180" t="s">
        <v>63</v>
      </c>
      <c r="B88" s="4"/>
      <c r="C88" s="17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177"/>
      <c r="T88" s="177"/>
      <c r="U88" s="178"/>
      <c r="V88" s="179"/>
      <c r="W88" s="178"/>
      <c r="X88" s="177"/>
      <c r="Y88" s="177"/>
      <c r="Z88" s="177"/>
      <c r="AA88" s="177"/>
      <c r="AB88" s="177"/>
      <c r="AC88" s="177"/>
      <c r="AD88" s="177"/>
      <c r="AE88" s="177"/>
      <c r="AF88" s="179"/>
      <c r="AG88" s="178"/>
      <c r="AH88" s="178"/>
    </row>
    <row r="89" spans="1:44" ht="15.75" x14ac:dyDescent="0.25">
      <c r="B89" s="4"/>
      <c r="C89" s="17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178"/>
      <c r="V89" s="179"/>
      <c r="W89" s="178"/>
      <c r="X89" s="4"/>
      <c r="Y89" s="4"/>
      <c r="Z89" s="4"/>
      <c r="AA89" s="4"/>
      <c r="AB89" s="4"/>
      <c r="AC89" s="4"/>
      <c r="AD89" s="4"/>
      <c r="AE89" s="4"/>
      <c r="AF89" s="179"/>
      <c r="AG89" s="178"/>
      <c r="AH89" s="178"/>
    </row>
    <row r="90" spans="1:44" ht="15.75" x14ac:dyDescent="0.25">
      <c r="A90" s="4"/>
      <c r="B90" s="4"/>
      <c r="C90" s="17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178"/>
      <c r="V90" s="179"/>
      <c r="W90" s="178"/>
      <c r="X90" s="4"/>
      <c r="Y90" s="4"/>
      <c r="Z90" s="4"/>
      <c r="AA90" s="4"/>
      <c r="AB90" s="4"/>
      <c r="AC90" s="4"/>
      <c r="AD90" s="4"/>
      <c r="AE90" s="4"/>
      <c r="AF90" s="179"/>
      <c r="AG90" s="178"/>
      <c r="AH90" s="178"/>
    </row>
    <row r="91" spans="1:44" x14ac:dyDescent="0.2">
      <c r="A91" s="5"/>
      <c r="B91" s="5"/>
      <c r="C91" s="1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X91" s="5"/>
      <c r="Y91" s="5"/>
      <c r="Z91" s="5"/>
      <c r="AA91" s="5"/>
      <c r="AB91" s="5"/>
      <c r="AC91" s="5"/>
      <c r="AD91" s="5"/>
      <c r="AE91" s="5"/>
    </row>
    <row r="92" spans="1:44" x14ac:dyDescent="0.2">
      <c r="A92" s="5"/>
      <c r="B92" s="5"/>
      <c r="C92" s="1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X92" s="5"/>
      <c r="Y92" s="5"/>
      <c r="Z92" s="5"/>
      <c r="AA92" s="5"/>
      <c r="AB92" s="5"/>
      <c r="AC92" s="5"/>
      <c r="AD92" s="5"/>
      <c r="AE92" s="5"/>
    </row>
    <row r="93" spans="1:44" x14ac:dyDescent="0.2">
      <c r="A93" s="5"/>
      <c r="B93" s="5"/>
      <c r="C93" s="1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X93" s="5"/>
      <c r="Y93" s="5"/>
      <c r="Z93" s="5"/>
      <c r="AA93" s="5"/>
      <c r="AB93" s="5"/>
      <c r="AC93" s="5"/>
      <c r="AD93" s="5"/>
      <c r="AE93" s="5"/>
    </row>
    <row r="94" spans="1:44" x14ac:dyDescent="0.2">
      <c r="A94" s="5"/>
      <c r="B94" s="5"/>
      <c r="C94" s="1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X94" s="5"/>
      <c r="Y94" s="5"/>
      <c r="Z94" s="5"/>
      <c r="AA94" s="5"/>
      <c r="AB94" s="5"/>
      <c r="AC94" s="5"/>
      <c r="AD94" s="5"/>
      <c r="AE94" s="5"/>
    </row>
    <row r="95" spans="1:44" x14ac:dyDescent="0.2">
      <c r="A95" s="5"/>
      <c r="B95" s="5"/>
      <c r="C95" s="1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</row>
    <row r="96" spans="1:44" x14ac:dyDescent="0.2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">
      <c r="C108" s="3"/>
    </row>
    <row r="109" spans="1:31" x14ac:dyDescent="0.2">
      <c r="C109" s="3"/>
    </row>
    <row r="110" spans="1:31" x14ac:dyDescent="0.2">
      <c r="C110" s="3"/>
    </row>
    <row r="111" spans="1:31" x14ac:dyDescent="0.2">
      <c r="C111" s="3"/>
    </row>
    <row r="112" spans="1:31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</sheetData>
  <mergeCells count="5">
    <mergeCell ref="X44:AB44"/>
    <mergeCell ref="X4:Z4"/>
    <mergeCell ref="AB4:AD4"/>
    <mergeCell ref="X28:Z28"/>
    <mergeCell ref="AB28:AD28"/>
  </mergeCells>
  <printOptions horizontalCentered="1" verticalCentered="1"/>
  <pageMargins left="0.12" right="0" top="0" bottom="0" header="0.5" footer="0"/>
  <pageSetup scale="6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2000-09-29T22:39:29Z</cp:lastPrinted>
  <dcterms:created xsi:type="dcterms:W3CDTF">1997-07-25T21:14:12Z</dcterms:created>
  <dcterms:modified xsi:type="dcterms:W3CDTF">2014-09-04T14:06:48Z</dcterms:modified>
</cp:coreProperties>
</file>