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ENRON!$A$1:$AN$67</definedName>
    <definedName name="Print_Area_MI">#REF!</definedName>
    <definedName name="_xlnm.Print_Titles" localSheetId="1">ENRON!$A:$C,ENRON!$1:$6</definedName>
    <definedName name="weekly">ENRON!$E$7:$AN$95</definedName>
  </definedNames>
  <calcPr calcId="152511" fullCalcOnLoad="1" iterate="1" iterateDelta="1"/>
</workbook>
</file>

<file path=xl/calcChain.xml><?xml version="1.0" encoding="utf-8"?>
<calcChain xmlns="http://schemas.openxmlformats.org/spreadsheetml/2006/main">
  <c r="E7" i="2" l="1"/>
  <c r="M7" i="2" s="1"/>
  <c r="Q7" i="2" s="1"/>
  <c r="I7" i="2"/>
  <c r="X7" i="2"/>
  <c r="Z7" i="2" s="1"/>
  <c r="B6" i="1" s="1"/>
  <c r="AH7" i="2"/>
  <c r="D6" i="1" s="1"/>
  <c r="AJ7" i="2"/>
  <c r="F6" i="1" s="1"/>
  <c r="AL7" i="2"/>
  <c r="H6" i="1" s="1"/>
  <c r="AN7" i="2"/>
  <c r="AW7" i="2"/>
  <c r="E9" i="2"/>
  <c r="AD9" i="2" s="1"/>
  <c r="T9" i="2"/>
  <c r="V9" i="2"/>
  <c r="Z9" i="2"/>
  <c r="B7" i="1" s="1"/>
  <c r="AF9" i="2"/>
  <c r="AP9" i="2"/>
  <c r="E10" i="2"/>
  <c r="M10" i="2" s="1"/>
  <c r="Q10" i="2" s="1"/>
  <c r="I10" i="2"/>
  <c r="V10" i="2"/>
  <c r="AF10" i="2"/>
  <c r="AJ10" i="2"/>
  <c r="F8" i="1" s="1"/>
  <c r="AL10" i="2"/>
  <c r="H8" i="1" s="1"/>
  <c r="E13" i="2"/>
  <c r="AD13" i="2" s="1"/>
  <c r="T13" i="2"/>
  <c r="V13" i="2"/>
  <c r="V25" i="2" s="1"/>
  <c r="Z13" i="2"/>
  <c r="AF13" i="2"/>
  <c r="AP13" i="2"/>
  <c r="AN13" i="2" s="1"/>
  <c r="AX13" i="2"/>
  <c r="E14" i="2"/>
  <c r="M14" i="2" s="1"/>
  <c r="Q14" i="2" s="1"/>
  <c r="I14" i="2"/>
  <c r="T14" i="2"/>
  <c r="V14" i="2"/>
  <c r="Z14" i="2"/>
  <c r="AD14" i="2"/>
  <c r="AF14" i="2"/>
  <c r="AH14" i="2"/>
  <c r="AP14" i="2"/>
  <c r="AN14" i="2" s="1"/>
  <c r="AW14" i="2"/>
  <c r="AL14" i="2" s="1"/>
  <c r="E15" i="2"/>
  <c r="I15" i="2" s="1"/>
  <c r="V15" i="2"/>
  <c r="AF15" i="2"/>
  <c r="AF25" i="2" s="1"/>
  <c r="AP15" i="2"/>
  <c r="AN15" i="2" s="1"/>
  <c r="AR15" i="2"/>
  <c r="AW15" i="2"/>
  <c r="AL15" i="2" s="1"/>
  <c r="E16" i="2"/>
  <c r="I16" i="2" s="1"/>
  <c r="V16" i="2"/>
  <c r="AF16" i="2"/>
  <c r="AP16" i="2"/>
  <c r="AN16" i="2" s="1"/>
  <c r="AW16" i="2"/>
  <c r="AL16" i="2" s="1"/>
  <c r="E17" i="2"/>
  <c r="T17" i="2" s="1"/>
  <c r="M17" i="2"/>
  <c r="V17" i="2"/>
  <c r="AF17" i="2"/>
  <c r="AJ17" i="2"/>
  <c r="AL17" i="2"/>
  <c r="AP17" i="2"/>
  <c r="AN17" i="2" s="1"/>
  <c r="AW17" i="2"/>
  <c r="E18" i="2"/>
  <c r="AH18" i="2" s="1"/>
  <c r="M18" i="2"/>
  <c r="T18" i="2"/>
  <c r="V18" i="2"/>
  <c r="Z18" i="2"/>
  <c r="AD18" i="2"/>
  <c r="AF18" i="2"/>
  <c r="AJ18" i="2"/>
  <c r="AP18" i="2"/>
  <c r="AN18" i="2" s="1"/>
  <c r="AW18" i="2"/>
  <c r="AL18" i="2" s="1"/>
  <c r="AX18" i="2"/>
  <c r="E19" i="2"/>
  <c r="AD19" i="2" s="1"/>
  <c r="T19" i="2"/>
  <c r="V19" i="2"/>
  <c r="Z19" i="2"/>
  <c r="AF19" i="2"/>
  <c r="AP19" i="2"/>
  <c r="AN19" i="2" s="1"/>
  <c r="AW19" i="2"/>
  <c r="AL19" i="2" s="1"/>
  <c r="E20" i="2"/>
  <c r="T20" i="2" s="1"/>
  <c r="M20" i="2"/>
  <c r="AD20" i="2"/>
  <c r="AF20" i="2"/>
  <c r="AH20" i="2"/>
  <c r="AJ20" i="2"/>
  <c r="AL20" i="2"/>
  <c r="AN20" i="2"/>
  <c r="AP20" i="2"/>
  <c r="AW20" i="2"/>
  <c r="E21" i="2"/>
  <c r="T21" i="2" s="1"/>
  <c r="I21" i="2"/>
  <c r="M21" i="2"/>
  <c r="Q21" i="2"/>
  <c r="V21" i="2"/>
  <c r="AF21" i="2"/>
  <c r="AH21" i="2"/>
  <c r="AJ21" i="2"/>
  <c r="AL21" i="2"/>
  <c r="AP21" i="2"/>
  <c r="AN21" i="2" s="1"/>
  <c r="AW21" i="2"/>
  <c r="E22" i="2"/>
  <c r="T22" i="2"/>
  <c r="Z22" i="2"/>
  <c r="AD22" i="2"/>
  <c r="AF22" i="2"/>
  <c r="AH22" i="2"/>
  <c r="AJ22" i="2"/>
  <c r="AP22" i="2"/>
  <c r="AN22" i="2" s="1"/>
  <c r="AW22" i="2"/>
  <c r="AL22" i="2" s="1"/>
  <c r="E23" i="2"/>
  <c r="M23" i="2" s="1"/>
  <c r="Q23" i="2" s="1"/>
  <c r="I23" i="2"/>
  <c r="V23" i="2"/>
  <c r="AF23" i="2"/>
  <c r="AH23" i="2"/>
  <c r="AP23" i="2"/>
  <c r="AN23" i="2" s="1"/>
  <c r="AW23" i="2"/>
  <c r="X30" i="2"/>
  <c r="AB30" i="2"/>
  <c r="X31" i="2"/>
  <c r="AB31" i="2"/>
  <c r="X32" i="2"/>
  <c r="AB32" i="2"/>
  <c r="AV35" i="2"/>
  <c r="AX35" i="2"/>
  <c r="A37" i="2"/>
  <c r="C37" i="2"/>
  <c r="E37" i="2"/>
  <c r="Z37" i="2"/>
  <c r="AD37" i="2"/>
  <c r="AH37" i="2"/>
  <c r="AJ37" i="2"/>
  <c r="AL37" i="2"/>
  <c r="AN37" i="2"/>
  <c r="A38" i="2"/>
  <c r="C38" i="2"/>
  <c r="E38" i="2"/>
  <c r="AJ38" i="2" s="1"/>
  <c r="Z38" i="2"/>
  <c r="AD38" i="2"/>
  <c r="AH38" i="2"/>
  <c r="AL38" i="2"/>
  <c r="A39" i="2"/>
  <c r="C39" i="2"/>
  <c r="E39" i="2"/>
  <c r="AH39" i="2" s="1"/>
  <c r="Z39" i="2"/>
  <c r="AD39" i="2"/>
  <c r="A40" i="2"/>
  <c r="C40" i="2"/>
  <c r="E40" i="2"/>
  <c r="AH40" i="2" s="1"/>
  <c r="Z40" i="2"/>
  <c r="A41" i="2"/>
  <c r="C41" i="2"/>
  <c r="E41" i="2"/>
  <c r="AH41" i="2" s="1"/>
  <c r="Z41" i="2"/>
  <c r="A42" i="2"/>
  <c r="C42" i="2"/>
  <c r="E42" i="2"/>
  <c r="AH42" i="2" s="1"/>
  <c r="X42" i="2"/>
  <c r="Z42" i="2"/>
  <c r="A43" i="2"/>
  <c r="C43" i="2"/>
  <c r="E43" i="2"/>
  <c r="AH43" i="2" s="1"/>
  <c r="Z43" i="2"/>
  <c r="A44" i="2"/>
  <c r="C44" i="2"/>
  <c r="E44" i="2"/>
  <c r="AH44" i="2" s="1"/>
  <c r="Z44" i="2"/>
  <c r="AD44" i="2"/>
  <c r="A45" i="2"/>
  <c r="C45" i="2"/>
  <c r="E45" i="2"/>
  <c r="AH45" i="2" s="1"/>
  <c r="Z45" i="2"/>
  <c r="AD45" i="2"/>
  <c r="AJ45" i="2"/>
  <c r="AL45" i="2"/>
  <c r="AN45" i="2"/>
  <c r="A46" i="2"/>
  <c r="C46" i="2"/>
  <c r="E46" i="2"/>
  <c r="AH46" i="2" s="1"/>
  <c r="Z46" i="2"/>
  <c r="AD46" i="2"/>
  <c r="AJ46" i="2"/>
  <c r="AL46" i="2"/>
  <c r="AN46" i="2"/>
  <c r="AI48" i="2"/>
  <c r="E53" i="2"/>
  <c r="AJ53" i="2" s="1"/>
  <c r="AJ57" i="2" s="1"/>
  <c r="AF53" i="2"/>
  <c r="AH53" i="2"/>
  <c r="AH57" i="2" s="1"/>
  <c r="E54" i="2"/>
  <c r="AF54" i="2"/>
  <c r="AH54" i="2"/>
  <c r="AJ54" i="2"/>
  <c r="AL54" i="2"/>
  <c r="AN54" i="2"/>
  <c r="E55" i="2"/>
  <c r="AN55" i="2" s="1"/>
  <c r="AF55" i="2"/>
  <c r="AH55" i="2"/>
  <c r="AJ55" i="2"/>
  <c r="AL55" i="2"/>
  <c r="S94" i="2"/>
  <c r="S7" i="2" s="1"/>
  <c r="X94" i="2"/>
  <c r="AB94" i="2"/>
  <c r="AB7" i="2" s="1"/>
  <c r="B8" i="1"/>
  <c r="AH48" i="2" l="1"/>
  <c r="D10" i="1" s="1"/>
  <c r="T25" i="2"/>
  <c r="T7" i="2"/>
  <c r="V7" i="2"/>
  <c r="AN25" i="2"/>
  <c r="AD16" i="2"/>
  <c r="AD23" i="2"/>
  <c r="Z15" i="2"/>
  <c r="Z25" i="2" s="1"/>
  <c r="B9" i="1" s="1"/>
  <c r="AD55" i="2"/>
  <c r="AJ44" i="2"/>
  <c r="AL43" i="2"/>
  <c r="AL42" i="2"/>
  <c r="AN41" i="2"/>
  <c r="AN40" i="2"/>
  <c r="AN39" i="2"/>
  <c r="AD21" i="2"/>
  <c r="Z20" i="2"/>
  <c r="AJ19" i="2"/>
  <c r="M19" i="2"/>
  <c r="Q19" i="2" s="1"/>
  <c r="AD17" i="2"/>
  <c r="T16" i="2"/>
  <c r="T15" i="2"/>
  <c r="AJ13" i="2"/>
  <c r="M13" i="2"/>
  <c r="AJ9" i="2"/>
  <c r="F7" i="1" s="1"/>
  <c r="M9" i="2"/>
  <c r="Q9" i="2" s="1"/>
  <c r="AF7" i="2"/>
  <c r="AD15" i="2"/>
  <c r="AD25" i="2" s="1"/>
  <c r="AN44" i="2"/>
  <c r="Z16" i="2"/>
  <c r="AH10" i="2"/>
  <c r="D8" i="1" s="1"/>
  <c r="AL44" i="2"/>
  <c r="AN43" i="2"/>
  <c r="AN42" i="2"/>
  <c r="Z23" i="2"/>
  <c r="AL13" i="2"/>
  <c r="AL25" i="2" s="1"/>
  <c r="H9" i="1" s="1"/>
  <c r="AL9" i="2"/>
  <c r="H7" i="1" s="1"/>
  <c r="Z55" i="2"/>
  <c r="AN53" i="2"/>
  <c r="AJ43" i="2"/>
  <c r="AJ42" i="2"/>
  <c r="AL41" i="2"/>
  <c r="AL40" i="2"/>
  <c r="AL39" i="2"/>
  <c r="AL48" i="2" s="1"/>
  <c r="H10" i="1" s="1"/>
  <c r="AN38" i="2"/>
  <c r="T23" i="2"/>
  <c r="Z21" i="2"/>
  <c r="AH19" i="2"/>
  <c r="I19" i="2"/>
  <c r="Z17" i="2"/>
  <c r="AJ14" i="2"/>
  <c r="AH13" i="2"/>
  <c r="AH25" i="2" s="1"/>
  <c r="D9" i="1" s="1"/>
  <c r="I13" i="2"/>
  <c r="T10" i="2"/>
  <c r="AH9" i="2"/>
  <c r="D7" i="1" s="1"/>
  <c r="I9" i="2"/>
  <c r="AD7" i="2"/>
  <c r="AH17" i="2"/>
  <c r="AL53" i="2"/>
  <c r="AL57" i="2" s="1"/>
  <c r="AJ41" i="2"/>
  <c r="AJ48" i="2" s="1"/>
  <c r="F10" i="1" s="1"/>
  <c r="AJ40" i="2"/>
  <c r="AJ39" i="2"/>
  <c r="AL23" i="2"/>
  <c r="AJ16" i="2"/>
  <c r="M16" i="2"/>
  <c r="Q16" i="2" s="1"/>
  <c r="AJ15" i="2"/>
  <c r="M15" i="2"/>
  <c r="Q15" i="2" s="1"/>
  <c r="AJ23" i="2"/>
  <c r="AH16" i="2"/>
  <c r="AH15" i="2"/>
  <c r="AP10" i="2"/>
  <c r="Q13" i="2" l="1"/>
  <c r="Q25" i="2" s="1"/>
  <c r="M25" i="2"/>
  <c r="AJ25" i="2"/>
  <c r="F9" i="1" s="1"/>
  <c r="I25" i="2"/>
  <c r="AN48" i="2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<sst xmlns="http://schemas.openxmlformats.org/spreadsheetml/2006/main" count="244" uniqueCount="133">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</sst>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98" fontId="7" fillId="0" borderId="34" xfId="0" applyNumberFormat="1" applyFont="1" applyFill="1" applyBorder="1" applyAlignment="1" applyProtection="1">
      <alignment horizontal="center"/>
    </xf>
    <xf numFmtId="164" fontId="36" fillId="0" borderId="35" xfId="0" applyFont="1" applyBorder="1" applyAlignment="1">
      <alignment horizontal="center"/>
    </xf>
    <xf numFmtId="169" fontId="36" fillId="0" borderId="36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7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9" xfId="0" applyFont="1" applyFill="1" applyBorder="1" applyAlignment="1" applyProtection="1">
      <alignment horizontal="center"/>
    </xf>
    <xf numFmtId="164" fontId="17" fillId="0" borderId="40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1" xfId="0" applyNumberFormat="1" applyFont="1" applyBorder="1" applyAlignment="1" applyProtection="1">
      <alignment horizontal="center"/>
    </xf>
    <xf numFmtId="164" fontId="39" fillId="0" borderId="0" xfId="0" applyFont="1" applyFill="1" applyBorder="1" applyAlignment="1" applyProtection="1">
      <alignment horizontal="left"/>
    </xf>
    <xf numFmtId="164" fontId="17" fillId="0" borderId="25" xfId="0" applyFont="1" applyFill="1" applyBorder="1"/>
    <xf numFmtId="164" fontId="17" fillId="0" borderId="39" xfId="0" applyFont="1" applyFill="1" applyBorder="1" applyAlignment="1">
      <alignment horizontal="center"/>
    </xf>
    <xf numFmtId="164" fontId="17" fillId="0" borderId="38" xfId="0" applyFont="1" applyFill="1" applyBorder="1"/>
    <xf numFmtId="10" fontId="17" fillId="0" borderId="25" xfId="0" applyNumberFormat="1" applyFont="1" applyFill="1" applyBorder="1" applyProtection="1"/>
    <xf numFmtId="164" fontId="4" fillId="0" borderId="39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3361.01</val>
          </value>
        </values>
      </ddeItem>
      <ddeItem name=".SPX" advise="1">
        <values>
          <value>
            <val>1408.99</val>
          </value>
        </values>
      </ddeItem>
      <ddeItem name="AES" advise="1">
        <values>
          <value>
            <val>64.75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36.1875</val>
          </value>
        </values>
      </ddeItem>
      <ddeItem name="ARBA.O" advise="1">
        <values>
          <value>
            <val>113.75</val>
          </value>
        </values>
      </ddeItem>
      <ddeItem name="CG">
        <values>
          <value>
            <val>71.5625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70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60.75</val>
          </value>
        </values>
      </ddeItem>
      <ddeItem name="D" advise="1">
        <values>
          <value>
            <val>53.6875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81.8125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52.5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81.625</val>
          </value>
        </values>
      </ddeItem>
      <ddeItem name="EPG">
        <values>
          <value>
            <val>59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27</val>
          </value>
        </values>
      </ddeItem>
      <ddeItem name="INAP.O" advise="1">
        <values>
          <value>
            <val>19.875</val>
          </value>
        </values>
      </ddeItem>
      <ddeItem name="ISLD.O" advise="1">
        <values>
          <value>
            <val>14.6875</val>
          </value>
        </values>
      </ddeItem>
      <ddeItem name="ITWO.O" advise="1">
        <values>
          <value>
            <val>161.125</val>
          </value>
        </values>
      </ddeItem>
      <ddeItem name="KMI" advise="1">
        <values>
          <value>
            <val>39.625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68</val>
          </value>
        </values>
      </ddeItem>
      <ddeItem name="NPW" advise="1">
        <values>
          <value>
            <val>26</val>
          </value>
        </values>
      </ddeItem>
      <ddeItem name="NRG" advise="1">
        <values>
          <value>
            <val>30.5</val>
          </value>
        </values>
      </ddeItem>
      <ddeItem name="PCG">
        <values>
          <value>
            <val>24.75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51.4375</val>
          </value>
        </values>
      </ddeItem>
      <ddeItem name="SOE" advise="1">
        <values>
          <value>
            <val>27.125</val>
          </value>
        </values>
      </ddeItem>
      <ddeItem name="TRP">
        <values>
          <value>
            <val>9.25</val>
          </value>
        </values>
      </ddeItem>
      <ddeItem name="WCG" advise="1">
        <values>
          <value>
            <val>18.875</val>
          </value>
        </values>
      </ddeItem>
      <ddeItem name="WMB">
        <values>
          <value>
            <val>42.375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0" sqref="A20"/>
    </sheetView>
  </sheetViews>
  <sheetFormatPr defaultRowHeight="15.75" x14ac:dyDescent="0.25"/>
  <cols>
    <col min="1" max="1" width="23.6640625" style="237" bestFit="1" customWidth="1"/>
    <col min="2" max="2" width="8.88671875" style="238"/>
    <col min="3" max="3" width="2" style="237" customWidth="1"/>
    <col min="4" max="4" width="7.77734375" style="237" customWidth="1"/>
    <col min="5" max="5" width="1.109375" style="237" customWidth="1"/>
    <col min="6" max="6" width="7.88671875" style="237" customWidth="1"/>
    <col min="7" max="7" width="1.21875" style="237" customWidth="1"/>
    <col min="8" max="8" width="7.21875" style="237" customWidth="1"/>
    <col min="9" max="9" width="0.77734375" style="237" customWidth="1"/>
    <col min="10" max="16384" width="8.88671875" style="237"/>
  </cols>
  <sheetData>
    <row r="1" spans="1:10" ht="18.75" customHeight="1" x14ac:dyDescent="0.25">
      <c r="A1" s="237" t="s">
        <v>82</v>
      </c>
    </row>
    <row r="2" spans="1:10" ht="18" customHeight="1" x14ac:dyDescent="0.25">
      <c r="A2" s="298" t="s">
        <v>21</v>
      </c>
    </row>
    <row r="3" spans="1:10" ht="16.5" thickBot="1" x14ac:dyDescent="0.3"/>
    <row r="4" spans="1:10" ht="16.5" thickBot="1" x14ac:dyDescent="0.3">
      <c r="B4" s="239">
        <v>2000</v>
      </c>
      <c r="D4" s="394" t="s">
        <v>83</v>
      </c>
      <c r="E4" s="395"/>
      <c r="F4" s="395"/>
      <c r="G4" s="395"/>
      <c r="H4" s="396"/>
    </row>
    <row r="5" spans="1:10" ht="32.25" thickBot="1" x14ac:dyDescent="0.3">
      <c r="B5" s="240" t="s">
        <v>39</v>
      </c>
      <c r="D5" s="241" t="s">
        <v>25</v>
      </c>
      <c r="E5" s="242"/>
      <c r="F5" s="243" t="s">
        <v>26</v>
      </c>
      <c r="G5" s="244"/>
      <c r="H5" s="245" t="s">
        <v>27</v>
      </c>
    </row>
    <row r="6" spans="1:10" x14ac:dyDescent="0.25">
      <c r="A6" s="237" t="s">
        <v>84</v>
      </c>
      <c r="B6" s="246">
        <f>ENRON!Z7</f>
        <v>57.998317127898297</v>
      </c>
      <c r="D6" s="253">
        <f>ENRON!AH7</f>
        <v>-6.8681196238356293E-2</v>
      </c>
      <c r="E6" s="247"/>
      <c r="F6" s="248">
        <f>ENRON!AJ7</f>
        <v>-6.8681196238356293E-2</v>
      </c>
      <c r="G6" s="247"/>
      <c r="H6" s="249">
        <f>ENRON!AL7</f>
        <v>0.84507042253521125</v>
      </c>
    </row>
    <row r="7" spans="1:10" x14ac:dyDescent="0.25">
      <c r="A7" s="237" t="s">
        <v>85</v>
      </c>
      <c r="B7" s="250">
        <f>ENRON!Z9</f>
        <v>24.318087676907147</v>
      </c>
      <c r="D7" s="254">
        <f>ENRON!AH9</f>
        <v>-1.8814348664471563E-2</v>
      </c>
      <c r="E7" s="251"/>
      <c r="F7" s="255">
        <f>ENRON!AJ9</f>
        <v>-1.8814348664471563E-2</v>
      </c>
      <c r="G7" s="251"/>
      <c r="H7" s="256">
        <f>ENRON!AL9</f>
        <v>-3.2321712971155568E-2</v>
      </c>
    </row>
    <row r="8" spans="1:10" x14ac:dyDescent="0.25">
      <c r="A8" s="237" t="s">
        <v>89</v>
      </c>
      <c r="B8" s="250" t="str">
        <f>ENRON!Z10</f>
        <v xml:space="preserve">N/A </v>
      </c>
      <c r="D8" s="254">
        <f>ENRON!AH10</f>
        <v>-8.4831001791538907E-2</v>
      </c>
      <c r="E8" s="251"/>
      <c r="F8" s="255">
        <f>ENRON!AJ10</f>
        <v>-8.4831001791538907E-2</v>
      </c>
      <c r="G8" s="251"/>
      <c r="H8" s="256">
        <f>ENRON!AL10</f>
        <v>-0.17285412023168545</v>
      </c>
    </row>
    <row r="9" spans="1:10" x14ac:dyDescent="0.25">
      <c r="A9" s="237" t="s">
        <v>109</v>
      </c>
      <c r="B9" s="250">
        <f>ENRON!Z25</f>
        <v>25.101087256740424</v>
      </c>
      <c r="C9" s="289"/>
      <c r="D9" s="254">
        <f>ENRON!AH25</f>
        <v>-3.2732469546412575E-2</v>
      </c>
      <c r="E9" s="251"/>
      <c r="F9" s="255">
        <f>ENRON!AJ25</f>
        <v>-3.2732469546412575E-2</v>
      </c>
      <c r="G9" s="290"/>
      <c r="H9" s="256">
        <f>ENRON!AL25</f>
        <v>0.65559762899301899</v>
      </c>
      <c r="I9" s="289"/>
      <c r="J9" s="289"/>
    </row>
    <row r="10" spans="1:10" ht="16.5" thickBot="1" x14ac:dyDescent="0.3">
      <c r="A10" s="237" t="s">
        <v>110</v>
      </c>
      <c r="B10" s="296" t="s">
        <v>88</v>
      </c>
      <c r="D10" s="297">
        <f>ENRON!AH48</f>
        <v>-0.17180563105994273</v>
      </c>
      <c r="E10" s="293"/>
      <c r="F10" s="393">
        <f>ENRON!AJ48</f>
        <v>-0.17180563105994273</v>
      </c>
      <c r="G10" s="294"/>
      <c r="H10" s="295">
        <f>ENRON!AL48</f>
        <v>-0.27328738973750222</v>
      </c>
    </row>
    <row r="11" spans="1:10" x14ac:dyDescent="0.25">
      <c r="D11" s="291"/>
    </row>
    <row r="12" spans="1:10" x14ac:dyDescent="0.25">
      <c r="A12" s="252"/>
      <c r="F12" s="292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40"/>
  <sheetViews>
    <sheetView tabSelected="1" workbookViewId="0">
      <pane xSplit="3" topLeftCell="D1" activePane="topRight" state="frozen"/>
      <selection pane="topRight" activeCell="B3" sqref="B3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36805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3">
        <v>2000</v>
      </c>
      <c r="Y4" s="404"/>
      <c r="Z4" s="405"/>
      <c r="AA4" s="183"/>
      <c r="AB4" s="403">
        <v>2001</v>
      </c>
      <c r="AC4" s="404"/>
      <c r="AD4" s="40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2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3"/>
      <c r="Z5" s="76"/>
      <c r="AA5" s="78"/>
      <c r="AB5" s="74" t="s">
        <v>29</v>
      </c>
      <c r="AC5" s="213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3" t="s">
        <v>35</v>
      </c>
      <c r="AS5" s="20"/>
      <c r="AT5" s="84">
        <v>36798</v>
      </c>
      <c r="AU5" s="20"/>
      <c r="AV5" s="84">
        <v>36799</v>
      </c>
      <c r="AW5" s="225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8"/>
      <c r="Z6" s="89" t="s">
        <v>39</v>
      </c>
      <c r="AA6" s="92"/>
      <c r="AB6" s="87" t="s">
        <v>97</v>
      </c>
      <c r="AC6" s="218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4" t="s">
        <v>34</v>
      </c>
      <c r="AS6" s="97" t="s">
        <v>47</v>
      </c>
      <c r="AT6" s="224" t="s">
        <v>48</v>
      </c>
      <c r="AU6" s="97" t="s">
        <v>49</v>
      </c>
      <c r="AV6" s="98" t="s">
        <v>50</v>
      </c>
      <c r="AW6" s="226" t="s">
        <v>51</v>
      </c>
      <c r="AX6" s="98" t="s">
        <v>112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81.625</v>
      </c>
      <c r="F7" s="100"/>
      <c r="G7" s="103">
        <v>2.16</v>
      </c>
      <c r="H7" s="104" t="s">
        <v>53</v>
      </c>
      <c r="I7" s="105">
        <f>E7/G7</f>
        <v>37.789351851851848</v>
      </c>
      <c r="J7" s="100"/>
      <c r="K7" s="103">
        <v>2.14</v>
      </c>
      <c r="L7" s="106" t="s">
        <v>54</v>
      </c>
      <c r="M7" s="105">
        <f>E7/K7</f>
        <v>38.142523364485982</v>
      </c>
      <c r="N7" s="100"/>
      <c r="O7" s="103">
        <v>2.16</v>
      </c>
      <c r="P7" s="104" t="s">
        <v>53</v>
      </c>
      <c r="Q7" s="105">
        <f>M7/O7</f>
        <v>17.658575631706473</v>
      </c>
      <c r="R7" s="100"/>
      <c r="S7" s="107">
        <f>+S94</f>
        <v>1.9945454545454544</v>
      </c>
      <c r="T7" s="105">
        <f>E7/S7</f>
        <v>40.924111212397449</v>
      </c>
      <c r="U7" s="108"/>
      <c r="V7" s="109">
        <f>(S7-K7)/K7</f>
        <v>-6.7969413763806413E-2</v>
      </c>
      <c r="W7" s="110"/>
      <c r="X7" s="257">
        <f>+X94</f>
        <v>1.4073684210526312</v>
      </c>
      <c r="Y7" s="233"/>
      <c r="Z7" s="105">
        <f>E7/X7</f>
        <v>57.998317127898297</v>
      </c>
      <c r="AA7" s="108"/>
      <c r="AB7" s="257">
        <f>+AB94</f>
        <v>1.6405263157894736</v>
      </c>
      <c r="AC7" s="217"/>
      <c r="AD7" s="105">
        <f>E7/AB7</f>
        <v>49.755373756817455</v>
      </c>
      <c r="AE7" s="108"/>
      <c r="AF7" s="109">
        <f>(X7-S7)/S7</f>
        <v>-0.29439140238929151</v>
      </c>
      <c r="AG7" s="110"/>
      <c r="AH7" s="111">
        <f>((+AS7+E7-AT7)/AT7)</f>
        <v>-6.8681196238356293E-2</v>
      </c>
      <c r="AI7" s="110"/>
      <c r="AJ7" s="110">
        <f>((+AU7+E7-AV7)/AV7)</f>
        <v>-6.8681196238356293E-2</v>
      </c>
      <c r="AK7" s="110"/>
      <c r="AL7" s="112">
        <f>((+AW7+E7-AX7)/AX7)</f>
        <v>0.84507042253521125</v>
      </c>
      <c r="AM7" s="50"/>
      <c r="AN7" s="197">
        <f>AP7/E7</f>
        <v>6.1255742725880554E-3</v>
      </c>
      <c r="AO7" s="113"/>
      <c r="AP7" s="55">
        <v>0.5</v>
      </c>
      <c r="AQ7" s="299">
        <v>36775</v>
      </c>
      <c r="AR7" s="205">
        <v>0.125</v>
      </c>
      <c r="AS7" s="41"/>
      <c r="AT7" s="102">
        <v>87.64453125</v>
      </c>
      <c r="AU7" s="230"/>
      <c r="AV7" s="180">
        <v>87.64453125</v>
      </c>
      <c r="AW7" s="227">
        <f>0.125+0.125</f>
        <v>0.25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55</v>
      </c>
      <c r="B9" s="66"/>
      <c r="C9" s="114" t="s">
        <v>68</v>
      </c>
      <c r="D9" s="66"/>
      <c r="E9" s="306">
        <f>[1]!'.SPX'</f>
        <v>1408.99</v>
      </c>
      <c r="F9" s="124"/>
      <c r="G9" s="125">
        <v>40.53</v>
      </c>
      <c r="H9" s="117"/>
      <c r="I9" s="126">
        <f>E9/G9</f>
        <v>34.764125339254875</v>
      </c>
      <c r="J9" s="67"/>
      <c r="K9" s="125">
        <v>42.08</v>
      </c>
      <c r="L9" s="67"/>
      <c r="M9" s="126">
        <f>E9/K9</f>
        <v>33.483602661596962</v>
      </c>
      <c r="N9" s="124"/>
      <c r="O9" s="125">
        <v>40.53</v>
      </c>
      <c r="P9" s="117"/>
      <c r="Q9" s="126">
        <f>M9/O9</f>
        <v>0.82614366300510633</v>
      </c>
      <c r="R9" s="67"/>
      <c r="S9" s="127">
        <v>40.18</v>
      </c>
      <c r="T9" s="126">
        <f>E9/S9</f>
        <v>35.0669487307118</v>
      </c>
      <c r="U9" s="128"/>
      <c r="V9" s="129">
        <f>(S9-K9)/K9</f>
        <v>-4.5152091254752821E-2</v>
      </c>
      <c r="W9" s="130"/>
      <c r="X9" s="127">
        <v>57.94</v>
      </c>
      <c r="Y9" s="214"/>
      <c r="Z9" s="126">
        <f>E9/X9</f>
        <v>24.318087676907147</v>
      </c>
      <c r="AA9" s="128"/>
      <c r="AB9" s="127">
        <v>62.58</v>
      </c>
      <c r="AC9" s="214"/>
      <c r="AD9" s="126">
        <f>E9/AB9</f>
        <v>22.515020773410036</v>
      </c>
      <c r="AE9" s="128"/>
      <c r="AF9" s="129">
        <f>(X9-S9)/S9</f>
        <v>0.44201095072175206</v>
      </c>
      <c r="AG9" s="130"/>
      <c r="AH9" s="113">
        <f>((+AS9+E9-AT9)/AT9)</f>
        <v>-1.8814348664471563E-2</v>
      </c>
      <c r="AI9" s="130"/>
      <c r="AJ9" s="130">
        <f>((+AU9+E9-AV9)/AV9)</f>
        <v>-1.8814348664471563E-2</v>
      </c>
      <c r="AK9" s="130"/>
      <c r="AL9" s="131">
        <f>((+AW9+E9-AX9)/AX9)</f>
        <v>-3.2321712971155568E-2</v>
      </c>
      <c r="AM9" s="29"/>
      <c r="AN9" s="222">
        <v>1.1299999999999999E-2</v>
      </c>
      <c r="AO9" s="113"/>
      <c r="AP9" s="212">
        <f>AN9*E9</f>
        <v>15.921586999999999</v>
      </c>
      <c r="AQ9" s="40"/>
      <c r="AR9" s="205"/>
      <c r="AS9" s="200">
        <v>0.49299999999999999</v>
      </c>
      <c r="AT9" s="123">
        <v>1436.51</v>
      </c>
      <c r="AU9" s="200">
        <v>0.49299999999999999</v>
      </c>
      <c r="AV9" s="182">
        <v>1436.51</v>
      </c>
      <c r="AW9" s="200">
        <v>12.781000000000001</v>
      </c>
      <c r="AX9" s="182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306">
        <f>[1]!'.IXIC'</f>
        <v>3361.01</v>
      </c>
      <c r="F10" s="124"/>
      <c r="G10" s="125">
        <v>40.53</v>
      </c>
      <c r="H10" s="117"/>
      <c r="I10" s="126">
        <f>E10/G10</f>
        <v>82.926474216629657</v>
      </c>
      <c r="J10" s="67"/>
      <c r="K10" s="125">
        <v>42.08</v>
      </c>
      <c r="L10" s="67"/>
      <c r="M10" s="126">
        <f>E10/K10</f>
        <v>79.871910646387846</v>
      </c>
      <c r="N10" s="124"/>
      <c r="O10" s="125">
        <v>40.53</v>
      </c>
      <c r="P10" s="117"/>
      <c r="Q10" s="126">
        <f>M10/O10</f>
        <v>1.9706861743495643</v>
      </c>
      <c r="R10" s="67"/>
      <c r="S10" s="127">
        <v>40.18</v>
      </c>
      <c r="T10" s="126">
        <f>E10/S10</f>
        <v>83.648830263812854</v>
      </c>
      <c r="U10" s="128"/>
      <c r="V10" s="129">
        <f>(S10-K10)/K10</f>
        <v>-4.5152091254752821E-2</v>
      </c>
      <c r="W10" s="130"/>
      <c r="X10" s="259" t="s">
        <v>87</v>
      </c>
      <c r="Y10" s="214"/>
      <c r="Z10" s="260" t="s">
        <v>88</v>
      </c>
      <c r="AA10" s="128"/>
      <c r="AB10" s="259" t="s">
        <v>87</v>
      </c>
      <c r="AC10" s="214"/>
      <c r="AD10" s="260" t="s">
        <v>88</v>
      </c>
      <c r="AE10" s="128"/>
      <c r="AF10" s="129" t="e">
        <f>(X10-S10)/S10</f>
        <v>#VALUE!</v>
      </c>
      <c r="AG10" s="130"/>
      <c r="AH10" s="113">
        <f>((+AS10+E10-AT10)/AT10)</f>
        <v>-8.4831001791538907E-2</v>
      </c>
      <c r="AI10" s="130"/>
      <c r="AJ10" s="130">
        <f>((+AU10+E10-AV10)/AV10)</f>
        <v>-8.4831001791538907E-2</v>
      </c>
      <c r="AK10" s="130"/>
      <c r="AL10" s="131">
        <f>((+AW10+E10-AX10)/AX10)</f>
        <v>-0.17285412023168545</v>
      </c>
      <c r="AM10" s="29"/>
      <c r="AN10" s="222">
        <v>1.9E-3</v>
      </c>
      <c r="AO10" s="113"/>
      <c r="AP10" s="212">
        <f>AN10*E10</f>
        <v>6.3859190000000003</v>
      </c>
      <c r="AQ10" s="40"/>
      <c r="AR10" s="205"/>
      <c r="AS10" s="200">
        <v>0.24099999999999999</v>
      </c>
      <c r="AT10" s="123">
        <v>3672.82</v>
      </c>
      <c r="AU10" s="200">
        <v>0.24099999999999999</v>
      </c>
      <c r="AV10" s="182">
        <v>3672.82</v>
      </c>
      <c r="AW10" s="200">
        <v>4.9029999999999996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1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9"/>
      <c r="AT12" s="123"/>
      <c r="AU12" s="280"/>
      <c r="AV12" s="182"/>
      <c r="AW12" s="228"/>
      <c r="AX12" s="182"/>
    </row>
    <row r="13" spans="1:50" x14ac:dyDescent="0.2">
      <c r="A13" s="66" t="s">
        <v>107</v>
      </c>
      <c r="B13" s="66"/>
      <c r="C13" s="132" t="s">
        <v>77</v>
      </c>
      <c r="D13" s="66"/>
      <c r="E13" s="123">
        <f>[1]!AES</f>
        <v>64.75</v>
      </c>
      <c r="F13" s="66"/>
      <c r="G13" s="125">
        <v>4.72</v>
      </c>
      <c r="H13" s="133" t="s">
        <v>53</v>
      </c>
      <c r="I13" s="126">
        <f>E13/G13</f>
        <v>13.718220338983052</v>
      </c>
      <c r="J13" s="66"/>
      <c r="K13" s="125">
        <v>4.9400000000000004</v>
      </c>
      <c r="L13" s="67"/>
      <c r="M13" s="126">
        <f t="shared" ref="M13:M20" si="0">E13/K13</f>
        <v>13.107287449392711</v>
      </c>
      <c r="N13" s="66"/>
      <c r="O13" s="125">
        <v>4.72</v>
      </c>
      <c r="P13" s="133" t="s">
        <v>53</v>
      </c>
      <c r="Q13" s="126">
        <f>M13/O13</f>
        <v>2.776967679956083</v>
      </c>
      <c r="R13" s="66"/>
      <c r="S13" s="127">
        <v>3.43</v>
      </c>
      <c r="T13" s="126">
        <f t="shared" ref="T13:T20" si="1">E13/S13</f>
        <v>18.877551020408163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4"/>
      <c r="Z13" s="126">
        <f t="shared" ref="Z13:Z23" si="3">E13/X13</f>
        <v>43.456375838926178</v>
      </c>
      <c r="AA13" s="128"/>
      <c r="AB13" s="127">
        <v>1.92</v>
      </c>
      <c r="AC13" s="214"/>
      <c r="AD13" s="126">
        <f t="shared" ref="AD13:AD23" si="4">E13/AB13</f>
        <v>33.723958333333336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-5.5013967276666097E-2</v>
      </c>
      <c r="AI13" s="130"/>
      <c r="AJ13" s="130">
        <f t="shared" ref="AJ13:AJ23" si="7">((+AU13+E13-AV13)/AV13)</f>
        <v>-5.5013967276666097E-2</v>
      </c>
      <c r="AK13" s="130"/>
      <c r="AL13" s="131">
        <f t="shared" ref="AL13:AL23" si="8">((+AW13+E13-AX13)/AX13)</f>
        <v>0.73244147157190631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8" t="s">
        <v>79</v>
      </c>
      <c r="AR13" s="205">
        <v>0</v>
      </c>
      <c r="AS13" s="43"/>
      <c r="AT13" s="182">
        <v>68.51953125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71.5625</v>
      </c>
      <c r="F14" s="66"/>
      <c r="G14" s="125">
        <v>4.72</v>
      </c>
      <c r="H14" s="133" t="s">
        <v>53</v>
      </c>
      <c r="I14" s="126">
        <f>E14/G14</f>
        <v>15.161546610169493</v>
      </c>
      <c r="J14" s="66"/>
      <c r="K14" s="125">
        <v>4.9400000000000004</v>
      </c>
      <c r="L14" s="67"/>
      <c r="M14" s="126">
        <f>E14/K14</f>
        <v>14.486336032388662</v>
      </c>
      <c r="N14" s="66"/>
      <c r="O14" s="125">
        <v>4.72</v>
      </c>
      <c r="P14" s="133" t="s">
        <v>53</v>
      </c>
      <c r="Q14" s="126">
        <f>M14/O14</f>
        <v>3.0691389899128523</v>
      </c>
      <c r="R14" s="66"/>
      <c r="S14" s="127">
        <v>3.43</v>
      </c>
      <c r="T14" s="126">
        <f>E14/S14</f>
        <v>20.863702623906704</v>
      </c>
      <c r="U14" s="128"/>
      <c r="V14" s="129">
        <f>(S14-K14)/K14</f>
        <v>-0.30566801619433198</v>
      </c>
      <c r="W14" s="130"/>
      <c r="X14" s="127">
        <v>4.0599999999999996</v>
      </c>
      <c r="Y14" s="214"/>
      <c r="Z14" s="126">
        <f>E14/X14</f>
        <v>17.626231527093598</v>
      </c>
      <c r="AA14" s="128"/>
      <c r="AB14" s="127">
        <v>4.51</v>
      </c>
      <c r="AC14" s="214"/>
      <c r="AD14" s="126">
        <f>E14/AB14</f>
        <v>15.867516629711753</v>
      </c>
      <c r="AE14" s="128"/>
      <c r="AF14" s="129">
        <f>(X14-S14)/S14</f>
        <v>0.18367346938775495</v>
      </c>
      <c r="AG14" s="130"/>
      <c r="AH14" s="113">
        <f>((+AS14+E14-AT14)/AT14)</f>
        <v>7.645344040481822E-3</v>
      </c>
      <c r="AI14" s="130"/>
      <c r="AJ14" s="130">
        <f>((+AU14+E14-AV14)/AV14)</f>
        <v>7.645344040481822E-3</v>
      </c>
      <c r="AK14" s="130"/>
      <c r="AL14" s="131">
        <f>((+AW14+E14-AX14)/AX14)</f>
        <v>0.14209486166007901</v>
      </c>
      <c r="AM14" s="29"/>
      <c r="AN14" s="134">
        <f>AP14/E14</f>
        <v>1.2576419213973799E-2</v>
      </c>
      <c r="AO14" s="135"/>
      <c r="AP14" s="55">
        <f>[1]!'CG,DIVIDEND'</f>
        <v>0.9</v>
      </c>
      <c r="AQ14" s="258">
        <v>36762</v>
      </c>
      <c r="AR14" s="205">
        <v>0.22500000000000001</v>
      </c>
      <c r="AS14" s="43"/>
      <c r="AT14" s="182">
        <v>71.01953125</v>
      </c>
      <c r="AU14" s="43"/>
      <c r="AV14" s="182">
        <v>71.01953125</v>
      </c>
      <c r="AW14" s="43">
        <f>0.225+0.225+0.225</f>
        <v>0.67500000000000004</v>
      </c>
      <c r="AX14" s="182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70</v>
      </c>
      <c r="F15" s="66"/>
      <c r="G15" s="125">
        <v>2.88</v>
      </c>
      <c r="H15" s="133" t="s">
        <v>53</v>
      </c>
      <c r="I15" s="126">
        <f>E15/G15</f>
        <v>24.305555555555557</v>
      </c>
      <c r="J15" s="66"/>
      <c r="K15" s="125">
        <v>3.48</v>
      </c>
      <c r="L15" s="67"/>
      <c r="M15" s="126">
        <f>E15/K15</f>
        <v>20.114942528735632</v>
      </c>
      <c r="N15" s="66"/>
      <c r="O15" s="125">
        <v>2.88</v>
      </c>
      <c r="P15" s="133" t="s">
        <v>53</v>
      </c>
      <c r="Q15" s="126">
        <f>M15/O15</f>
        <v>6.984355044699873</v>
      </c>
      <c r="R15" s="66"/>
      <c r="S15" s="127">
        <v>2.02</v>
      </c>
      <c r="T15" s="126">
        <f>E15/S15</f>
        <v>34.653465346534652</v>
      </c>
      <c r="U15" s="128"/>
      <c r="V15" s="129">
        <f>(S15-K15)/K15</f>
        <v>-0.41954022988505746</v>
      </c>
      <c r="W15" s="130"/>
      <c r="X15" s="127">
        <v>2.87</v>
      </c>
      <c r="Y15" s="214"/>
      <c r="Z15" s="126">
        <f>E15/X15</f>
        <v>24.390243902439025</v>
      </c>
      <c r="AA15" s="128"/>
      <c r="AB15" s="127">
        <v>3.3</v>
      </c>
      <c r="AC15" s="214"/>
      <c r="AD15" s="126">
        <f>E15/AB15</f>
        <v>21.212121212121215</v>
      </c>
      <c r="AE15" s="128"/>
      <c r="AF15" s="129">
        <f>(X15-S15)/S15</f>
        <v>0.42079207920792083</v>
      </c>
      <c r="AG15" s="130"/>
      <c r="AH15" s="113">
        <f>((+AS15+E15-AT15)/AT15)</f>
        <v>-5.5649241146711638E-2</v>
      </c>
      <c r="AI15" s="130"/>
      <c r="AJ15" s="130">
        <f>((+AU15+E15-AV15)/AV15)</f>
        <v>-5.5649241146711638E-2</v>
      </c>
      <c r="AK15" s="130"/>
      <c r="AL15" s="131">
        <f>((+AW15+E15-AX15)/AX15)</f>
        <v>0.98059964726631388</v>
      </c>
      <c r="AM15" s="29"/>
      <c r="AN15" s="134">
        <f>AP15/E15</f>
        <v>3.5714285714285713E-3</v>
      </c>
      <c r="AO15" s="135"/>
      <c r="AP15" s="55">
        <f>[1]!'CGP,DIVIDEND'</f>
        <v>0.25</v>
      </c>
      <c r="AQ15" s="258">
        <v>36767</v>
      </c>
      <c r="AR15" s="205">
        <f>0.125/2</f>
        <v>6.25E-2</v>
      </c>
      <c r="AS15" s="43"/>
      <c r="AT15" s="182">
        <v>74.125</v>
      </c>
      <c r="AU15" s="43"/>
      <c r="AV15" s="182">
        <v>74.125</v>
      </c>
      <c r="AW15" s="43">
        <f>0.0625+0.0625+0.0625</f>
        <v>0.1875</v>
      </c>
      <c r="AX15" s="182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6">
        <f>[1]!D</f>
        <v>53.6875</v>
      </c>
      <c r="F16" s="66"/>
      <c r="G16" s="125">
        <v>3.24</v>
      </c>
      <c r="H16" s="117"/>
      <c r="I16" s="126">
        <f>E16/G16</f>
        <v>16.570216049382715</v>
      </c>
      <c r="J16" s="66"/>
      <c r="K16" s="125">
        <v>3.34</v>
      </c>
      <c r="L16" s="67"/>
      <c r="M16" s="126">
        <f t="shared" si="0"/>
        <v>16.074101796407188</v>
      </c>
      <c r="N16" s="66"/>
      <c r="O16" s="125">
        <v>3.24</v>
      </c>
      <c r="P16" s="117"/>
      <c r="Q16" s="126">
        <f>M16/O16</f>
        <v>4.9611425297553042</v>
      </c>
      <c r="R16" s="66"/>
      <c r="S16" s="127">
        <v>2.87</v>
      </c>
      <c r="T16" s="126">
        <f t="shared" si="1"/>
        <v>18.706445993031359</v>
      </c>
      <c r="U16" s="128"/>
      <c r="V16" s="129">
        <f t="shared" si="2"/>
        <v>-0.14071856287425144</v>
      </c>
      <c r="W16" s="130"/>
      <c r="X16" s="127">
        <v>3.3</v>
      </c>
      <c r="Y16" s="214"/>
      <c r="Z16" s="126">
        <f t="shared" si="3"/>
        <v>16.268939393939394</v>
      </c>
      <c r="AA16" s="128"/>
      <c r="AB16" s="127">
        <v>3.8</v>
      </c>
      <c r="AC16" s="214"/>
      <c r="AD16" s="126">
        <f t="shared" si="4"/>
        <v>14.128289473684211</v>
      </c>
      <c r="AE16" s="128"/>
      <c r="AF16" s="129">
        <f t="shared" si="5"/>
        <v>0.14982578397212534</v>
      </c>
      <c r="AG16" s="130"/>
      <c r="AH16" s="113">
        <f t="shared" si="6"/>
        <v>-7.566077073105118E-2</v>
      </c>
      <c r="AI16" s="130"/>
      <c r="AJ16" s="130">
        <f t="shared" si="7"/>
        <v>-7.566077073105118E-2</v>
      </c>
      <c r="AK16" s="130"/>
      <c r="AL16" s="131">
        <f t="shared" si="8"/>
        <v>0.41713375796178348</v>
      </c>
      <c r="AM16" s="29"/>
      <c r="AN16" s="134">
        <f t="shared" si="9"/>
        <v>4.8055878928987196E-2</v>
      </c>
      <c r="AO16" s="135"/>
      <c r="AP16" s="55">
        <f>[1]!'D,DIVIDEND'</f>
        <v>2.58</v>
      </c>
      <c r="AQ16" s="258">
        <v>36761</v>
      </c>
      <c r="AR16" s="205">
        <v>0.64500000000000002</v>
      </c>
      <c r="AS16" s="43"/>
      <c r="AT16" s="182">
        <v>58.08203125</v>
      </c>
      <c r="AU16" s="43"/>
      <c r="AV16" s="182">
        <v>58.08203125</v>
      </c>
      <c r="AW16" s="43">
        <f>0.645+0.645+0.645</f>
        <v>1.9350000000000001</v>
      </c>
      <c r="AX16" s="182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81.8125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27.733050847457626</v>
      </c>
      <c r="N17" s="66"/>
      <c r="O17" s="125"/>
      <c r="P17" s="133"/>
      <c r="Q17" s="126"/>
      <c r="R17" s="66"/>
      <c r="S17" s="127">
        <v>3.38</v>
      </c>
      <c r="T17" s="126">
        <f t="shared" si="1"/>
        <v>24.204881656804734</v>
      </c>
      <c r="U17" s="128"/>
      <c r="V17" s="129">
        <f t="shared" si="2"/>
        <v>0.14576271186440667</v>
      </c>
      <c r="W17" s="130"/>
      <c r="X17" s="127">
        <v>4.07</v>
      </c>
      <c r="Y17" s="214"/>
      <c r="Z17" s="126">
        <f t="shared" si="3"/>
        <v>20.101351351351351</v>
      </c>
      <c r="AA17" s="128"/>
      <c r="AB17" s="127">
        <v>4.4800000000000004</v>
      </c>
      <c r="AC17" s="214"/>
      <c r="AD17" s="126">
        <f t="shared" si="4"/>
        <v>18.26171875</v>
      </c>
      <c r="AE17" s="128"/>
      <c r="AF17" s="129">
        <f t="shared" si="5"/>
        <v>0.20414201183431965</v>
      </c>
      <c r="AG17" s="130"/>
      <c r="AH17" s="113">
        <f t="shared" si="6"/>
        <v>-4.613562872887917E-2</v>
      </c>
      <c r="AI17" s="130"/>
      <c r="AJ17" s="130">
        <f t="shared" si="7"/>
        <v>-4.613562872887917E-2</v>
      </c>
      <c r="AK17" s="130"/>
      <c r="AL17" s="131">
        <f t="shared" si="8"/>
        <v>0.66508728179551135</v>
      </c>
      <c r="AM17" s="29"/>
      <c r="AN17" s="134">
        <f t="shared" si="9"/>
        <v>2.689075630252101E-2</v>
      </c>
      <c r="AO17" s="135"/>
      <c r="AP17" s="55">
        <f>[1]!'DUK,DIVIDEND'</f>
        <v>2.2000000000000002</v>
      </c>
      <c r="AQ17" s="302" t="s">
        <v>113</v>
      </c>
      <c r="AR17" s="205">
        <v>0.55000000000000004</v>
      </c>
      <c r="AS17" s="43"/>
      <c r="AT17" s="182">
        <v>85.76953125</v>
      </c>
      <c r="AU17" s="43"/>
      <c r="AV17" s="182">
        <v>85.76953125</v>
      </c>
      <c r="AW17" s="43">
        <f>0.55+0.55+0.55</f>
        <v>1.6500000000000001</v>
      </c>
      <c r="AX17" s="182">
        <v>50.125</v>
      </c>
    </row>
    <row r="18" spans="1:50" ht="15.75" x14ac:dyDescent="0.25">
      <c r="A18" s="122" t="s">
        <v>114</v>
      </c>
      <c r="B18" s="66"/>
      <c r="C18" s="132" t="s">
        <v>59</v>
      </c>
      <c r="D18" s="66"/>
      <c r="E18" s="123">
        <f>[1]!DYN</f>
        <v>52.5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75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90.517241379310349</v>
      </c>
      <c r="U18" s="128"/>
      <c r="V18" s="129">
        <f>(S18-K18)/K18</f>
        <v>-0.17142857142857143</v>
      </c>
      <c r="W18" s="130"/>
      <c r="X18" s="127">
        <v>1.33</v>
      </c>
      <c r="Y18" s="214"/>
      <c r="Z18" s="126">
        <f t="shared" si="3"/>
        <v>39.473684210526315</v>
      </c>
      <c r="AA18" s="128"/>
      <c r="AB18" s="127">
        <v>1.64</v>
      </c>
      <c r="AC18" s="234"/>
      <c r="AD18" s="126">
        <f t="shared" si="4"/>
        <v>32.012195121951223</v>
      </c>
      <c r="AE18" s="128"/>
      <c r="AF18" s="129">
        <f t="shared" si="5"/>
        <v>1.2931034482758623</v>
      </c>
      <c r="AG18" s="130"/>
      <c r="AH18" s="113">
        <f t="shared" si="6"/>
        <v>-7.9262862231965478E-2</v>
      </c>
      <c r="AI18" s="130"/>
      <c r="AJ18" s="130">
        <f t="shared" si="7"/>
        <v>-7.9262862231965478E-2</v>
      </c>
      <c r="AK18" s="130"/>
      <c r="AL18" s="131">
        <f t="shared" si="8"/>
        <v>1.9897259393316196</v>
      </c>
      <c r="AM18" s="29"/>
      <c r="AN18" s="134">
        <f t="shared" si="9"/>
        <v>5.7142857142857143E-3</v>
      </c>
      <c r="AO18" s="135"/>
      <c r="AP18" s="55">
        <f>[1]!'DYN,DIVIDEND'</f>
        <v>0.3</v>
      </c>
      <c r="AQ18" s="258">
        <v>36767</v>
      </c>
      <c r="AR18" s="205">
        <v>7.4999999999999997E-2</v>
      </c>
      <c r="AS18" s="43"/>
      <c r="AT18" s="303">
        <v>57.01953125</v>
      </c>
      <c r="AU18" s="43"/>
      <c r="AV18" s="182">
        <v>57.01953125</v>
      </c>
      <c r="AW18" s="43">
        <f>(0.04451+0.15)/2+0.075</f>
        <v>0.17225499999999999</v>
      </c>
      <c r="AX18" s="182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59</v>
      </c>
      <c r="F19" s="66"/>
      <c r="G19" s="125">
        <v>2.85</v>
      </c>
      <c r="H19" s="133" t="s">
        <v>53</v>
      </c>
      <c r="I19" s="126">
        <f>E19/G19</f>
        <v>20.701754385964911</v>
      </c>
      <c r="J19" s="66"/>
      <c r="K19" s="125">
        <v>3.18</v>
      </c>
      <c r="L19" s="67"/>
      <c r="M19" s="126">
        <f t="shared" si="0"/>
        <v>18.553459119496853</v>
      </c>
      <c r="N19" s="66"/>
      <c r="O19" s="125">
        <v>2.85</v>
      </c>
      <c r="P19" s="133" t="s">
        <v>53</v>
      </c>
      <c r="Q19" s="126">
        <f>M19/O19</f>
        <v>6.5099856559638081</v>
      </c>
      <c r="R19" s="66"/>
      <c r="S19" s="127">
        <v>1.83</v>
      </c>
      <c r="T19" s="126">
        <f t="shared" si="1"/>
        <v>32.240437158469945</v>
      </c>
      <c r="U19" s="128"/>
      <c r="V19" s="129">
        <f t="shared" si="2"/>
        <v>-0.42452830188679247</v>
      </c>
      <c r="W19" s="130"/>
      <c r="X19" s="127">
        <v>2.58</v>
      </c>
      <c r="Y19" s="214"/>
      <c r="Z19" s="126">
        <f t="shared" si="3"/>
        <v>22.868217054263564</v>
      </c>
      <c r="AA19" s="128"/>
      <c r="AB19" s="127">
        <v>3.16</v>
      </c>
      <c r="AC19" s="214"/>
      <c r="AD19" s="126">
        <f t="shared" si="4"/>
        <v>18.670886075949365</v>
      </c>
      <c r="AE19" s="128"/>
      <c r="AF19" s="129">
        <f t="shared" si="5"/>
        <v>0.4098360655737705</v>
      </c>
      <c r="AG19" s="130"/>
      <c r="AH19" s="113">
        <f t="shared" si="6"/>
        <v>-4.2596348884381338E-2</v>
      </c>
      <c r="AI19" s="130"/>
      <c r="AJ19" s="130">
        <f t="shared" si="7"/>
        <v>-4.2596348884381338E-2</v>
      </c>
      <c r="AK19" s="130"/>
      <c r="AL19" s="131">
        <f t="shared" si="8"/>
        <v>0.53605152979066029</v>
      </c>
      <c r="AM19" s="29"/>
      <c r="AN19" s="134">
        <f t="shared" si="9"/>
        <v>1.3898305084745762E-2</v>
      </c>
      <c r="AO19" s="135"/>
      <c r="AP19" s="55">
        <f>[1]!'EPG,DIVIDEND'</f>
        <v>0.82</v>
      </c>
      <c r="AQ19" s="258">
        <v>36768</v>
      </c>
      <c r="AR19" s="205">
        <v>0.20599999999999999</v>
      </c>
      <c r="AS19" s="43"/>
      <c r="AT19" s="182">
        <v>61.625</v>
      </c>
      <c r="AU19" s="43"/>
      <c r="AV19" s="182">
        <v>61.625</v>
      </c>
      <c r="AW19" s="43">
        <f>0.206+0.206+0.206</f>
        <v>0.61799999999999999</v>
      </c>
      <c r="AX19" s="182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39.625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16.306584362139915</v>
      </c>
      <c r="N20" s="66"/>
      <c r="O20" s="125"/>
      <c r="P20" s="133"/>
      <c r="Q20" s="126"/>
      <c r="R20" s="66"/>
      <c r="S20" s="127">
        <v>1.17</v>
      </c>
      <c r="T20" s="126">
        <f t="shared" si="1"/>
        <v>33.86752136752137</v>
      </c>
      <c r="U20" s="128"/>
      <c r="V20" s="129"/>
      <c r="W20" s="130"/>
      <c r="X20" s="127">
        <v>1.24</v>
      </c>
      <c r="Y20" s="214"/>
      <c r="Z20" s="126">
        <f t="shared" si="3"/>
        <v>31.955645161290324</v>
      </c>
      <c r="AA20" s="128"/>
      <c r="AB20" s="127">
        <v>1.56</v>
      </c>
      <c r="AC20" s="214"/>
      <c r="AD20" s="126">
        <f t="shared" si="4"/>
        <v>25.400641025641026</v>
      </c>
      <c r="AE20" s="128"/>
      <c r="AF20" s="129">
        <f t="shared" si="5"/>
        <v>5.9829059829059887E-2</v>
      </c>
      <c r="AG20" s="130"/>
      <c r="AH20" s="113">
        <f t="shared" si="6"/>
        <v>-3.2061068702290078E-2</v>
      </c>
      <c r="AI20" s="130"/>
      <c r="AJ20" s="130">
        <f t="shared" si="7"/>
        <v>-3.2061068702290078E-2</v>
      </c>
      <c r="AK20" s="130"/>
      <c r="AL20" s="131">
        <f t="shared" si="8"/>
        <v>0.97027863777089773</v>
      </c>
      <c r="AM20" s="29"/>
      <c r="AN20" s="134">
        <f t="shared" si="9"/>
        <v>5.0473186119873821E-3</v>
      </c>
      <c r="AO20" s="135"/>
      <c r="AP20" s="55">
        <f>[1]!'KMI,DIVIDEND'</f>
        <v>0.2</v>
      </c>
      <c r="AQ20" s="258">
        <v>36734</v>
      </c>
      <c r="AR20" s="205">
        <v>0.05</v>
      </c>
      <c r="AS20" s="43"/>
      <c r="AT20" s="182">
        <v>40.9375</v>
      </c>
      <c r="AU20" s="43"/>
      <c r="AV20" s="182">
        <v>40.9375</v>
      </c>
      <c r="AW20" s="43">
        <f>0.05+0.05+0.05</f>
        <v>0.15000000000000002</v>
      </c>
      <c r="AX20" s="182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24.75</v>
      </c>
      <c r="F21" s="66"/>
      <c r="G21" s="125">
        <v>2.88</v>
      </c>
      <c r="H21" s="133" t="s">
        <v>53</v>
      </c>
      <c r="I21" s="126">
        <f>E21/G21</f>
        <v>8.59375</v>
      </c>
      <c r="J21" s="66"/>
      <c r="K21" s="125">
        <v>3.48</v>
      </c>
      <c r="L21" s="67"/>
      <c r="M21" s="126">
        <f>E21/K21</f>
        <v>7.1120689655172411</v>
      </c>
      <c r="N21" s="66"/>
      <c r="O21" s="125">
        <v>2.88</v>
      </c>
      <c r="P21" s="133" t="s">
        <v>53</v>
      </c>
      <c r="Q21" s="126">
        <f>M21/O21</f>
        <v>2.4694683908045976</v>
      </c>
      <c r="R21" s="66"/>
      <c r="S21" s="127">
        <v>1.79</v>
      </c>
      <c r="T21" s="126">
        <f>E21/S21</f>
        <v>13.826815642458101</v>
      </c>
      <c r="U21" s="128"/>
      <c r="V21" s="129">
        <f>(S21-K21)/K21</f>
        <v>-0.48563218390804597</v>
      </c>
      <c r="W21" s="130"/>
      <c r="X21" s="127">
        <v>2.5299999999999998</v>
      </c>
      <c r="Y21" s="214"/>
      <c r="Z21" s="126">
        <f t="shared" si="3"/>
        <v>9.7826086956521738</v>
      </c>
      <c r="AA21" s="128"/>
      <c r="AB21" s="127">
        <v>2.75</v>
      </c>
      <c r="AC21" s="214"/>
      <c r="AD21" s="126">
        <f t="shared" si="4"/>
        <v>9</v>
      </c>
      <c r="AE21" s="128"/>
      <c r="AF21" s="129">
        <f t="shared" si="5"/>
        <v>0.41340782122905012</v>
      </c>
      <c r="AG21" s="130"/>
      <c r="AH21" s="113">
        <f t="shared" si="6"/>
        <v>2.2430208165241244E-2</v>
      </c>
      <c r="AI21" s="130"/>
      <c r="AJ21" s="130">
        <f t="shared" si="7"/>
        <v>2.2430208165241244E-2</v>
      </c>
      <c r="AK21" s="130"/>
      <c r="AL21" s="131">
        <f t="shared" si="8"/>
        <v>0.2512195121951219</v>
      </c>
      <c r="AM21" s="29"/>
      <c r="AN21" s="134">
        <f t="shared" si="9"/>
        <v>4.8484848484848485E-2</v>
      </c>
      <c r="AO21" s="135"/>
      <c r="AP21" s="55">
        <f>[1]!'PCG,DIVIDEND'</f>
        <v>1.2</v>
      </c>
      <c r="AQ21" s="258">
        <v>36782</v>
      </c>
      <c r="AR21" s="205">
        <v>0.3</v>
      </c>
      <c r="AS21" s="43"/>
      <c r="AT21" s="182">
        <v>24.20703125</v>
      </c>
      <c r="AU21" s="43"/>
      <c r="AV21" s="182">
        <v>24.20703125</v>
      </c>
      <c r="AW21" s="43">
        <f>0.3+0.3+0.3</f>
        <v>0.89999999999999991</v>
      </c>
      <c r="AX21" s="182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8.0434782608695663</v>
      </c>
      <c r="U22" s="128"/>
      <c r="V22" s="129"/>
      <c r="W22" s="130"/>
      <c r="X22" s="127">
        <v>0.77</v>
      </c>
      <c r="Y22" s="214"/>
      <c r="Z22" s="126">
        <f t="shared" si="3"/>
        <v>12.012987012987013</v>
      </c>
      <c r="AA22" s="128"/>
      <c r="AB22" s="127">
        <v>0.82</v>
      </c>
      <c r="AC22" s="214"/>
      <c r="AD22" s="126">
        <f t="shared" si="4"/>
        <v>11.280487804878049</v>
      </c>
      <c r="AE22" s="128"/>
      <c r="AF22" s="129">
        <f t="shared" si="5"/>
        <v>-0.33043478260869558</v>
      </c>
      <c r="AG22" s="130"/>
      <c r="AH22" s="113">
        <f t="shared" si="6"/>
        <v>-6.7114093959731542E-3</v>
      </c>
      <c r="AI22" s="130"/>
      <c r="AJ22" s="130">
        <f t="shared" si="7"/>
        <v>-6.7114093959731542E-3</v>
      </c>
      <c r="AK22" s="130"/>
      <c r="AL22" s="131">
        <f t="shared" si="8"/>
        <v>0.12571428571428567</v>
      </c>
      <c r="AM22" s="29"/>
      <c r="AN22" s="134">
        <f t="shared" si="9"/>
        <v>8.6486486486486491E-2</v>
      </c>
      <c r="AO22" s="135"/>
      <c r="AP22" s="300">
        <f>AR22*4</f>
        <v>0.8</v>
      </c>
      <c r="AQ22" s="258">
        <v>36797</v>
      </c>
      <c r="AR22" s="205">
        <v>0.2</v>
      </c>
      <c r="AS22" s="43"/>
      <c r="AT22" s="182">
        <v>9.3125</v>
      </c>
      <c r="AU22" s="43"/>
      <c r="AV22" s="182">
        <v>9.3125</v>
      </c>
      <c r="AW22" s="43">
        <f>0.2+0.2+0.2</f>
        <v>0.60000000000000009</v>
      </c>
      <c r="AX22" s="182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42.375</v>
      </c>
      <c r="F23" s="66"/>
      <c r="G23" s="125">
        <v>2.08</v>
      </c>
      <c r="H23" s="133" t="s">
        <v>53</v>
      </c>
      <c r="I23" s="126">
        <f>E23/G23</f>
        <v>20.372596153846153</v>
      </c>
      <c r="J23" s="66"/>
      <c r="K23" s="125">
        <v>1.04</v>
      </c>
      <c r="L23" s="67"/>
      <c r="M23" s="126">
        <f>E23/K23</f>
        <v>40.745192307692307</v>
      </c>
      <c r="N23" s="66"/>
      <c r="O23" s="125">
        <v>2.08</v>
      </c>
      <c r="P23" s="133" t="s">
        <v>53</v>
      </c>
      <c r="Q23" s="126">
        <f>M23/O23</f>
        <v>19.589034763313609</v>
      </c>
      <c r="R23" s="66"/>
      <c r="S23" s="127">
        <v>0.82</v>
      </c>
      <c r="T23" s="126">
        <f>E23/S23</f>
        <v>51.676829268292686</v>
      </c>
      <c r="U23" s="128"/>
      <c r="V23" s="129">
        <f>(S23-K23)/K23</f>
        <v>-0.21153846153846162</v>
      </c>
      <c r="W23" s="130"/>
      <c r="X23" s="127">
        <v>1.1100000000000001</v>
      </c>
      <c r="Y23" s="214"/>
      <c r="Z23" s="126">
        <f t="shared" si="3"/>
        <v>38.17567567567567</v>
      </c>
      <c r="AA23" s="128"/>
      <c r="AB23" s="127">
        <v>1.17</v>
      </c>
      <c r="AC23" s="214"/>
      <c r="AD23" s="126">
        <f t="shared" si="4"/>
        <v>36.217948717948723</v>
      </c>
      <c r="AE23" s="128"/>
      <c r="AF23" s="129">
        <f t="shared" si="5"/>
        <v>0.35365853658536606</v>
      </c>
      <c r="AG23" s="130"/>
      <c r="AH23" s="113">
        <f t="shared" si="6"/>
        <v>2.9585798816568047E-3</v>
      </c>
      <c r="AI23" s="130"/>
      <c r="AJ23" s="130">
        <f t="shared" si="7"/>
        <v>2.9585798816568047E-3</v>
      </c>
      <c r="AK23" s="130"/>
      <c r="AL23" s="131">
        <f t="shared" si="8"/>
        <v>0.40122699386503075</v>
      </c>
      <c r="AM23" s="29"/>
      <c r="AN23" s="134">
        <f t="shared" si="9"/>
        <v>1.415929203539823E-2</v>
      </c>
      <c r="AO23" s="135"/>
      <c r="AP23" s="55">
        <f>[1]!'WMB,DIVIDEND'</f>
        <v>0.6</v>
      </c>
      <c r="AQ23" s="258">
        <v>36761</v>
      </c>
      <c r="AR23" s="205">
        <v>0.15</v>
      </c>
      <c r="AS23" s="43"/>
      <c r="AT23" s="182">
        <v>42.25</v>
      </c>
      <c r="AU23" s="43"/>
      <c r="AV23" s="182">
        <v>42.25</v>
      </c>
      <c r="AW23" s="43">
        <f>0.15+0.15+0.15</f>
        <v>0.44999999999999996</v>
      </c>
      <c r="AX23" s="182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5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6"/>
      <c r="AS24" s="30"/>
      <c r="AT24" s="57"/>
      <c r="AU24" s="232"/>
      <c r="AV24" s="23"/>
      <c r="AW24" s="229"/>
      <c r="AX24" s="23"/>
    </row>
    <row r="25" spans="1:50" x14ac:dyDescent="0.2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17.060519870557414</v>
      </c>
      <c r="J25" s="67"/>
      <c r="K25" s="138"/>
      <c r="L25" s="139"/>
      <c r="M25" s="140">
        <f>AVERAGE(M13:M23)</f>
        <v>24.923302340922817</v>
      </c>
      <c r="N25" s="66"/>
      <c r="O25" s="138"/>
      <c r="P25" s="139"/>
      <c r="Q25" s="140">
        <f>AVERAGE(Q13:Q23)</f>
        <v>6.6228704363437325</v>
      </c>
      <c r="R25" s="67"/>
      <c r="S25" s="138"/>
      <c r="T25" s="140">
        <f>AVERAGE(T13:T23)</f>
        <v>31.588942701600693</v>
      </c>
      <c r="U25" s="128"/>
      <c r="V25" s="141">
        <f>AVERAGE(V13:V23)</f>
        <v>-0.25766218133838198</v>
      </c>
      <c r="W25" s="130"/>
      <c r="X25" s="198"/>
      <c r="Y25" s="220"/>
      <c r="Z25" s="140">
        <f>AVERAGE(Z13:Z23)</f>
        <v>25.101087256740424</v>
      </c>
      <c r="AA25" s="128"/>
      <c r="AB25" s="185"/>
      <c r="AC25" s="215"/>
      <c r="AD25" s="140">
        <f>AVERAGE(AD13:AD23)</f>
        <v>21.434160285928993</v>
      </c>
      <c r="AE25" s="128"/>
      <c r="AF25" s="141">
        <f>AVERAGE(AF13:AF23)</f>
        <v>0.23565780233164094</v>
      </c>
      <c r="AG25" s="130"/>
      <c r="AH25" s="142">
        <f>AVERAGE(AH13:AH23)</f>
        <v>-3.2732469546412575E-2</v>
      </c>
      <c r="AI25" s="143"/>
      <c r="AJ25" s="276">
        <f>AVERAGE(AJ13:AJ23)</f>
        <v>-3.2732469546412575E-2</v>
      </c>
      <c r="AK25" s="143"/>
      <c r="AL25" s="392">
        <f>AVERAGE(AL13:AL23)</f>
        <v>0.65559762899301899</v>
      </c>
      <c r="AM25" s="29"/>
      <c r="AN25" s="141">
        <f>AVERAGE(AN13:AN23)</f>
        <v>2.4080456312242059E-2</v>
      </c>
      <c r="AO25" s="142"/>
      <c r="AP25" s="144"/>
      <c r="AQ25" s="145"/>
      <c r="AR25" s="207"/>
      <c r="AS25" s="37"/>
      <c r="AT25" s="223"/>
      <c r="AU25" s="37"/>
      <c r="AV25" s="53"/>
      <c r="AW25" s="223"/>
      <c r="AX25" s="53"/>
    </row>
    <row r="26" spans="1:50" hidden="1" x14ac:dyDescent="0.2">
      <c r="A26" s="146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x14ac:dyDescent="0.2">
      <c r="A27" s="146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x14ac:dyDescent="0.2">
      <c r="A28" s="324"/>
      <c r="B28" s="9"/>
      <c r="C28" s="18"/>
      <c r="D28" s="9"/>
      <c r="E28" s="9"/>
      <c r="F28" s="9"/>
      <c r="G28" s="325"/>
      <c r="H28" s="325"/>
      <c r="I28" s="325"/>
      <c r="J28" s="325"/>
      <c r="K28" s="325"/>
      <c r="L28" s="325"/>
      <c r="M28" s="325"/>
      <c r="N28" s="9"/>
      <c r="O28" s="325"/>
      <c r="P28" s="325"/>
      <c r="Q28" s="325"/>
      <c r="R28" s="9"/>
      <c r="S28" s="9"/>
      <c r="T28" s="9"/>
      <c r="U28" s="9"/>
      <c r="V28" s="9"/>
      <c r="W28" s="9"/>
      <c r="X28" s="400" t="s">
        <v>105</v>
      </c>
      <c r="Y28" s="401"/>
      <c r="Z28" s="401"/>
      <c r="AA28" s="401"/>
      <c r="AB28" s="402"/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ht="9.9499999999999993" customHeight="1" thickBot="1" x14ac:dyDescent="0.25">
      <c r="A29" s="330" t="s">
        <v>7</v>
      </c>
      <c r="B29" s="9"/>
      <c r="C29" s="18"/>
      <c r="D29" s="9"/>
      <c r="E29" s="9"/>
      <c r="F29" s="9"/>
      <c r="G29" s="325"/>
      <c r="H29" s="325"/>
      <c r="I29" s="325"/>
      <c r="J29" s="325"/>
      <c r="K29" s="325"/>
      <c r="L29" s="325"/>
      <c r="M29" s="325"/>
      <c r="N29" s="9"/>
      <c r="O29" s="325"/>
      <c r="P29" s="325"/>
      <c r="Q29" s="325"/>
      <c r="R29" s="325"/>
      <c r="S29" s="325"/>
      <c r="T29" s="325"/>
      <c r="U29" s="331"/>
      <c r="V29" s="326"/>
      <c r="W29" s="327"/>
      <c r="X29" s="332" t="s">
        <v>103</v>
      </c>
      <c r="Y29" s="333"/>
      <c r="Z29" s="334"/>
      <c r="AA29" s="334"/>
      <c r="AB29" s="332" t="s">
        <v>104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91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2">
        <f>AVERAGE(X74:X92)</f>
        <v>1.4073684210526312</v>
      </c>
      <c r="Y30" s="66"/>
      <c r="Z30" s="66"/>
      <c r="AA30" s="66"/>
      <c r="AB30" s="282">
        <f>AVERAGE(AB74:AB92)</f>
        <v>1.6405263157894736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92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MAX(X74:X92)</f>
        <v>1.5</v>
      </c>
      <c r="Y31" s="66"/>
      <c r="Z31" s="66"/>
      <c r="AA31" s="66"/>
      <c r="AB31" s="282">
        <f>MAX(AB74:AB92)</f>
        <v>1.75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 t="s">
        <v>93</v>
      </c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83">
        <f>MIN(X74:X92)</f>
        <v>1.35</v>
      </c>
      <c r="Y32" s="66"/>
      <c r="Z32" s="66"/>
      <c r="AA32" s="66"/>
      <c r="AB32" s="283">
        <f>MIN(AB74:AB92)</f>
        <v>1.53</v>
      </c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x14ac:dyDescent="0.2">
      <c r="A33" s="146"/>
      <c r="B33" s="33"/>
      <c r="C33" s="34"/>
      <c r="D33" s="33"/>
      <c r="E33" s="33"/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66"/>
      <c r="Y33" s="66"/>
      <c r="Z33" s="66"/>
      <c r="AA33" s="66"/>
      <c r="AB33" s="66"/>
      <c r="AC33" s="66"/>
      <c r="AD33" s="193"/>
      <c r="AE33" s="66"/>
      <c r="AF33" s="38"/>
      <c r="AG33" s="12"/>
      <c r="AH33" s="12"/>
      <c r="AI33" s="12"/>
      <c r="AJ33" s="12"/>
      <c r="AK33" s="12"/>
      <c r="AL33" s="38"/>
      <c r="AM33" s="29"/>
      <c r="AN33" s="29"/>
      <c r="AO33" s="29"/>
      <c r="AP33" s="147"/>
      <c r="AQ33" s="148"/>
      <c r="AR33" s="208"/>
      <c r="AS33" s="11"/>
    </row>
    <row r="34" spans="1:50" s="329" customFormat="1" ht="9.9499999999999993" customHeight="1" x14ac:dyDescent="0.2">
      <c r="B34" s="9"/>
      <c r="C34" s="18"/>
      <c r="D34" s="9"/>
      <c r="E34" s="9"/>
      <c r="F34" s="9"/>
      <c r="G34" s="325"/>
      <c r="H34" s="325"/>
      <c r="I34" s="325"/>
      <c r="J34" s="325"/>
      <c r="K34" s="325"/>
      <c r="L34" s="325"/>
      <c r="M34" s="325"/>
      <c r="N34" s="9"/>
      <c r="O34" s="325"/>
      <c r="P34" s="325"/>
      <c r="Q34" s="325"/>
      <c r="R34" s="325"/>
      <c r="S34" s="325"/>
      <c r="T34" s="325"/>
      <c r="U34" s="331"/>
      <c r="V34" s="326"/>
      <c r="W34" s="327"/>
      <c r="X34" s="400">
        <v>2000</v>
      </c>
      <c r="Y34" s="401"/>
      <c r="Z34" s="402"/>
      <c r="AA34" s="325"/>
      <c r="AB34" s="400">
        <v>2001</v>
      </c>
      <c r="AC34" s="401"/>
      <c r="AD34" s="402"/>
      <c r="AE34" s="325"/>
      <c r="AF34" s="326"/>
      <c r="AG34" s="327"/>
      <c r="AH34" s="344" t="s">
        <v>23</v>
      </c>
      <c r="AI34" s="345"/>
      <c r="AJ34" s="345"/>
      <c r="AK34" s="345"/>
      <c r="AL34" s="346"/>
      <c r="AN34" s="347"/>
      <c r="AO34" s="9"/>
      <c r="AP34" s="147"/>
      <c r="AQ34" s="148"/>
      <c r="AR34" s="208"/>
      <c r="AS34" s="328"/>
    </row>
    <row r="35" spans="1:50" s="329" customFormat="1" ht="9.9499999999999993" customHeight="1" x14ac:dyDescent="0.2">
      <c r="B35" s="9"/>
      <c r="C35" s="18"/>
      <c r="D35" s="9"/>
      <c r="E35" s="9"/>
      <c r="F35" s="9"/>
      <c r="G35" s="325"/>
      <c r="H35" s="325"/>
      <c r="I35" s="325"/>
      <c r="J35" s="325"/>
      <c r="K35" s="325"/>
      <c r="L35" s="325"/>
      <c r="M35" s="325"/>
      <c r="N35" s="9"/>
      <c r="O35" s="325"/>
      <c r="P35" s="325"/>
      <c r="Q35" s="325"/>
      <c r="R35" s="325"/>
      <c r="S35" s="325"/>
      <c r="T35" s="325"/>
      <c r="U35" s="331"/>
      <c r="V35" s="326"/>
      <c r="W35" s="327"/>
      <c r="X35" s="364" t="s">
        <v>29</v>
      </c>
      <c r="Y35" s="331"/>
      <c r="Z35" s="383"/>
      <c r="AA35" s="325"/>
      <c r="AB35" s="364" t="s">
        <v>29</v>
      </c>
      <c r="AC35" s="331"/>
      <c r="AD35" s="383"/>
      <c r="AE35" s="325"/>
      <c r="AF35" s="326"/>
      <c r="AG35" s="327"/>
      <c r="AH35" s="361" t="s">
        <v>31</v>
      </c>
      <c r="AI35" s="357"/>
      <c r="AJ35" s="357" t="s">
        <v>32</v>
      </c>
      <c r="AK35" s="357"/>
      <c r="AL35" s="362" t="s">
        <v>33</v>
      </c>
      <c r="AN35" s="363" t="s">
        <v>34</v>
      </c>
      <c r="AO35" s="9"/>
      <c r="AP35" s="147"/>
      <c r="AQ35" s="148"/>
      <c r="AR35" s="208"/>
      <c r="AS35" s="328"/>
      <c r="AT35" s="384">
        <v>36798</v>
      </c>
      <c r="AV35" s="384">
        <f>+AV5</f>
        <v>36799</v>
      </c>
      <c r="AX35" s="384" t="str">
        <f>+AX6</f>
        <v xml:space="preserve">12/31/99 Closing </v>
      </c>
    </row>
    <row r="36" spans="1:50" s="329" customFormat="1" ht="9.9499999999999993" customHeight="1" thickBot="1" x14ac:dyDescent="0.25">
      <c r="A36" s="385" t="s">
        <v>102</v>
      </c>
      <c r="B36" s="9"/>
      <c r="C36" s="18"/>
      <c r="D36" s="9"/>
      <c r="E36" s="9"/>
      <c r="F36" s="9"/>
      <c r="G36" s="325"/>
      <c r="H36" s="325"/>
      <c r="I36" s="325"/>
      <c r="J36" s="325"/>
      <c r="K36" s="325"/>
      <c r="L36" s="325"/>
      <c r="M36" s="325"/>
      <c r="N36" s="9"/>
      <c r="O36" s="325"/>
      <c r="P36" s="325"/>
      <c r="Q36" s="325"/>
      <c r="R36" s="325"/>
      <c r="S36" s="325"/>
      <c r="T36" s="325"/>
      <c r="U36" s="331"/>
      <c r="V36" s="326"/>
      <c r="W36" s="327"/>
      <c r="X36" s="375" t="s">
        <v>94</v>
      </c>
      <c r="Y36" s="386"/>
      <c r="Z36" s="387" t="s">
        <v>95</v>
      </c>
      <c r="AA36" s="388"/>
      <c r="AB36" s="375" t="s">
        <v>94</v>
      </c>
      <c r="AC36" s="386"/>
      <c r="AD36" s="387" t="s">
        <v>95</v>
      </c>
      <c r="AE36" s="386"/>
      <c r="AF36" s="389"/>
      <c r="AG36" s="389"/>
      <c r="AH36" s="378" t="s">
        <v>42</v>
      </c>
      <c r="AI36" s="379"/>
      <c r="AJ36" s="379" t="s">
        <v>43</v>
      </c>
      <c r="AK36" s="379"/>
      <c r="AL36" s="380" t="s">
        <v>43</v>
      </c>
      <c r="AM36" s="390"/>
      <c r="AN36" s="381" t="s">
        <v>44</v>
      </c>
      <c r="AO36" s="9"/>
      <c r="AP36" s="147"/>
      <c r="AQ36" s="148"/>
      <c r="AR36" s="208"/>
      <c r="AS36" s="328"/>
      <c r="AT36" s="224"/>
      <c r="AV36" s="224" t="s">
        <v>50</v>
      </c>
    </row>
    <row r="37" spans="1:50" x14ac:dyDescent="0.2">
      <c r="A37" s="179" t="str">
        <f>'[2]7-07-00'!$A$17</f>
        <v>Akamai*</v>
      </c>
      <c r="B37" s="66"/>
      <c r="C37" s="114" t="str">
        <f>'[2]7-07-00'!$B$17</f>
        <v>AKAM</v>
      </c>
      <c r="D37" s="66"/>
      <c r="E37" s="123">
        <f>[1]!AKAM.O</f>
        <v>36.1875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04">
        <v>81.135999999999996</v>
      </c>
      <c r="Y37" s="67"/>
      <c r="Z37" s="267">
        <f>'[2]7-07-00'!$G$17</f>
        <v>154.66440677966102</v>
      </c>
      <c r="AA37" s="66"/>
      <c r="AB37" s="304">
        <v>184.5</v>
      </c>
      <c r="AC37" s="67"/>
      <c r="AD37" s="267">
        <f>'[2]7-07-00'!$J$17</f>
        <v>70.611666666666665</v>
      </c>
      <c r="AE37" s="66"/>
      <c r="AF37" s="38"/>
      <c r="AG37" s="12"/>
      <c r="AH37" s="113">
        <f t="shared" ref="AH37:AH46" si="10">((+AS37+E37-AT37)/AT37)</f>
        <v>-0.31091936923534663</v>
      </c>
      <c r="AI37" s="263"/>
      <c r="AJ37" s="130">
        <f t="shared" ref="AJ37:AJ46" si="11">((+AU37+E37-AV37)/AV37)</f>
        <v>-0.31091936923534663</v>
      </c>
      <c r="AK37" s="12"/>
      <c r="AL37" s="131">
        <f t="shared" ref="AL37:AL46" si="12">((+AW37+E37-AX37)/AX37)</f>
        <v>-0.88954597481877151</v>
      </c>
      <c r="AM37" s="29"/>
      <c r="AN37" s="134">
        <f t="shared" ref="AN37:AN43" si="13">AP37/E37</f>
        <v>0</v>
      </c>
      <c r="AO37" s="29"/>
      <c r="AP37" s="147">
        <v>0</v>
      </c>
      <c r="AQ37" s="148"/>
      <c r="AR37" s="208"/>
      <c r="AS37" s="11"/>
      <c r="AT37" s="301">
        <v>52.515625</v>
      </c>
      <c r="AV37" s="301">
        <v>52.515625</v>
      </c>
      <c r="AX37" s="182">
        <v>327.625</v>
      </c>
    </row>
    <row r="38" spans="1:50" x14ac:dyDescent="0.2">
      <c r="A38" s="179" t="str">
        <f>'[2]7-07-00'!$A$19</f>
        <v>Digital Island*</v>
      </c>
      <c r="B38" s="66"/>
      <c r="C38" s="114" t="str">
        <f>'[2]7-07-00'!$B$19</f>
        <v>ISLD</v>
      </c>
      <c r="D38" s="66"/>
      <c r="E38" s="123">
        <f>[1]!ISLD.O</f>
        <v>14.6875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04">
        <v>55.639000000000003</v>
      </c>
      <c r="Y38" s="67"/>
      <c r="Z38" s="267">
        <f>'[2]7-07-00'!$G$19</f>
        <v>54.394945155393046</v>
      </c>
      <c r="AA38" s="66"/>
      <c r="AB38" s="304">
        <v>171.875</v>
      </c>
      <c r="AC38" s="67"/>
      <c r="AD38" s="267">
        <f>'[2]7-07-00'!$J$19</f>
        <v>18.807860303413403</v>
      </c>
      <c r="AE38" s="66"/>
      <c r="AF38" s="38"/>
      <c r="AG38" s="12"/>
      <c r="AH38" s="113">
        <f t="shared" si="10"/>
        <v>-0.21666666666666667</v>
      </c>
      <c r="AI38" s="263"/>
      <c r="AJ38" s="130">
        <f t="shared" si="11"/>
        <v>-0.21666666666666667</v>
      </c>
      <c r="AK38" s="12"/>
      <c r="AL38" s="131">
        <f t="shared" si="12"/>
        <v>-0.84559789750328518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301">
        <v>18.75</v>
      </c>
      <c r="AV38" s="301">
        <v>18.75</v>
      </c>
      <c r="AX38" s="182">
        <v>95.125</v>
      </c>
    </row>
    <row r="39" spans="1:50" x14ac:dyDescent="0.2">
      <c r="A39" s="179" t="str">
        <f>'[2]7-07-00'!$A$22</f>
        <v>InterNap</v>
      </c>
      <c r="B39" s="66"/>
      <c r="C39" s="114" t="str">
        <f>'[2]7-07-00'!$B$22</f>
        <v>INAP</v>
      </c>
      <c r="D39" s="66"/>
      <c r="E39" s="123">
        <f>[1]!INAP.O</f>
        <v>19.875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04">
        <v>67.5</v>
      </c>
      <c r="Y39" s="67"/>
      <c r="Z39" s="267">
        <f>'[2]7-07-00'!$G$22</f>
        <v>86.069645765472302</v>
      </c>
      <c r="AA39" s="66"/>
      <c r="AB39" s="304">
        <v>204</v>
      </c>
      <c r="AC39" s="67"/>
      <c r="AD39" s="267">
        <f>'[2]7-07-00'!$J$22</f>
        <v>30.868436039719626</v>
      </c>
      <c r="AE39" s="66"/>
      <c r="AF39" s="38"/>
      <c r="AG39" s="12"/>
      <c r="AH39" s="113">
        <f t="shared" si="10"/>
        <v>-0.38491295938104447</v>
      </c>
      <c r="AI39" s="263"/>
      <c r="AJ39" s="130">
        <f t="shared" si="11"/>
        <v>-0.38491295938104447</v>
      </c>
      <c r="AK39" s="12"/>
      <c r="AL39" s="131">
        <f t="shared" si="12"/>
        <v>-0.77023121387283233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301">
        <v>32.3125</v>
      </c>
      <c r="AV39" s="301">
        <v>32.3125</v>
      </c>
      <c r="AX39" s="182">
        <v>86.5</v>
      </c>
    </row>
    <row r="40" spans="1:50" x14ac:dyDescent="0.2">
      <c r="A40" s="179" t="str">
        <f>'[2]7-07-00'!$A$33</f>
        <v>Williams Communications**</v>
      </c>
      <c r="B40" s="66"/>
      <c r="C40" s="114" t="str">
        <f>'[2]7-07-00'!$B$33</f>
        <v>WCG</v>
      </c>
      <c r="D40" s="66"/>
      <c r="E40" s="123">
        <f>[1]!WCG</f>
        <v>18.875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05">
        <v>2258.8780000000002</v>
      </c>
      <c r="Y40" s="285"/>
      <c r="Z40" s="267">
        <f>'[2]7-07-00'!$J$33</f>
        <v>5.7713396354166671</v>
      </c>
      <c r="AA40" s="66"/>
      <c r="AB40" s="304" t="s">
        <v>87</v>
      </c>
      <c r="AC40" s="67"/>
      <c r="AD40" s="267" t="s">
        <v>87</v>
      </c>
      <c r="AE40" s="66"/>
      <c r="AF40" s="38"/>
      <c r="AG40" s="12"/>
      <c r="AH40" s="113">
        <f t="shared" si="10"/>
        <v>-5.6250000000000001E-2</v>
      </c>
      <c r="AI40" s="263"/>
      <c r="AJ40" s="130">
        <f t="shared" si="11"/>
        <v>-5.6250000000000001E-2</v>
      </c>
      <c r="AK40" s="12"/>
      <c r="AL40" s="131">
        <f t="shared" si="12"/>
        <v>-0.34773218142548595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301">
        <v>20</v>
      </c>
      <c r="AV40" s="301">
        <v>20</v>
      </c>
      <c r="AX40" s="182">
        <v>28.9375</v>
      </c>
    </row>
    <row r="41" spans="1:50" x14ac:dyDescent="0.2">
      <c r="A41" s="179" t="str">
        <f>'[2]7-07-00'!$A$34</f>
        <v>Level3**</v>
      </c>
      <c r="B41" s="66"/>
      <c r="C41" s="114" t="str">
        <f>'[2]7-07-00'!$B$34</f>
        <v>LVLT</v>
      </c>
      <c r="D41" s="66"/>
      <c r="E41" s="123">
        <f>[1]!LVLT.O</f>
        <v>68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05">
        <v>1132.5</v>
      </c>
      <c r="Y41" s="285"/>
      <c r="Z41" s="267">
        <f>'[2]7-07-00'!$J$34</f>
        <v>34.558799868053406</v>
      </c>
      <c r="AA41" s="66"/>
      <c r="AB41" s="304">
        <v>2066.6999999999998</v>
      </c>
      <c r="AC41" s="67"/>
      <c r="AD41" s="267" t="s">
        <v>87</v>
      </c>
      <c r="AE41" s="66"/>
      <c r="AF41" s="38"/>
      <c r="AG41" s="12"/>
      <c r="AH41" s="113">
        <f t="shared" si="10"/>
        <v>-0.11831442463533225</v>
      </c>
      <c r="AI41" s="263"/>
      <c r="AJ41" s="130">
        <f t="shared" si="11"/>
        <v>-0.11831442463533225</v>
      </c>
      <c r="AK41" s="12"/>
      <c r="AL41" s="131">
        <f t="shared" si="12"/>
        <v>-0.16946564885496182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301">
        <v>77.125</v>
      </c>
      <c r="AV41" s="301">
        <v>77.125</v>
      </c>
      <c r="AX41" s="182">
        <v>81.875</v>
      </c>
    </row>
    <row r="42" spans="1:50" x14ac:dyDescent="0.2">
      <c r="A42" s="179" t="str">
        <f>'[2]7-07-00'!$A$35</f>
        <v>Global Crossing**</v>
      </c>
      <c r="B42" s="66"/>
      <c r="C42" s="114" t="str">
        <f>'[2]7-07-00'!$B$35</f>
        <v>GBLX</v>
      </c>
      <c r="D42" s="66"/>
      <c r="E42" s="123">
        <f>[1]!GBLX.O</f>
        <v>27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05">
        <f>'[2]7-07-00'!$I$35</f>
        <v>4650</v>
      </c>
      <c r="Y42" s="285"/>
      <c r="Z42" s="267">
        <f>'[2]7-07-00'!$J$35</f>
        <v>4.7806383064516131</v>
      </c>
      <c r="AA42" s="66"/>
      <c r="AB42" s="304" t="s">
        <v>87</v>
      </c>
      <c r="AC42" s="67"/>
      <c r="AD42" s="267" t="s">
        <v>87</v>
      </c>
      <c r="AE42" s="66"/>
      <c r="AF42" s="38"/>
      <c r="AG42" s="12"/>
      <c r="AH42" s="113">
        <f t="shared" si="10"/>
        <v>-0.12903225806451613</v>
      </c>
      <c r="AI42" s="263"/>
      <c r="AJ42" s="130">
        <f t="shared" si="11"/>
        <v>-0.12903225806451613</v>
      </c>
      <c r="AK42" s="12"/>
      <c r="AL42" s="131">
        <f t="shared" si="12"/>
        <v>-0.46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301">
        <v>31</v>
      </c>
      <c r="AV42" s="301">
        <v>31</v>
      </c>
      <c r="AX42" s="182">
        <v>50</v>
      </c>
    </row>
    <row r="43" spans="1:50" x14ac:dyDescent="0.2">
      <c r="A43" s="179" t="str">
        <f>'[2]7-07-00'!$A$36</f>
        <v>Qwest</v>
      </c>
      <c r="B43" s="66"/>
      <c r="C43" s="114" t="str">
        <f>'[2]7-07-00'!$B$36</f>
        <v>Q</v>
      </c>
      <c r="D43" s="66"/>
      <c r="E43" s="123">
        <f>[1]!Q</f>
        <v>51.4375</v>
      </c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305">
        <v>8649.7749999999996</v>
      </c>
      <c r="Y43" s="285"/>
      <c r="Z43" s="267">
        <f>'[2]7-07-00'!$J$36</f>
        <v>17.517848839462161</v>
      </c>
      <c r="AA43" s="66"/>
      <c r="AB43" s="304">
        <v>10213.5</v>
      </c>
      <c r="AC43" s="67"/>
      <c r="AD43" s="267" t="s">
        <v>87</v>
      </c>
      <c r="AE43" s="66"/>
      <c r="AF43" s="38"/>
      <c r="AG43" s="12"/>
      <c r="AH43" s="113">
        <f t="shared" si="10"/>
        <v>6.8831168831168826E-2</v>
      </c>
      <c r="AI43" s="263"/>
      <c r="AJ43" s="130">
        <f t="shared" si="11"/>
        <v>6.8831168831168826E-2</v>
      </c>
      <c r="AK43" s="12"/>
      <c r="AL43" s="131">
        <f t="shared" si="12"/>
        <v>0.19622093023255813</v>
      </c>
      <c r="AM43" s="29"/>
      <c r="AN43" s="134">
        <f t="shared" si="13"/>
        <v>0</v>
      </c>
      <c r="AO43" s="29"/>
      <c r="AP43" s="147">
        <v>0</v>
      </c>
      <c r="AQ43" s="148"/>
      <c r="AR43" s="208"/>
      <c r="AS43" s="11"/>
      <c r="AT43" s="301">
        <v>48.125</v>
      </c>
      <c r="AV43" s="301">
        <v>48.125</v>
      </c>
      <c r="AX43" s="182">
        <v>43</v>
      </c>
    </row>
    <row r="44" spans="1:50" x14ac:dyDescent="0.2">
      <c r="A44" s="179" t="str">
        <f>'[2]7-07-00'!$A$56</f>
        <v>Ariba</v>
      </c>
      <c r="B44" s="66"/>
      <c r="C44" s="114" t="str">
        <f>'[2]7-07-00'!$B$56</f>
        <v>ARBA</v>
      </c>
      <c r="D44" s="66"/>
      <c r="E44" s="123">
        <f>[1]!ARBA.O</f>
        <v>113.75</v>
      </c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304">
        <v>244.75</v>
      </c>
      <c r="Y44" s="67"/>
      <c r="Z44" s="267">
        <f>'[2]7-07-00'!$G$56</f>
        <v>127.34589430306534</v>
      </c>
      <c r="AA44" s="66"/>
      <c r="AB44" s="304">
        <v>550.54999999999995</v>
      </c>
      <c r="AC44" s="67"/>
      <c r="AD44" s="267">
        <f>'[2]7-07-00'!$J$56</f>
        <v>66.160171649639409</v>
      </c>
      <c r="AE44" s="66"/>
      <c r="AF44" s="38"/>
      <c r="AG44" s="12"/>
      <c r="AH44" s="113">
        <f t="shared" si="10"/>
        <v>-0.20602028574544662</v>
      </c>
      <c r="AI44" s="263"/>
      <c r="AJ44" s="130">
        <f t="shared" si="11"/>
        <v>-0.20602028574544662</v>
      </c>
      <c r="AK44" s="12"/>
      <c r="AL44" s="131">
        <f t="shared" si="12"/>
        <v>0.28259337561663145</v>
      </c>
      <c r="AM44" s="29"/>
      <c r="AN44" s="134">
        <f>AP44/E44</f>
        <v>0</v>
      </c>
      <c r="AO44" s="29"/>
      <c r="AP44" s="147">
        <v>0</v>
      </c>
      <c r="AQ44" s="148"/>
      <c r="AR44" s="208"/>
      <c r="AS44" s="11"/>
      <c r="AT44" s="301">
        <v>143.265625</v>
      </c>
      <c r="AV44" s="301">
        <v>143.265625</v>
      </c>
      <c r="AX44" s="182">
        <v>88.6875</v>
      </c>
    </row>
    <row r="45" spans="1:50" x14ac:dyDescent="0.2">
      <c r="A45" s="179" t="str">
        <f>'[2]7-07-00'!$A$57</f>
        <v>Commerce One</v>
      </c>
      <c r="B45" s="66"/>
      <c r="C45" s="114" t="str">
        <f>'[2]7-07-00'!$B$57</f>
        <v>CMRC</v>
      </c>
      <c r="D45" s="66"/>
      <c r="E45" s="123">
        <f>[1]!CMRC.O</f>
        <v>60.75</v>
      </c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4">
        <v>267.721</v>
      </c>
      <c r="Y45" s="67"/>
      <c r="Z45" s="267">
        <f>'[2]7-07-00'!$G$57</f>
        <v>28.115766558591936</v>
      </c>
      <c r="AA45" s="66"/>
      <c r="AB45" s="304">
        <v>449.83800000000002</v>
      </c>
      <c r="AC45" s="67"/>
      <c r="AD45" s="267">
        <f>'[2]7-07-00'!$J$57</f>
        <v>15.175484999999998</v>
      </c>
      <c r="AE45" s="66"/>
      <c r="AF45" s="38"/>
      <c r="AG45" s="12"/>
      <c r="AH45" s="113">
        <f t="shared" si="10"/>
        <v>-0.22611464968152867</v>
      </c>
      <c r="AI45" s="263"/>
      <c r="AJ45" s="130">
        <f t="shared" si="11"/>
        <v>-0.22611464968152867</v>
      </c>
      <c r="AK45" s="12"/>
      <c r="AL45" s="131">
        <f t="shared" si="12"/>
        <v>-0.38167938931297712</v>
      </c>
      <c r="AM45" s="29"/>
      <c r="AN45" s="134">
        <f>AP45/E45</f>
        <v>0</v>
      </c>
      <c r="AO45" s="29"/>
      <c r="AP45" s="147">
        <v>0</v>
      </c>
      <c r="AQ45" s="148"/>
      <c r="AR45" s="208"/>
      <c r="AS45" s="11"/>
      <c r="AT45" s="301">
        <v>78.5</v>
      </c>
      <c r="AV45" s="301">
        <v>78.5</v>
      </c>
      <c r="AX45" s="182">
        <v>98.25</v>
      </c>
    </row>
    <row r="46" spans="1:50" x14ac:dyDescent="0.2">
      <c r="A46" s="179" t="str">
        <f>'[2]7-07-00'!$A$58</f>
        <v>i2</v>
      </c>
      <c r="B46" s="66"/>
      <c r="C46" s="114" t="str">
        <f>'[2]7-07-00'!$B$58</f>
        <v>ITWO</v>
      </c>
      <c r="D46" s="66"/>
      <c r="E46" s="123">
        <f>[1]!ITWO.O</f>
        <v>161.125</v>
      </c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304">
        <v>1016.8630000000001</v>
      </c>
      <c r="Y46" s="67"/>
      <c r="Z46" s="267">
        <f>'[2]7-07-00'!$G$58</f>
        <v>22.470536133871551</v>
      </c>
      <c r="AA46" s="66"/>
      <c r="AB46" s="304">
        <v>1471.788</v>
      </c>
      <c r="AC46" s="67"/>
      <c r="AD46" s="267">
        <f>'[2]7-07-00'!$J$58</f>
        <v>16.794216442273054</v>
      </c>
      <c r="AE46" s="66"/>
      <c r="AF46" s="38"/>
      <c r="AG46" s="12"/>
      <c r="AH46" s="113">
        <f t="shared" si="10"/>
        <v>-0.138656866020715</v>
      </c>
      <c r="AI46" s="263"/>
      <c r="AJ46" s="130">
        <f t="shared" si="11"/>
        <v>-0.138656866020715</v>
      </c>
      <c r="AK46" s="12"/>
      <c r="AL46" s="131">
        <f t="shared" si="12"/>
        <v>0.65256410256410258</v>
      </c>
      <c r="AM46" s="29"/>
      <c r="AN46" s="134">
        <f>AP46/E46</f>
        <v>0</v>
      </c>
      <c r="AO46" s="29"/>
      <c r="AP46" s="147">
        <v>0</v>
      </c>
      <c r="AQ46" s="148"/>
      <c r="AR46" s="208"/>
      <c r="AS46" s="11"/>
      <c r="AT46" s="301">
        <v>187.0625</v>
      </c>
      <c r="AV46" s="301">
        <v>187.0625</v>
      </c>
      <c r="AX46" s="182">
        <v>97.5</v>
      </c>
    </row>
    <row r="47" spans="1:50" x14ac:dyDescent="0.2">
      <c r="A47" s="179"/>
      <c r="B47" s="66"/>
      <c r="C47" s="114"/>
      <c r="D47" s="66"/>
      <c r="E47" s="262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68"/>
      <c r="Y47" s="285"/>
      <c r="Z47" s="267"/>
      <c r="AA47" s="66"/>
      <c r="AB47" s="266"/>
      <c r="AC47" s="67"/>
      <c r="AD47" s="267"/>
      <c r="AE47" s="66"/>
      <c r="AF47" s="38"/>
      <c r="AG47" s="12"/>
      <c r="AH47" s="273"/>
      <c r="AI47" s="263"/>
      <c r="AJ47" s="264"/>
      <c r="AK47" s="12"/>
      <c r="AL47" s="274"/>
      <c r="AM47" s="29"/>
      <c r="AN47" s="134"/>
      <c r="AO47" s="29"/>
      <c r="AP47" s="147"/>
      <c r="AQ47" s="148"/>
      <c r="AR47" s="208"/>
      <c r="AS47" s="11"/>
    </row>
    <row r="48" spans="1:50" x14ac:dyDescent="0.2">
      <c r="A48" s="179" t="s">
        <v>99</v>
      </c>
      <c r="B48" s="66"/>
      <c r="C48" s="114"/>
      <c r="D48" s="66"/>
      <c r="E48" s="262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269"/>
      <c r="Y48" s="139"/>
      <c r="Z48" s="270"/>
      <c r="AA48" s="66"/>
      <c r="AB48" s="271"/>
      <c r="AC48" s="139"/>
      <c r="AD48" s="272"/>
      <c r="AE48" s="66"/>
      <c r="AF48" s="38"/>
      <c r="AG48" s="12"/>
      <c r="AH48" s="275">
        <f>AVERAGE(AH37:AH46)</f>
        <v>-0.17180563105994273</v>
      </c>
      <c r="AI48" s="276" t="e">
        <f>AVERAGE(AI37:AI46)</f>
        <v>#DIV/0!</v>
      </c>
      <c r="AJ48" s="276">
        <f>AVERAGE(AJ37:AJ46)</f>
        <v>-0.17180563105994273</v>
      </c>
      <c r="AK48" s="277"/>
      <c r="AL48" s="392">
        <f>AVERAGE(AL37:AL46)</f>
        <v>-0.27328738973750222</v>
      </c>
      <c r="AM48" s="29"/>
      <c r="AN48" s="278">
        <f>AVERAGE(AN37:AN46)</f>
        <v>0</v>
      </c>
      <c r="AO48" s="29"/>
      <c r="AP48" s="147"/>
      <c r="AQ48" s="148"/>
      <c r="AR48" s="208"/>
      <c r="AS48" s="11"/>
    </row>
    <row r="49" spans="1:50" x14ac:dyDescent="0.2">
      <c r="A49" s="146"/>
      <c r="B49" s="33"/>
      <c r="C49" s="34"/>
      <c r="D49" s="33"/>
      <c r="E49" s="33"/>
      <c r="F49" s="33"/>
      <c r="G49" s="66"/>
      <c r="H49" s="66"/>
      <c r="I49" s="66"/>
      <c r="J49" s="66"/>
      <c r="K49" s="66"/>
      <c r="L49" s="66"/>
      <c r="M49" s="66"/>
      <c r="N49" s="33"/>
      <c r="O49" s="66"/>
      <c r="P49" s="66"/>
      <c r="Q49" s="66"/>
      <c r="R49" s="66"/>
      <c r="S49" s="66"/>
      <c r="T49" s="66"/>
      <c r="U49" s="67"/>
      <c r="V49" s="38"/>
      <c r="W49" s="12"/>
      <c r="X49" s="309"/>
      <c r="Y49" s="66"/>
      <c r="Z49" s="66"/>
      <c r="AA49" s="66"/>
      <c r="AB49" s="309"/>
      <c r="AC49" s="66"/>
      <c r="AD49" s="193"/>
      <c r="AE49" s="66"/>
      <c r="AF49" s="38"/>
      <c r="AG49" s="12"/>
      <c r="AH49" s="12"/>
      <c r="AI49" s="12"/>
      <c r="AJ49" s="12"/>
      <c r="AK49" s="12"/>
      <c r="AL49" s="38"/>
      <c r="AM49" s="29"/>
      <c r="AN49" s="29"/>
      <c r="AO49" s="29"/>
      <c r="AP49" s="147"/>
      <c r="AQ49" s="148"/>
      <c r="AR49" s="208"/>
      <c r="AS49" s="11"/>
    </row>
    <row r="50" spans="1:50" s="329" customFormat="1" ht="9.9499999999999993" customHeight="1" x14ac:dyDescent="0.2">
      <c r="A50" s="335"/>
      <c r="B50" s="335"/>
      <c r="C50" s="336"/>
      <c r="D50" s="335"/>
      <c r="E50" s="335"/>
      <c r="F50" s="335"/>
      <c r="K50" s="337">
        <v>1997</v>
      </c>
      <c r="L50" s="338"/>
      <c r="M50" s="339"/>
      <c r="N50" s="335"/>
      <c r="S50" s="340">
        <v>1998</v>
      </c>
      <c r="T50" s="341"/>
      <c r="U50" s="328"/>
      <c r="V50" s="325"/>
      <c r="W50" s="331"/>
      <c r="X50" s="397">
        <v>2000</v>
      </c>
      <c r="Y50" s="398"/>
      <c r="Z50" s="399"/>
      <c r="AA50" s="342"/>
      <c r="AB50" s="397">
        <v>2001</v>
      </c>
      <c r="AC50" s="398"/>
      <c r="AD50" s="399"/>
      <c r="AE50" s="335"/>
      <c r="AF50" s="343" t="s">
        <v>22</v>
      </c>
      <c r="AG50" s="331"/>
      <c r="AH50" s="344" t="s">
        <v>131</v>
      </c>
      <c r="AI50" s="345"/>
      <c r="AJ50" s="345"/>
      <c r="AK50" s="345"/>
      <c r="AL50" s="346"/>
      <c r="AN50" s="347"/>
      <c r="AO50" s="348"/>
      <c r="AP50" s="349" t="s">
        <v>24</v>
      </c>
      <c r="AQ50" s="349"/>
      <c r="AR50" s="350"/>
      <c r="AS50" s="351" t="s">
        <v>25</v>
      </c>
      <c r="AT50" s="352"/>
      <c r="AU50" s="351" t="s">
        <v>26</v>
      </c>
      <c r="AV50" s="351"/>
      <c r="AW50" s="351" t="s">
        <v>27</v>
      </c>
      <c r="AX50" s="351"/>
    </row>
    <row r="51" spans="1:50" s="329" customFormat="1" ht="9.9499999999999993" customHeight="1" x14ac:dyDescent="0.2">
      <c r="A51" s="335"/>
      <c r="B51" s="335"/>
      <c r="C51" s="336"/>
      <c r="D51" s="335"/>
      <c r="E51" s="353"/>
      <c r="F51" s="335"/>
      <c r="G51" s="354" t="s">
        <v>29</v>
      </c>
      <c r="H51" s="355"/>
      <c r="I51" s="356"/>
      <c r="J51" s="335"/>
      <c r="K51" s="354" t="s">
        <v>29</v>
      </c>
      <c r="L51" s="355"/>
      <c r="M51" s="356"/>
      <c r="N51" s="335"/>
      <c r="O51" s="354" t="s">
        <v>29</v>
      </c>
      <c r="P51" s="355"/>
      <c r="Q51" s="356"/>
      <c r="R51" s="335"/>
      <c r="S51" s="354" t="s">
        <v>29</v>
      </c>
      <c r="T51" s="356"/>
      <c r="U51" s="331"/>
      <c r="V51" s="343" t="s">
        <v>30</v>
      </c>
      <c r="W51" s="357"/>
      <c r="X51" s="354" t="s">
        <v>29</v>
      </c>
      <c r="Y51" s="358"/>
      <c r="Z51" s="356"/>
      <c r="AA51" s="359"/>
      <c r="AB51" s="354" t="s">
        <v>29</v>
      </c>
      <c r="AC51" s="358"/>
      <c r="AD51" s="356"/>
      <c r="AE51" s="359"/>
      <c r="AF51" s="360" t="s">
        <v>30</v>
      </c>
      <c r="AG51" s="357"/>
      <c r="AH51" s="361" t="s">
        <v>31</v>
      </c>
      <c r="AI51" s="357"/>
      <c r="AJ51" s="357" t="s">
        <v>32</v>
      </c>
      <c r="AK51" s="357"/>
      <c r="AL51" s="362" t="s">
        <v>33</v>
      </c>
      <c r="AN51" s="363" t="s">
        <v>34</v>
      </c>
      <c r="AO51" s="364"/>
      <c r="AP51" s="26"/>
      <c r="AQ51" s="27" t="s">
        <v>35</v>
      </c>
      <c r="AR51" s="203" t="s">
        <v>35</v>
      </c>
      <c r="AS51" s="365"/>
      <c r="AT51" s="366">
        <v>36798</v>
      </c>
      <c r="AU51" s="365"/>
      <c r="AV51" s="366">
        <v>36799</v>
      </c>
      <c r="AW51" s="367"/>
      <c r="AX51" s="368"/>
    </row>
    <row r="52" spans="1:50" s="329" customFormat="1" ht="9.9499999999999993" customHeight="1" thickBot="1" x14ac:dyDescent="0.25">
      <c r="A52" s="369" t="s">
        <v>36</v>
      </c>
      <c r="B52" s="335"/>
      <c r="C52" s="353"/>
      <c r="D52" s="335"/>
      <c r="E52" s="353"/>
      <c r="F52" s="335"/>
      <c r="G52" s="370" t="s">
        <v>22</v>
      </c>
      <c r="H52" s="371"/>
      <c r="I52" s="372" t="s">
        <v>39</v>
      </c>
      <c r="J52" s="335"/>
      <c r="K52" s="370" t="s">
        <v>22</v>
      </c>
      <c r="L52" s="371"/>
      <c r="M52" s="372" t="s">
        <v>39</v>
      </c>
      <c r="N52" s="335"/>
      <c r="O52" s="370" t="s">
        <v>22</v>
      </c>
      <c r="P52" s="371"/>
      <c r="Q52" s="372" t="s">
        <v>39</v>
      </c>
      <c r="R52" s="335"/>
      <c r="S52" s="370" t="s">
        <v>22</v>
      </c>
      <c r="T52" s="372" t="s">
        <v>39</v>
      </c>
      <c r="U52" s="373"/>
      <c r="V52" s="374" t="s">
        <v>40</v>
      </c>
      <c r="W52" s="373"/>
      <c r="X52" s="375" t="s">
        <v>97</v>
      </c>
      <c r="Y52" s="376"/>
      <c r="Z52" s="377" t="s">
        <v>39</v>
      </c>
      <c r="AA52" s="353"/>
      <c r="AB52" s="375" t="s">
        <v>97</v>
      </c>
      <c r="AC52" s="376"/>
      <c r="AD52" s="377" t="s">
        <v>39</v>
      </c>
      <c r="AE52" s="353"/>
      <c r="AF52" s="374" t="s">
        <v>41</v>
      </c>
      <c r="AG52" s="373"/>
      <c r="AH52" s="378" t="s">
        <v>42</v>
      </c>
      <c r="AI52" s="373"/>
      <c r="AJ52" s="379" t="s">
        <v>43</v>
      </c>
      <c r="AK52" s="373"/>
      <c r="AL52" s="380" t="s">
        <v>43</v>
      </c>
      <c r="AN52" s="381" t="s">
        <v>44</v>
      </c>
      <c r="AO52" s="382"/>
      <c r="AP52" s="97" t="s">
        <v>45</v>
      </c>
      <c r="AQ52" s="24" t="s">
        <v>46</v>
      </c>
      <c r="AR52" s="204" t="s">
        <v>34</v>
      </c>
      <c r="AS52" s="97" t="s">
        <v>47</v>
      </c>
      <c r="AT52" s="224" t="s">
        <v>48</v>
      </c>
      <c r="AU52" s="97" t="s">
        <v>49</v>
      </c>
      <c r="AV52" s="98" t="s">
        <v>50</v>
      </c>
      <c r="AW52" s="226" t="s">
        <v>51</v>
      </c>
      <c r="AX52" s="98" t="s">
        <v>112</v>
      </c>
    </row>
    <row r="53" spans="1:50" x14ac:dyDescent="0.2">
      <c r="A53" s="92" t="s">
        <v>124</v>
      </c>
      <c r="B53" s="311" t="s">
        <v>125</v>
      </c>
      <c r="C53" s="92" t="s">
        <v>119</v>
      </c>
      <c r="D53" s="4"/>
      <c r="E53" s="123">
        <f>[1]!NPW</f>
        <v>26</v>
      </c>
      <c r="F53" s="4"/>
      <c r="G53" s="92"/>
      <c r="H53" s="88"/>
      <c r="I53" s="92"/>
      <c r="J53" s="4"/>
      <c r="K53" s="92"/>
      <c r="L53" s="88"/>
      <c r="M53" s="92"/>
      <c r="N53" s="4"/>
      <c r="O53" s="92"/>
      <c r="P53" s="88"/>
      <c r="Q53" s="92"/>
      <c r="R53" s="4"/>
      <c r="S53" s="92"/>
      <c r="T53" s="92"/>
      <c r="U53" s="90"/>
      <c r="V53" s="92"/>
      <c r="W53" s="90"/>
      <c r="X53" s="127"/>
      <c r="Y53" s="214"/>
      <c r="Z53" s="126"/>
      <c r="AA53" s="128"/>
      <c r="AB53" s="127"/>
      <c r="AC53" s="214"/>
      <c r="AD53" s="126"/>
      <c r="AE53" s="128"/>
      <c r="AF53" s="129" t="e">
        <f>(X53-S53)/S53</f>
        <v>#DIV/0!</v>
      </c>
      <c r="AG53" s="130"/>
      <c r="AH53" s="113">
        <f>((+AS53+E53-AT53)/AT53)</f>
        <v>0.23809523809523808</v>
      </c>
      <c r="AI53" s="130"/>
      <c r="AJ53" s="130">
        <f>((+AU53+E53-AV53)/AV53)</f>
        <v>0.23809523809523808</v>
      </c>
      <c r="AK53" s="130"/>
      <c r="AL53" s="131">
        <f>((+AW53+E53-AX53)/AX53)</f>
        <v>0.23809523809523808</v>
      </c>
      <c r="AM53" s="29"/>
      <c r="AN53" s="134">
        <f>AP53/E53</f>
        <v>0</v>
      </c>
      <c r="AO53" s="135"/>
      <c r="AP53" s="136">
        <v>0</v>
      </c>
      <c r="AQ53" s="258"/>
      <c r="AR53" s="205"/>
      <c r="AS53" s="43"/>
      <c r="AT53" s="182">
        <v>21</v>
      </c>
      <c r="AU53" s="43"/>
      <c r="AV53" s="182">
        <v>21</v>
      </c>
      <c r="AW53" s="43">
        <v>0</v>
      </c>
      <c r="AX53" s="182">
        <v>21</v>
      </c>
    </row>
    <row r="54" spans="1:50" x14ac:dyDescent="0.2">
      <c r="A54" s="310" t="s">
        <v>122</v>
      </c>
      <c r="B54" s="311" t="s">
        <v>126</v>
      </c>
      <c r="C54" s="92" t="s">
        <v>120</v>
      </c>
      <c r="D54" s="4"/>
      <c r="E54" s="123">
        <f>[1]!SOE</f>
        <v>27.125</v>
      </c>
      <c r="F54" s="4"/>
      <c r="G54" s="92"/>
      <c r="H54" s="88"/>
      <c r="I54" s="92"/>
      <c r="J54" s="4"/>
      <c r="K54" s="92"/>
      <c r="L54" s="88"/>
      <c r="M54" s="92"/>
      <c r="N54" s="4"/>
      <c r="O54" s="92"/>
      <c r="P54" s="88"/>
      <c r="Q54" s="92"/>
      <c r="R54" s="4"/>
      <c r="S54" s="92"/>
      <c r="T54" s="92"/>
      <c r="U54" s="90"/>
      <c r="V54" s="92"/>
      <c r="W54" s="90"/>
      <c r="X54" s="127"/>
      <c r="Y54" s="214"/>
      <c r="Z54" s="126"/>
      <c r="AA54" s="128"/>
      <c r="AB54" s="127"/>
      <c r="AC54" s="214"/>
      <c r="AD54" s="126"/>
      <c r="AE54" s="128"/>
      <c r="AF54" s="129" t="e">
        <f>(X54-S54)/S54</f>
        <v>#DIV/0!</v>
      </c>
      <c r="AG54" s="130"/>
      <c r="AH54" s="113">
        <f>((+AS54+E54-AT54)/AT54)</f>
        <v>-0.13545816733067728</v>
      </c>
      <c r="AI54" s="130"/>
      <c r="AJ54" s="130">
        <f>((+AU54+E54-AV54)/AV54)</f>
        <v>-0.13545816733067728</v>
      </c>
      <c r="AK54" s="130"/>
      <c r="AL54" s="131">
        <f>((+AW54+E54-AX54)/AX54)</f>
        <v>0.23295454545454544</v>
      </c>
      <c r="AM54" s="29"/>
      <c r="AN54" s="134">
        <f>AP54/E54</f>
        <v>0</v>
      </c>
      <c r="AO54" s="135"/>
      <c r="AP54" s="136">
        <v>0</v>
      </c>
      <c r="AQ54" s="258"/>
      <c r="AR54" s="205"/>
      <c r="AS54" s="43"/>
      <c r="AT54" s="182">
        <v>31.375</v>
      </c>
      <c r="AU54" s="43"/>
      <c r="AV54" s="182">
        <v>31.375</v>
      </c>
      <c r="AW54" s="43"/>
      <c r="AX54" s="182">
        <v>22</v>
      </c>
    </row>
    <row r="55" spans="1:50" x14ac:dyDescent="0.2">
      <c r="A55" s="122" t="s">
        <v>123</v>
      </c>
      <c r="B55" s="311" t="s">
        <v>127</v>
      </c>
      <c r="C55" s="114" t="s">
        <v>121</v>
      </c>
      <c r="D55" s="33"/>
      <c r="E55" s="123">
        <f>[1]!NRG</f>
        <v>30.5</v>
      </c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312">
        <v>0.998</v>
      </c>
      <c r="Y55" s="214"/>
      <c r="Z55" s="126">
        <f>E55/X55</f>
        <v>30.561122244488978</v>
      </c>
      <c r="AA55" s="128"/>
      <c r="AB55" s="312">
        <v>1.165</v>
      </c>
      <c r="AC55" s="214"/>
      <c r="AD55" s="126">
        <f>E55/AB55</f>
        <v>26.180257510729614</v>
      </c>
      <c r="AE55" s="128"/>
      <c r="AF55" s="129" t="e">
        <f>(X55-S55)/S55</f>
        <v>#DIV/0!</v>
      </c>
      <c r="AG55" s="130"/>
      <c r="AH55" s="113">
        <f>((+AS55+E55-AT55)/AT55)</f>
        <v>-0.16438356164383561</v>
      </c>
      <c r="AI55" s="130"/>
      <c r="AJ55" s="130">
        <f>((+AU55+E55-AV55)/AV55)</f>
        <v>-0.16438356164383561</v>
      </c>
      <c r="AK55" s="130"/>
      <c r="AL55" s="131">
        <f>((+AW55+E55-AX55)/AX55)</f>
        <v>1.0333333333333334</v>
      </c>
      <c r="AM55" s="29"/>
      <c r="AN55" s="134">
        <f>AP55/E55</f>
        <v>0</v>
      </c>
      <c r="AO55" s="135"/>
      <c r="AP55" s="136">
        <v>0</v>
      </c>
      <c r="AQ55" s="258"/>
      <c r="AR55" s="205"/>
      <c r="AS55" s="43"/>
      <c r="AT55" s="182">
        <v>36.5</v>
      </c>
      <c r="AU55" s="43"/>
      <c r="AV55" s="182">
        <v>36.5</v>
      </c>
      <c r="AW55" s="43"/>
      <c r="AX55" s="182">
        <v>15</v>
      </c>
    </row>
    <row r="56" spans="1:50" x14ac:dyDescent="0.2">
      <c r="A56" s="122"/>
      <c r="B56" s="311"/>
      <c r="C56" s="114"/>
      <c r="D56" s="33"/>
      <c r="E56" s="12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312"/>
      <c r="Y56" s="214"/>
      <c r="Z56" s="126"/>
      <c r="AA56" s="128"/>
      <c r="AB56" s="312"/>
      <c r="AC56" s="214"/>
      <c r="AD56" s="126"/>
      <c r="AE56" s="128"/>
      <c r="AF56" s="130"/>
      <c r="AG56" s="130"/>
      <c r="AH56" s="113"/>
      <c r="AI56" s="130"/>
      <c r="AJ56" s="130"/>
      <c r="AK56" s="130"/>
      <c r="AL56" s="131"/>
      <c r="AM56" s="29"/>
      <c r="AN56" s="134"/>
      <c r="AO56" s="265"/>
      <c r="AP56" s="136"/>
      <c r="AQ56" s="258"/>
      <c r="AR56" s="205"/>
      <c r="AS56" s="43"/>
      <c r="AT56" s="391"/>
      <c r="AU56" s="43"/>
      <c r="AV56" s="182"/>
      <c r="AW56" s="43"/>
      <c r="AX56" s="182"/>
    </row>
    <row r="57" spans="1:50" ht="14.25" customHeight="1" x14ac:dyDescent="0.2">
      <c r="A57" s="66" t="s">
        <v>132</v>
      </c>
      <c r="B57" s="33"/>
      <c r="C57" s="34"/>
      <c r="D57" s="33"/>
      <c r="E57" s="123"/>
      <c r="F57" s="33"/>
      <c r="G57" s="35"/>
      <c r="H57" s="36"/>
      <c r="I57" s="31"/>
      <c r="J57" s="66"/>
      <c r="K57" s="35"/>
      <c r="L57" s="10"/>
      <c r="M57" s="31"/>
      <c r="N57" s="33"/>
      <c r="O57" s="35"/>
      <c r="P57" s="36"/>
      <c r="Q57" s="10"/>
      <c r="R57" s="67"/>
      <c r="S57" s="10"/>
      <c r="T57" s="10"/>
      <c r="U57" s="10"/>
      <c r="V57" s="130"/>
      <c r="W57" s="130"/>
      <c r="X57" s="315"/>
      <c r="Y57" s="313"/>
      <c r="Z57" s="314"/>
      <c r="AA57" s="10"/>
      <c r="AB57" s="315"/>
      <c r="AC57" s="313"/>
      <c r="AD57" s="314"/>
      <c r="AE57" s="10"/>
      <c r="AF57" s="130"/>
      <c r="AG57" s="130"/>
      <c r="AH57" s="275">
        <f>AVERAGE(AH53:AH55)</f>
        <v>-2.0582163626424937E-2</v>
      </c>
      <c r="AI57" s="143"/>
      <c r="AJ57" s="276">
        <f>AVERAGE(AJ53:AJ55)</f>
        <v>-2.0582163626424937E-2</v>
      </c>
      <c r="AK57" s="143"/>
      <c r="AL57" s="392">
        <f>AVERAGE(AL53:AL55)</f>
        <v>0.501461038961039</v>
      </c>
      <c r="AM57" s="11"/>
      <c r="AN57" s="141"/>
      <c r="AO57" s="130"/>
      <c r="AP57" s="323"/>
      <c r="AQ57" s="316"/>
      <c r="AR57" s="317"/>
      <c r="AS57" s="318"/>
      <c r="AT57" s="319"/>
      <c r="AU57" s="320"/>
      <c r="AV57" s="321"/>
      <c r="AW57" s="322"/>
      <c r="AX57" s="321"/>
    </row>
    <row r="58" spans="1:50" ht="10.5" customHeight="1" x14ac:dyDescent="0.2">
      <c r="A58" s="33"/>
      <c r="B58" s="33"/>
      <c r="C58" s="34"/>
      <c r="D58" s="33"/>
      <c r="E58" s="123"/>
      <c r="F58" s="33"/>
      <c r="G58" s="10"/>
      <c r="H58" s="36"/>
      <c r="I58" s="10"/>
      <c r="J58" s="66"/>
      <c r="K58" s="10"/>
      <c r="L58" s="10"/>
      <c r="M58" s="10"/>
      <c r="N58" s="33"/>
      <c r="O58" s="10"/>
      <c r="P58" s="36"/>
      <c r="Q58" s="10"/>
      <c r="R58" s="67"/>
      <c r="S58" s="10"/>
      <c r="T58" s="10"/>
      <c r="U58" s="10"/>
      <c r="V58" s="130"/>
      <c r="W58" s="130"/>
      <c r="X58" s="10"/>
      <c r="Y58" s="10"/>
      <c r="Z58" s="10"/>
      <c r="AA58" s="10"/>
      <c r="AB58" s="10"/>
      <c r="AC58" s="10"/>
      <c r="AD58" s="287"/>
      <c r="AE58" s="10"/>
      <c r="AF58" s="130"/>
      <c r="AG58" s="130"/>
      <c r="AH58" s="130"/>
      <c r="AI58" s="130"/>
      <c r="AJ58" s="130"/>
      <c r="AK58" s="130"/>
      <c r="AL58" s="130"/>
      <c r="AM58" s="11"/>
      <c r="AN58" s="130"/>
      <c r="AO58" s="130"/>
      <c r="AP58" s="288"/>
      <c r="AQ58" s="137"/>
      <c r="AR58" s="307"/>
      <c r="AS58" s="308"/>
      <c r="AT58" s="57"/>
      <c r="AU58" s="280"/>
      <c r="AV58" s="229"/>
      <c r="AW58" s="229"/>
      <c r="AX58" s="229"/>
    </row>
    <row r="59" spans="1:50" ht="10.5" customHeight="1" x14ac:dyDescent="0.2">
      <c r="A59" s="33"/>
      <c r="B59" s="33"/>
      <c r="C59" s="34"/>
      <c r="D59" s="33"/>
      <c r="E59" s="123"/>
      <c r="F59" s="33"/>
      <c r="G59" s="10"/>
      <c r="H59" s="36"/>
      <c r="I59" s="10"/>
      <c r="J59" s="66"/>
      <c r="K59" s="10"/>
      <c r="L59" s="10"/>
      <c r="M59" s="10"/>
      <c r="N59" s="33"/>
      <c r="O59" s="10"/>
      <c r="P59" s="36"/>
      <c r="Q59" s="10"/>
      <c r="R59" s="67"/>
      <c r="S59" s="10"/>
      <c r="T59" s="10"/>
      <c r="U59" s="10"/>
      <c r="V59" s="130"/>
      <c r="W59" s="130"/>
      <c r="X59" s="10"/>
      <c r="Y59" s="10"/>
      <c r="Z59" s="10"/>
      <c r="AA59" s="10"/>
      <c r="AB59" s="10"/>
      <c r="AC59" s="10"/>
      <c r="AD59" s="287"/>
      <c r="AE59" s="10"/>
      <c r="AF59" s="130"/>
      <c r="AG59" s="130"/>
      <c r="AH59" s="130"/>
      <c r="AI59" s="130"/>
      <c r="AJ59" s="130"/>
      <c r="AK59" s="130"/>
      <c r="AL59" s="130"/>
      <c r="AM59" s="11"/>
      <c r="AN59" s="130"/>
      <c r="AO59" s="130"/>
      <c r="AP59" s="288"/>
      <c r="AQ59" s="137"/>
      <c r="AR59" s="307"/>
      <c r="AS59" s="308"/>
      <c r="AT59" s="57"/>
      <c r="AU59" s="280"/>
      <c r="AV59" s="229"/>
      <c r="AW59" s="229"/>
      <c r="AX59" s="229"/>
    </row>
    <row r="60" spans="1:50" ht="9.9499999999999993" customHeight="1" x14ac:dyDescent="0.2">
      <c r="A60" s="284" t="s">
        <v>101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262"/>
      <c r="Y60" s="66"/>
      <c r="Z60" s="66"/>
      <c r="AA60" s="66"/>
      <c r="AB60" s="262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499999999999993" customHeight="1" x14ac:dyDescent="0.2">
      <c r="A61" s="284" t="s">
        <v>116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262"/>
      <c r="Y61" s="66"/>
      <c r="Z61" s="66"/>
      <c r="AA61" s="66"/>
      <c r="AB61" s="262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4" t="s">
        <v>108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262"/>
      <c r="Y62" s="66"/>
      <c r="Z62" s="66"/>
      <c r="AA62" s="66"/>
      <c r="AB62" s="262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4" t="s">
        <v>118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4.5" customHeight="1" x14ac:dyDescent="0.2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ht="9.9499999999999993" customHeight="1" x14ac:dyDescent="0.2">
      <c r="A65" s="284" t="s">
        <v>128</v>
      </c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9.9499999999999993" customHeight="1" x14ac:dyDescent="0.2">
      <c r="A66" s="284" t="s">
        <v>129</v>
      </c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9499999999999993" customHeight="1" x14ac:dyDescent="0.2">
      <c r="A67" s="284" t="s">
        <v>130</v>
      </c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66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x14ac:dyDescent="0.2">
      <c r="A68" s="146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6"/>
      <c r="U68" s="67"/>
      <c r="V68" s="38"/>
      <c r="W68" s="12"/>
      <c r="X68" s="66"/>
      <c r="Y68" s="66"/>
      <c r="Z68" s="66"/>
      <c r="AA68" s="66"/>
      <c r="AB68" s="66"/>
      <c r="AC68" s="66"/>
      <c r="AD68" s="193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x14ac:dyDescent="0.2">
      <c r="A69" s="146"/>
      <c r="B69" s="33"/>
      <c r="C69" s="34"/>
      <c r="D69" s="33"/>
      <c r="E69" s="33"/>
      <c r="F69" s="33"/>
      <c r="G69" s="66"/>
      <c r="H69" s="66"/>
      <c r="I69" s="66"/>
      <c r="J69" s="66"/>
      <c r="K69" s="66"/>
      <c r="L69" s="66"/>
      <c r="M69" s="66"/>
      <c r="N69" s="33"/>
      <c r="O69" s="66"/>
      <c r="P69" s="66"/>
      <c r="Q69" s="66"/>
      <c r="R69" s="66"/>
      <c r="S69" s="66"/>
      <c r="T69" s="66"/>
      <c r="U69" s="67"/>
      <c r="V69" s="38"/>
      <c r="W69" s="12"/>
      <c r="X69" s="66"/>
      <c r="Y69" s="66"/>
      <c r="Z69" s="66"/>
      <c r="AA69" s="66"/>
      <c r="AB69" s="66"/>
      <c r="AC69" s="66"/>
      <c r="AD69" s="193"/>
      <c r="AE69" s="66"/>
      <c r="AF69" s="38"/>
      <c r="AG69" s="12"/>
      <c r="AH69" s="12"/>
      <c r="AI69" s="12"/>
      <c r="AJ69" s="12"/>
      <c r="AK69" s="12"/>
      <c r="AL69" s="38"/>
      <c r="AM69" s="29"/>
      <c r="AN69" s="29"/>
      <c r="AO69" s="29"/>
      <c r="AP69" s="147"/>
      <c r="AQ69" s="148"/>
      <c r="AR69" s="208"/>
      <c r="AS69" s="11"/>
    </row>
    <row r="70" spans="1:45" ht="18" customHeight="1" x14ac:dyDescent="0.2">
      <c r="A70" s="122"/>
      <c r="B70" s="33"/>
      <c r="C70" s="34"/>
      <c r="D70" s="33"/>
      <c r="E70" s="33"/>
      <c r="F70" s="33"/>
      <c r="G70" s="66"/>
      <c r="H70" s="66"/>
      <c r="I70" s="66"/>
      <c r="J70" s="66"/>
      <c r="K70" s="66"/>
      <c r="L70" s="66"/>
      <c r="M70" s="66"/>
      <c r="N70" s="33"/>
      <c r="O70" s="66"/>
      <c r="P70" s="66"/>
      <c r="Q70" s="66"/>
      <c r="R70" s="66"/>
      <c r="S70" s="66"/>
      <c r="T70" s="66"/>
      <c r="U70" s="67"/>
      <c r="V70" s="38"/>
      <c r="W70" s="12"/>
      <c r="X70" s="66"/>
      <c r="Y70" s="66"/>
      <c r="Z70" s="199"/>
      <c r="AA70" s="66"/>
      <c r="AB70" s="66"/>
      <c r="AC70" s="66"/>
      <c r="AD70" s="193"/>
      <c r="AE70" s="66"/>
      <c r="AF70" s="38"/>
      <c r="AG70" s="12"/>
      <c r="AH70" s="12"/>
      <c r="AI70" s="12"/>
      <c r="AJ70" s="12"/>
      <c r="AK70" s="12"/>
      <c r="AL70" s="38"/>
      <c r="AM70" s="29"/>
      <c r="AN70" s="29"/>
      <c r="AO70" s="29"/>
      <c r="AP70" s="147"/>
      <c r="AQ70" s="148"/>
      <c r="AR70" s="208"/>
      <c r="AS70" s="11"/>
    </row>
    <row r="71" spans="1:45" ht="9.75" customHeight="1" x14ac:dyDescent="0.25">
      <c r="A71" s="54"/>
      <c r="B71" s="33"/>
      <c r="C71" s="34"/>
      <c r="D71" s="33"/>
      <c r="E71" s="33"/>
      <c r="F71" s="33"/>
      <c r="G71" s="66"/>
      <c r="H71" s="66"/>
      <c r="I71" s="66"/>
      <c r="J71" s="66"/>
      <c r="K71" s="66"/>
      <c r="L71" s="66"/>
      <c r="M71" s="66"/>
      <c r="N71" s="33"/>
      <c r="O71" s="66"/>
      <c r="P71" s="66"/>
      <c r="Q71" s="66"/>
      <c r="R71" s="66"/>
      <c r="S71" s="66"/>
      <c r="T71" s="67"/>
      <c r="U71" s="67"/>
      <c r="V71" s="12"/>
      <c r="W71" s="12"/>
      <c r="X71" s="67"/>
      <c r="Y71" s="67"/>
      <c r="Z71" s="66"/>
      <c r="AA71" s="66"/>
      <c r="AB71" s="139"/>
      <c r="AC71" s="67"/>
      <c r="AD71" s="66"/>
      <c r="AE71" s="66"/>
      <c r="AF71" s="38"/>
      <c r="AG71" s="12"/>
      <c r="AH71" s="12"/>
      <c r="AI71" s="12"/>
      <c r="AJ71" s="12"/>
      <c r="AK71" s="12"/>
      <c r="AL71" s="38"/>
      <c r="AM71" s="29"/>
      <c r="AN71" s="29"/>
      <c r="AO71" s="29"/>
      <c r="AP71" s="147"/>
      <c r="AQ71" s="148"/>
      <c r="AR71" s="208"/>
      <c r="AS71" s="11"/>
    </row>
    <row r="72" spans="1:45" ht="15.75" x14ac:dyDescent="0.25">
      <c r="A72" s="149" t="s">
        <v>7</v>
      </c>
      <c r="B72" s="150"/>
      <c r="C72" s="151"/>
      <c r="D72" s="75"/>
      <c r="E72" s="15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53" t="s">
        <v>8</v>
      </c>
      <c r="T72" s="190"/>
      <c r="U72" s="190"/>
      <c r="V72" s="190"/>
      <c r="W72" s="190"/>
      <c r="X72" s="153" t="s">
        <v>69</v>
      </c>
      <c r="Y72" s="153"/>
      <c r="Z72" s="190"/>
      <c r="AA72" s="190"/>
      <c r="AB72" s="192" t="s">
        <v>78</v>
      </c>
      <c r="AC72" s="216"/>
      <c r="AD72" s="48"/>
      <c r="AE72" s="48"/>
      <c r="AF72" s="48"/>
      <c r="AG72" s="44"/>
      <c r="AH72" s="44"/>
      <c r="AI72" s="44"/>
      <c r="AJ72" s="54"/>
      <c r="AK72" s="44"/>
      <c r="AL72" s="54"/>
      <c r="AM72" s="54"/>
      <c r="AN72" s="54"/>
      <c r="AR72" s="209"/>
    </row>
    <row r="73" spans="1:45" ht="12.75" customHeight="1" x14ac:dyDescent="0.25">
      <c r="A73" s="154" t="s">
        <v>9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5" t="s">
        <v>10</v>
      </c>
      <c r="T73" s="44"/>
      <c r="U73" s="44"/>
      <c r="V73" s="44"/>
      <c r="W73" s="44"/>
      <c r="X73" s="155" t="s">
        <v>10</v>
      </c>
      <c r="Y73" s="155"/>
      <c r="Z73" s="44"/>
      <c r="AA73" s="44"/>
      <c r="AB73" s="156" t="s">
        <v>10</v>
      </c>
      <c r="AC73" s="155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11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>
        <v>2</v>
      </c>
      <c r="T74" s="44"/>
      <c r="U74" s="44"/>
      <c r="V74" s="44"/>
      <c r="W74" s="44"/>
      <c r="X74" s="221">
        <v>1.4</v>
      </c>
      <c r="Y74" s="188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72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44"/>
      <c r="U75" s="44"/>
      <c r="V75" s="44"/>
      <c r="W75" s="44"/>
      <c r="X75" s="189">
        <v>1.4</v>
      </c>
      <c r="Y75" s="189"/>
      <c r="Z75" s="44"/>
      <c r="AA75" s="44"/>
      <c r="AB75" s="159">
        <v>1.6</v>
      </c>
      <c r="AC75" s="189"/>
      <c r="AD75" s="48"/>
      <c r="AE75" s="48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44"/>
      <c r="U76" s="44"/>
      <c r="V76" s="44"/>
      <c r="W76" s="44"/>
      <c r="X76" s="189">
        <v>1.42</v>
      </c>
      <c r="Y76" s="189"/>
      <c r="Z76" s="44"/>
      <c r="AA76" s="44"/>
      <c r="AB76" s="159">
        <v>1.62</v>
      </c>
      <c r="AC76" s="189"/>
      <c r="AD76" s="48"/>
      <c r="AE76" s="48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ht="15.75" x14ac:dyDescent="0.25">
      <c r="A77" s="157" t="s">
        <v>73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44"/>
      <c r="U77" s="44"/>
      <c r="V77" s="44"/>
      <c r="W77" s="44"/>
      <c r="X77" s="286">
        <v>1.4</v>
      </c>
      <c r="Y77" s="189"/>
      <c r="Z77" s="44"/>
      <c r="AA77" s="44"/>
      <c r="AB77" s="235">
        <v>1.6</v>
      </c>
      <c r="AC77" s="189"/>
      <c r="AD77" s="48"/>
      <c r="AE77" s="48"/>
      <c r="AF77" s="48"/>
      <c r="AG77" s="44"/>
      <c r="AH77" s="44"/>
      <c r="AI77" s="44"/>
      <c r="AJ77" s="49"/>
      <c r="AK77" s="44"/>
      <c r="AL77" s="49"/>
      <c r="AM77" s="49"/>
      <c r="AN77" s="49"/>
    </row>
    <row r="78" spans="1:45" ht="15.75" x14ac:dyDescent="0.25">
      <c r="A78" s="157" t="s">
        <v>13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>
        <v>1.95</v>
      </c>
      <c r="T78" s="160"/>
      <c r="U78" s="44"/>
      <c r="V78" s="44"/>
      <c r="W78" s="44"/>
      <c r="X78" s="189">
        <v>1.35</v>
      </c>
      <c r="Y78" s="189"/>
      <c r="Z78" s="160"/>
      <c r="AA78" s="160"/>
      <c r="AB78" s="235">
        <v>1.75</v>
      </c>
      <c r="AC78" s="189"/>
      <c r="AD78" s="161"/>
      <c r="AE78" s="161"/>
      <c r="AF78" s="48"/>
      <c r="AG78" s="44"/>
      <c r="AH78" s="44"/>
      <c r="AI78" s="44"/>
      <c r="AJ78" s="49"/>
      <c r="AK78" s="44"/>
      <c r="AL78" s="49"/>
      <c r="AM78" s="49"/>
      <c r="AN78" s="49"/>
    </row>
    <row r="79" spans="1:45" ht="15.75" x14ac:dyDescent="0.25">
      <c r="A79" s="157" t="s">
        <v>76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0"/>
      <c r="U79" s="44"/>
      <c r="V79" s="44"/>
      <c r="W79" s="44"/>
      <c r="X79" s="189">
        <v>1.4</v>
      </c>
      <c r="Y79" s="189"/>
      <c r="Z79" s="160"/>
      <c r="AA79" s="160"/>
      <c r="AB79" s="235">
        <v>1.65</v>
      </c>
      <c r="AC79" s="189"/>
      <c r="AD79" s="161"/>
      <c r="AE79" s="161"/>
      <c r="AF79" s="48"/>
      <c r="AG79" s="44"/>
      <c r="AH79" s="44"/>
      <c r="AI79" s="44"/>
      <c r="AJ79" s="49"/>
      <c r="AK79" s="44"/>
      <c r="AL79" s="49"/>
      <c r="AM79" s="49"/>
      <c r="AN79" s="49"/>
    </row>
    <row r="80" spans="1:45" ht="15.75" x14ac:dyDescent="0.25">
      <c r="A80" s="157" t="s">
        <v>71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0"/>
      <c r="U80" s="44"/>
      <c r="V80" s="44"/>
      <c r="W80" s="44"/>
      <c r="X80" s="189">
        <v>1.38</v>
      </c>
      <c r="Y80" s="189"/>
      <c r="Z80" s="160"/>
      <c r="AA80" s="160"/>
      <c r="AB80" s="235">
        <v>1.58</v>
      </c>
      <c r="AC80" s="189"/>
      <c r="AD80" s="161"/>
      <c r="AE80" s="161"/>
      <c r="AF80" s="48"/>
      <c r="AG80" s="44"/>
      <c r="AH80" s="44"/>
      <c r="AI80" s="44"/>
      <c r="AJ80" s="49"/>
      <c r="AK80" s="44"/>
      <c r="AL80" s="49"/>
      <c r="AM80" s="49"/>
      <c r="AN80" s="49"/>
    </row>
    <row r="81" spans="1:44" ht="15.75" x14ac:dyDescent="0.25">
      <c r="A81" s="157" t="s">
        <v>67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0"/>
      <c r="U81" s="44"/>
      <c r="V81" s="44"/>
      <c r="W81" s="44"/>
      <c r="X81" s="189">
        <v>1.5</v>
      </c>
      <c r="Y81" s="189"/>
      <c r="Z81" s="160"/>
      <c r="AA81" s="160"/>
      <c r="AB81" s="235">
        <v>1.75</v>
      </c>
      <c r="AC81" s="189"/>
      <c r="AD81" s="161"/>
      <c r="AE81" s="161"/>
      <c r="AF81" s="48"/>
      <c r="AG81" s="44"/>
      <c r="AH81" s="44"/>
      <c r="AI81" s="44"/>
      <c r="AJ81" s="49"/>
      <c r="AK81" s="44"/>
      <c r="AL81" s="49"/>
      <c r="AM81" s="49"/>
      <c r="AN81" s="49"/>
    </row>
    <row r="82" spans="1:44" s="6" customFormat="1" ht="15.75" x14ac:dyDescent="0.25">
      <c r="A82" s="162" t="s">
        <v>14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2</v>
      </c>
      <c r="T82" s="163"/>
      <c r="U82" s="164"/>
      <c r="V82" s="164"/>
      <c r="W82" s="164"/>
      <c r="X82" s="189">
        <v>1.4</v>
      </c>
      <c r="Y82" s="189"/>
      <c r="Z82" s="163"/>
      <c r="AA82" s="163"/>
      <c r="AB82" s="235">
        <v>1.65</v>
      </c>
      <c r="AC82" s="189"/>
      <c r="AD82" s="166"/>
      <c r="AE82" s="166"/>
      <c r="AF82" s="165"/>
      <c r="AG82" s="164"/>
      <c r="AH82" s="164"/>
      <c r="AI82" s="45"/>
      <c r="AJ82" s="46"/>
      <c r="AK82" s="45"/>
      <c r="AL82" s="46"/>
      <c r="AM82" s="46"/>
      <c r="AN82" s="46"/>
      <c r="AQ82" s="19"/>
      <c r="AR82" s="210"/>
    </row>
    <row r="83" spans="1:44" s="6" customFormat="1" ht="15.75" x14ac:dyDescent="0.25">
      <c r="A83" s="162" t="s">
        <v>115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3"/>
      <c r="U83" s="164"/>
      <c r="V83" s="164"/>
      <c r="W83" s="164"/>
      <c r="X83" s="189">
        <v>1.43</v>
      </c>
      <c r="Y83" s="189"/>
      <c r="Z83" s="163"/>
      <c r="AA83" s="163"/>
      <c r="AB83" s="235">
        <v>1.53</v>
      </c>
      <c r="AC83" s="189"/>
      <c r="AD83" s="166"/>
      <c r="AE83" s="166"/>
      <c r="AF83" s="165"/>
      <c r="AG83" s="164"/>
      <c r="AH83" s="164"/>
      <c r="AI83" s="45"/>
      <c r="AJ83" s="46"/>
      <c r="AK83" s="45"/>
      <c r="AL83" s="46"/>
      <c r="AM83" s="46"/>
      <c r="AN83" s="46"/>
      <c r="AQ83" s="19"/>
      <c r="AR83" s="210"/>
    </row>
    <row r="84" spans="1:44" s="6" customFormat="1" ht="15.75" x14ac:dyDescent="0.25">
      <c r="A84" s="162" t="s">
        <v>70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3"/>
      <c r="U84" s="164"/>
      <c r="V84" s="164"/>
      <c r="W84" s="164"/>
      <c r="X84" s="189">
        <v>1.41</v>
      </c>
      <c r="Y84" s="189"/>
      <c r="Z84" s="163"/>
      <c r="AA84" s="163"/>
      <c r="AB84" s="159">
        <v>1.69</v>
      </c>
      <c r="AC84" s="189"/>
      <c r="AD84" s="166"/>
      <c r="AE84" s="166"/>
      <c r="AF84" s="165"/>
      <c r="AG84" s="164"/>
      <c r="AH84" s="164"/>
      <c r="AI84" s="45"/>
      <c r="AJ84" s="46"/>
      <c r="AK84" s="45"/>
      <c r="AL84" s="46"/>
      <c r="AM84" s="46"/>
      <c r="AN84" s="46"/>
      <c r="AQ84" s="19"/>
      <c r="AR84" s="210"/>
    </row>
    <row r="85" spans="1:44" s="6" customFormat="1" ht="15.75" x14ac:dyDescent="0.25">
      <c r="A85" s="162" t="s">
        <v>15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/>
      <c r="T85" s="163"/>
      <c r="U85" s="164"/>
      <c r="V85" s="164"/>
      <c r="W85" s="164"/>
      <c r="X85" s="189">
        <v>1.41</v>
      </c>
      <c r="Y85" s="189"/>
      <c r="Z85" s="163"/>
      <c r="AA85" s="163"/>
      <c r="AB85" s="159">
        <v>1.65</v>
      </c>
      <c r="AC85" s="189"/>
      <c r="AD85" s="166"/>
      <c r="AE85" s="166"/>
      <c r="AF85" s="165"/>
      <c r="AG85" s="164"/>
      <c r="AH85" s="164"/>
      <c r="AI85" s="45"/>
      <c r="AJ85" s="45"/>
      <c r="AK85" s="45"/>
      <c r="AL85" s="46"/>
      <c r="AM85" s="46"/>
      <c r="AN85" s="46"/>
      <c r="AQ85" s="19"/>
      <c r="AR85" s="210"/>
    </row>
    <row r="86" spans="1:44" s="6" customFormat="1" ht="15.75" x14ac:dyDescent="0.25">
      <c r="A86" s="162" t="s">
        <v>16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3"/>
      <c r="U86" s="164"/>
      <c r="V86" s="164"/>
      <c r="W86" s="164"/>
      <c r="X86" s="189">
        <v>1.4</v>
      </c>
      <c r="Y86" s="189"/>
      <c r="Z86" s="163"/>
      <c r="AA86" s="163"/>
      <c r="AB86" s="159">
        <v>1.61</v>
      </c>
      <c r="AC86" s="189"/>
      <c r="AD86" s="166"/>
      <c r="AE86" s="166"/>
      <c r="AF86" s="165"/>
      <c r="AG86" s="164"/>
      <c r="AH86" s="164"/>
      <c r="AI86" s="45"/>
      <c r="AJ86" s="45"/>
      <c r="AK86" s="45"/>
      <c r="AL86" s="46"/>
      <c r="AM86" s="46"/>
      <c r="AN86" s="46"/>
      <c r="AQ86" s="19"/>
      <c r="AR86" s="210"/>
    </row>
    <row r="87" spans="1:44" ht="15.75" x14ac:dyDescent="0.25">
      <c r="A87" s="162" t="s">
        <v>17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1.98</v>
      </c>
      <c r="T87" s="160"/>
      <c r="U87" s="167"/>
      <c r="V87" s="167"/>
      <c r="W87" s="167"/>
      <c r="X87" s="189">
        <v>1.41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2" t="s">
        <v>100</v>
      </c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>
        <v>2</v>
      </c>
      <c r="T88" s="160"/>
      <c r="U88" s="167"/>
      <c r="V88" s="167"/>
      <c r="W88" s="167"/>
      <c r="X88" s="189">
        <v>1.4</v>
      </c>
      <c r="Y88" s="189"/>
      <c r="Z88" s="160"/>
      <c r="AA88" s="160"/>
      <c r="AB88" s="159">
        <v>1.65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"/>
      <c r="AQ88" s="2"/>
      <c r="AR88" s="211"/>
    </row>
    <row r="89" spans="1:44" ht="15.75" x14ac:dyDescent="0.25">
      <c r="A89" s="162" t="s">
        <v>18</v>
      </c>
      <c r="B89" s="186"/>
      <c r="C89" s="186"/>
      <c r="D89" s="186"/>
      <c r="E89" s="186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58">
        <v>2.0099999999999998</v>
      </c>
      <c r="T89" s="160"/>
      <c r="U89" s="167"/>
      <c r="V89" s="167"/>
      <c r="W89" s="167"/>
      <c r="X89" s="189">
        <v>1.4</v>
      </c>
      <c r="Y89" s="189"/>
      <c r="Z89" s="160"/>
      <c r="AA89" s="160"/>
      <c r="AB89" s="235">
        <v>1.65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"/>
      <c r="AQ89" s="2"/>
      <c r="AR89" s="211"/>
    </row>
    <row r="90" spans="1:44" ht="15.75" x14ac:dyDescent="0.25">
      <c r="A90" s="162" t="s">
        <v>106</v>
      </c>
      <c r="B90" s="186"/>
      <c r="C90" s="186"/>
      <c r="D90" s="186"/>
      <c r="E90" s="186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158"/>
      <c r="T90" s="160"/>
      <c r="U90" s="167"/>
      <c r="V90" s="167"/>
      <c r="W90" s="167"/>
      <c r="X90" s="189">
        <v>1.43</v>
      </c>
      <c r="Y90" s="189"/>
      <c r="Z90" s="160"/>
      <c r="AA90" s="160"/>
      <c r="AB90" s="159">
        <v>1.7</v>
      </c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"/>
      <c r="AQ90" s="2"/>
      <c r="AR90" s="211"/>
    </row>
    <row r="91" spans="1:44" ht="15.75" x14ac:dyDescent="0.25">
      <c r="A91" s="162" t="s">
        <v>64</v>
      </c>
      <c r="B91" s="186"/>
      <c r="C91" s="186"/>
      <c r="D91" s="186"/>
      <c r="E91" s="186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158">
        <v>2</v>
      </c>
      <c r="T91" s="160"/>
      <c r="U91" s="167"/>
      <c r="V91" s="167"/>
      <c r="W91" s="167"/>
      <c r="X91" s="189">
        <v>1.4</v>
      </c>
      <c r="Y91" s="189"/>
      <c r="Z91" s="160"/>
      <c r="AA91" s="160"/>
      <c r="AB91" s="235">
        <v>1.57</v>
      </c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"/>
      <c r="AQ91" s="2"/>
      <c r="AR91" s="211"/>
    </row>
    <row r="92" spans="1:44" ht="15.75" x14ac:dyDescent="0.25">
      <c r="A92" s="162" t="s">
        <v>90</v>
      </c>
      <c r="B92" s="186"/>
      <c r="C92" s="186"/>
      <c r="D92" s="186"/>
      <c r="E92" s="186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158"/>
      <c r="T92" s="160"/>
      <c r="U92" s="167"/>
      <c r="V92" s="167"/>
      <c r="W92" s="167"/>
      <c r="X92" s="189">
        <v>1.4</v>
      </c>
      <c r="Y92" s="189"/>
      <c r="Z92" s="160"/>
      <c r="AA92" s="160"/>
      <c r="AB92" s="159">
        <v>1.62</v>
      </c>
      <c r="AC92" s="189"/>
      <c r="AD92" s="161"/>
      <c r="AE92" s="161"/>
      <c r="AF92" s="168"/>
      <c r="AG92" s="167"/>
      <c r="AH92" s="167"/>
      <c r="AI92" s="47"/>
      <c r="AJ92" s="47"/>
      <c r="AK92" s="47"/>
      <c r="AL92" s="49"/>
      <c r="AM92" s="49"/>
      <c r="AN92" s="49"/>
      <c r="AP92" s="1"/>
      <c r="AQ92" s="2"/>
      <c r="AR92" s="211"/>
    </row>
    <row r="93" spans="1:44" ht="15.75" x14ac:dyDescent="0.25">
      <c r="A93" s="169"/>
      <c r="B93" s="186"/>
      <c r="C93" s="186"/>
      <c r="D93" s="186"/>
      <c r="E93" s="186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158"/>
      <c r="T93" s="160"/>
      <c r="U93" s="167"/>
      <c r="V93" s="167"/>
      <c r="W93" s="167"/>
      <c r="X93" s="189"/>
      <c r="Y93" s="189"/>
      <c r="Z93" s="160"/>
      <c r="AA93" s="160"/>
      <c r="AB93" s="159"/>
      <c r="AC93" s="189"/>
      <c r="AD93" s="161"/>
      <c r="AE93" s="161"/>
      <c r="AF93" s="168"/>
      <c r="AG93" s="167"/>
      <c r="AH93" s="167"/>
      <c r="AI93" s="47"/>
      <c r="AJ93" s="47"/>
      <c r="AK93" s="47"/>
      <c r="AL93" s="49"/>
      <c r="AM93" s="49"/>
      <c r="AN93" s="49"/>
      <c r="AP93" s="147"/>
      <c r="AQ93" s="148"/>
      <c r="AR93" s="208"/>
    </row>
    <row r="94" spans="1:44" ht="15.75" x14ac:dyDescent="0.25">
      <c r="A94" s="170" t="s">
        <v>19</v>
      </c>
      <c r="B94" s="171"/>
      <c r="C94" s="171"/>
      <c r="D94" s="171"/>
      <c r="E94" s="171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91">
        <f>AVERAGE(S74:S92)</f>
        <v>1.9945454545454544</v>
      </c>
      <c r="T94" s="173"/>
      <c r="U94" s="174"/>
      <c r="V94" s="174"/>
      <c r="W94" s="174"/>
      <c r="X94" s="196">
        <f>AVERAGE(X74:X92)</f>
        <v>1.4073684210526312</v>
      </c>
      <c r="Y94" s="196"/>
      <c r="Z94" s="173"/>
      <c r="AA94" s="173"/>
      <c r="AB94" s="261">
        <f>AVERAGE(AB74:AB92)</f>
        <v>1.6405263157894736</v>
      </c>
      <c r="AC94" s="189"/>
      <c r="AD94" s="161"/>
      <c r="AE94" s="161"/>
      <c r="AF94" s="168"/>
      <c r="AG94" s="167"/>
      <c r="AH94" s="167"/>
      <c r="AI94" s="47"/>
      <c r="AJ94" s="47"/>
      <c r="AK94" s="47"/>
      <c r="AL94" s="49"/>
      <c r="AM94" s="49"/>
      <c r="AN94" s="49"/>
      <c r="AP94" s="147"/>
      <c r="AQ94" s="148"/>
      <c r="AR94" s="208"/>
    </row>
    <row r="95" spans="1:44" ht="15.75" x14ac:dyDescent="0.25">
      <c r="C95" s="1"/>
      <c r="U95" s="1"/>
      <c r="W95" s="1"/>
      <c r="AC95" s="189"/>
      <c r="AD95" s="161"/>
      <c r="AE95" s="161"/>
      <c r="AF95" s="168"/>
      <c r="AG95" s="167"/>
      <c r="AH95" s="167"/>
      <c r="AI95" s="47"/>
      <c r="AJ95" s="47"/>
      <c r="AK95" s="47"/>
      <c r="AL95" s="49"/>
      <c r="AM95" s="49"/>
      <c r="AN95" s="49"/>
      <c r="AP95" s="147"/>
      <c r="AQ95" s="148"/>
      <c r="AR95" s="208"/>
    </row>
    <row r="96" spans="1:44" ht="15.75" x14ac:dyDescent="0.25">
      <c r="A96" s="4"/>
      <c r="C96" s="1"/>
      <c r="U96" s="1"/>
      <c r="W96" s="1"/>
      <c r="AC96" s="189"/>
      <c r="AD96" s="161"/>
      <c r="AE96" s="161"/>
      <c r="AF96" s="168"/>
      <c r="AG96" s="167"/>
      <c r="AH96" s="167"/>
      <c r="AI96" s="47"/>
      <c r="AJ96" s="47"/>
      <c r="AK96" s="47"/>
      <c r="AL96" s="49"/>
      <c r="AM96" s="49"/>
      <c r="AN96" s="49"/>
      <c r="AP96" s="147"/>
      <c r="AQ96" s="148"/>
      <c r="AR96" s="208"/>
    </row>
    <row r="97" spans="1:44" ht="15.75" x14ac:dyDescent="0.25">
      <c r="A97" s="4"/>
      <c r="B97" s="4"/>
      <c r="C97" s="17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76"/>
      <c r="T97" s="176"/>
      <c r="U97" s="177"/>
      <c r="V97" s="178"/>
      <c r="W97" s="177"/>
      <c r="X97" s="176"/>
      <c r="Y97" s="176"/>
      <c r="Z97" s="176"/>
      <c r="AA97" s="176"/>
      <c r="AB97" s="176"/>
      <c r="AC97" s="176"/>
      <c r="AD97" s="176"/>
      <c r="AE97" s="176"/>
      <c r="AF97" s="178"/>
      <c r="AG97" s="177"/>
      <c r="AH97" s="177"/>
      <c r="AP97" s="147"/>
      <c r="AQ97" s="148"/>
      <c r="AR97" s="208"/>
    </row>
    <row r="98" spans="1:44" ht="15.75" hidden="1" x14ac:dyDescent="0.25">
      <c r="A98" s="179" t="s">
        <v>63</v>
      </c>
      <c r="B98" s="4"/>
      <c r="C98" s="17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76"/>
      <c r="T98" s="176"/>
      <c r="U98" s="177"/>
      <c r="V98" s="178"/>
      <c r="W98" s="177"/>
      <c r="X98" s="176"/>
      <c r="Y98" s="176"/>
      <c r="Z98" s="176"/>
      <c r="AA98" s="176"/>
      <c r="AB98" s="176"/>
      <c r="AC98" s="176"/>
      <c r="AD98" s="176"/>
      <c r="AE98" s="176"/>
      <c r="AF98" s="178"/>
      <c r="AG98" s="177"/>
      <c r="AH98" s="177"/>
    </row>
    <row r="99" spans="1:44" ht="15.75" x14ac:dyDescent="0.25">
      <c r="B99" s="4"/>
      <c r="C99" s="17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77"/>
      <c r="V99" s="178"/>
      <c r="W99" s="177"/>
      <c r="X99" s="4"/>
      <c r="Y99" s="4"/>
      <c r="Z99" s="4"/>
      <c r="AA99" s="4"/>
      <c r="AB99" s="4"/>
      <c r="AC99" s="4"/>
      <c r="AD99" s="4"/>
      <c r="AE99" s="4"/>
      <c r="AF99" s="178"/>
      <c r="AG99" s="177"/>
      <c r="AH99" s="177"/>
    </row>
    <row r="100" spans="1:44" ht="15.75" x14ac:dyDescent="0.25">
      <c r="A100" s="4"/>
      <c r="B100" s="4"/>
      <c r="C100" s="17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77"/>
      <c r="V100" s="178"/>
      <c r="W100" s="177"/>
      <c r="X100" s="4"/>
      <c r="Y100" s="4"/>
      <c r="Z100" s="4"/>
      <c r="AA100" s="4"/>
      <c r="AB100" s="4"/>
      <c r="AC100" s="4"/>
      <c r="AD100" s="4"/>
      <c r="AE100" s="4"/>
      <c r="AF100" s="178"/>
      <c r="AG100" s="177"/>
      <c r="AH100" s="177"/>
    </row>
    <row r="101" spans="1:44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44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44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44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44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44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44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44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44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44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44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44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">
      <c r="A113" s="5"/>
      <c r="B113" s="5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">
      <c r="A114" s="5"/>
      <c r="B114" s="5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">
      <c r="A115" s="5"/>
      <c r="B115" s="5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">
      <c r="A116" s="5"/>
      <c r="B116" s="5"/>
      <c r="C116" s="1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2">
      <c r="A117" s="5"/>
      <c r="B117" s="5"/>
      <c r="C117" s="1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X117" s="5"/>
      <c r="Y117" s="5"/>
      <c r="Z117" s="5"/>
      <c r="AA117" s="5"/>
      <c r="AB117" s="5"/>
      <c r="AC117" s="5"/>
      <c r="AD117" s="5"/>
      <c r="AE117" s="5"/>
    </row>
    <row r="118" spans="1:31" x14ac:dyDescent="0.2">
      <c r="C118" s="3"/>
    </row>
    <row r="119" spans="1:31" x14ac:dyDescent="0.2">
      <c r="C119" s="3"/>
    </row>
    <row r="120" spans="1:31" x14ac:dyDescent="0.2">
      <c r="C120" s="3"/>
    </row>
    <row r="121" spans="1:31" x14ac:dyDescent="0.2">
      <c r="C121" s="3"/>
    </row>
    <row r="122" spans="1:31" x14ac:dyDescent="0.2">
      <c r="C122" s="3"/>
    </row>
    <row r="123" spans="1:31" x14ac:dyDescent="0.2">
      <c r="C123" s="3"/>
    </row>
    <row r="124" spans="1:31" x14ac:dyDescent="0.2">
      <c r="C124" s="3"/>
    </row>
    <row r="125" spans="1:31" x14ac:dyDescent="0.2">
      <c r="C125" s="3"/>
    </row>
    <row r="126" spans="1:31" x14ac:dyDescent="0.2">
      <c r="C126" s="3"/>
    </row>
    <row r="127" spans="1:31" x14ac:dyDescent="0.2">
      <c r="C127" s="3"/>
    </row>
    <row r="128" spans="1:31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</sheetData>
  <mergeCells count="7">
    <mergeCell ref="X50:Z50"/>
    <mergeCell ref="AB50:AD50"/>
    <mergeCell ref="X28:AB28"/>
    <mergeCell ref="X4:Z4"/>
    <mergeCell ref="AB4:AD4"/>
    <mergeCell ref="X34:Z34"/>
    <mergeCell ref="AB34:AD34"/>
  </mergeCells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2000-10-06T21:19:31Z</cp:lastPrinted>
  <dcterms:created xsi:type="dcterms:W3CDTF">1997-07-25T21:14:12Z</dcterms:created>
  <dcterms:modified xsi:type="dcterms:W3CDTF">2014-09-04T14:16:14Z</dcterms:modified>
</cp:coreProperties>
</file>