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Q10" i="1" s="1"/>
  <c r="G10" i="1"/>
  <c r="I10" i="1"/>
  <c r="M10" i="1" s="1"/>
  <c r="K10" i="1"/>
  <c r="S10" i="1"/>
  <c r="AJ10" i="1"/>
  <c r="U10" i="1" s="1"/>
  <c r="AL10" i="1"/>
  <c r="AN10" i="1"/>
  <c r="E11" i="1"/>
  <c r="Q11" i="1" s="1"/>
  <c r="G11" i="1"/>
  <c r="I11" i="1" s="1"/>
  <c r="S11" i="1"/>
  <c r="AJ11" i="1"/>
  <c r="U11" i="1" s="1"/>
  <c r="AL11" i="1"/>
  <c r="AN11" i="1"/>
  <c r="E13" i="1"/>
  <c r="G13" i="1"/>
  <c r="O13" i="1" s="1"/>
  <c r="Q13" i="1"/>
  <c r="S13" i="1"/>
  <c r="AJ13" i="1"/>
  <c r="U13" i="1" s="1"/>
  <c r="AL13" i="1"/>
  <c r="AN13" i="1"/>
  <c r="E14" i="1"/>
  <c r="G14" i="1"/>
  <c r="I14" i="1"/>
  <c r="M14" i="1" s="1"/>
  <c r="K14" i="1"/>
  <c r="O14" i="1"/>
  <c r="Q14" i="1"/>
  <c r="S14" i="1"/>
  <c r="AJ14" i="1"/>
  <c r="U14" i="1" s="1"/>
  <c r="AL14" i="1"/>
  <c r="AN14" i="1"/>
  <c r="AO14" i="1"/>
  <c r="E15" i="1"/>
  <c r="S15" i="1" s="1"/>
  <c r="G15" i="1"/>
  <c r="O15" i="1"/>
  <c r="U15" i="1"/>
  <c r="AJ15" i="1"/>
  <c r="AL15" i="1"/>
  <c r="AN15" i="1"/>
  <c r="E16" i="1"/>
  <c r="S16" i="1" s="1"/>
  <c r="G16" i="1"/>
  <c r="O16" i="1" s="1"/>
  <c r="I16" i="1"/>
  <c r="K16" i="1" s="1"/>
  <c r="M16" i="1"/>
  <c r="Q16" i="1"/>
  <c r="AJ16" i="1"/>
  <c r="U16" i="1" s="1"/>
  <c r="AL16" i="1"/>
  <c r="AN16" i="1"/>
  <c r="E17" i="1"/>
  <c r="S17" i="1" s="1"/>
  <c r="G17" i="1"/>
  <c r="O17" i="1"/>
  <c r="U17" i="1"/>
  <c r="AJ17" i="1"/>
  <c r="AL17" i="1"/>
  <c r="AN17" i="1"/>
  <c r="E18" i="1"/>
  <c r="S18" i="1" s="1"/>
  <c r="G18" i="1"/>
  <c r="O18" i="1" s="1"/>
  <c r="I18" i="1"/>
  <c r="K18" i="1" s="1"/>
  <c r="M18" i="1"/>
  <c r="Q18" i="1"/>
  <c r="AJ18" i="1"/>
  <c r="U18" i="1" s="1"/>
  <c r="AL18" i="1"/>
  <c r="AN18" i="1"/>
  <c r="E19" i="1"/>
  <c r="U19" i="1" s="1"/>
  <c r="G19" i="1"/>
  <c r="O19" i="1"/>
  <c r="AJ19" i="1"/>
  <c r="AL19" i="1"/>
  <c r="AN19" i="1"/>
  <c r="E20" i="1"/>
  <c r="S20" i="1" s="1"/>
  <c r="G20" i="1"/>
  <c r="O20" i="1" s="1"/>
  <c r="I20" i="1"/>
  <c r="K20" i="1" s="1"/>
  <c r="M20" i="1"/>
  <c r="Q20" i="1"/>
  <c r="AJ20" i="1"/>
  <c r="U20" i="1" s="1"/>
  <c r="AL20" i="1"/>
  <c r="AN20" i="1"/>
  <c r="E21" i="1"/>
  <c r="Q21" i="1" s="1"/>
  <c r="G21" i="1"/>
  <c r="O21" i="1"/>
  <c r="AJ21" i="1"/>
  <c r="AL21" i="1"/>
  <c r="E22" i="1"/>
  <c r="G22" i="1"/>
  <c r="I22" i="1"/>
  <c r="M22" i="1" s="1"/>
  <c r="K22" i="1"/>
  <c r="O22" i="1"/>
  <c r="Q22" i="1"/>
  <c r="S22" i="1"/>
  <c r="AJ22" i="1"/>
  <c r="U22" i="1" s="1"/>
  <c r="AL22" i="1"/>
  <c r="E23" i="1"/>
  <c r="Q23" i="1" s="1"/>
  <c r="G23" i="1"/>
  <c r="O23" i="1" s="1"/>
  <c r="I23" i="1"/>
  <c r="K23" i="1" s="1"/>
  <c r="U23" i="1"/>
  <c r="AJ23" i="1"/>
  <c r="AL23" i="1"/>
  <c r="AN23" i="1"/>
  <c r="AO23" i="1"/>
  <c r="AK26" i="1"/>
  <c r="AL26" i="1"/>
  <c r="E27" i="1"/>
  <c r="E26" i="1" s="1"/>
  <c r="M27" i="1"/>
  <c r="G52" i="1"/>
  <c r="Y10" i="1" s="1"/>
  <c r="I52" i="1"/>
  <c r="Z10" i="1" s="1"/>
  <c r="O10" i="1" s="1"/>
  <c r="K52" i="1"/>
  <c r="S52" i="1"/>
  <c r="Y11" i="1" s="1"/>
  <c r="U52" i="1"/>
  <c r="Z11" i="1" s="1"/>
  <c r="O11" i="1" s="1"/>
  <c r="W52" i="1"/>
  <c r="S27" i="1" l="1"/>
  <c r="Q27" i="1"/>
  <c r="U27" i="1"/>
  <c r="U25" i="1"/>
  <c r="K11" i="1"/>
  <c r="M11" i="1"/>
  <c r="O25" i="1"/>
  <c r="S25" i="1"/>
  <c r="U21" i="1"/>
  <c r="Q17" i="1"/>
  <c r="Q15" i="1"/>
  <c r="Q25" i="1" s="1"/>
  <c r="S23" i="1"/>
  <c r="M23" i="1"/>
  <c r="I21" i="1"/>
  <c r="I19" i="1"/>
  <c r="I17" i="1"/>
  <c r="I15" i="1"/>
  <c r="I13" i="1"/>
  <c r="S21" i="1"/>
  <c r="S19" i="1"/>
  <c r="Q19" i="1"/>
  <c r="K19" i="1" l="1"/>
  <c r="M19" i="1"/>
  <c r="K21" i="1"/>
  <c r="M21" i="1"/>
  <c r="M13" i="1"/>
  <c r="M25" i="1" s="1"/>
  <c r="I25" i="1"/>
  <c r="K25" i="1" s="1"/>
  <c r="K13" i="1"/>
  <c r="K15" i="1"/>
  <c r="M15" i="1"/>
  <c r="K17" i="1"/>
  <c r="M17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<sst xmlns="http://schemas.openxmlformats.org/spreadsheetml/2006/main" count="158" uniqueCount="118">
  <si>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</si>
  <si>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</si>
  <si>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</si>
  <si>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</si>
  <si>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</si>
  <si>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</si>
  <si>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</si>
  <si>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</si>
  <si>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</si>
  <si>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</si>
  <si>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</si>
  <si>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</si>
  <si>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</si>
  <si>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</si>
  <si>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</si>
  <si>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</si>
  <si>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</si>
  <si>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</si>
  <si>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</si>
  <si>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</si>
  <si>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</si>
  <si>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</si>
  <si>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</si>
  <si>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</si>
  <si>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</si>
  <si>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</si>
  <si>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</si>
  <si>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</si>
  <si>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</si>
  <si>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</si>
  <si>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</si>
  <si>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</si>
  <si>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</si>
  <si>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</si>
  <si>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</si>
  <si>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</si>
  <si>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</si>
  <si>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</si>
  <si>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</si>
  <si>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</si>
  <si>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</si>
  <si>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</si>
  <si>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</si>
  <si>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</si>
  <si>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</si>
  <si>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</si>
  <si>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</si>
  <si>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</si>
  <si>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</si>
  <si>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</si>
  <si>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</si>
  <si>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</si>
  <si>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</si>
  <si>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</si>
  <si>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</si>
  <si>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</si>
  <si>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</si>
  <si>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</si>
  <si>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</si>
  <si>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</si>
  <si>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</si>
  <si>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</si>
  <si>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</si>
  <si>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</si>
  <si>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</si>
  <si>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</si>
  <si>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</si>
  <si>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</si>
  <si>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</si>
  <si>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</si>
  <si>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</si>
  <si>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</si>
  <si>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</si>
  <si>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</si>
  <si>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</si>
  <si>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</si>
  <si>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</si>
  <si>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</si>
  <si>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</si>
  <si>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</si>
  <si>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</si>
  <si>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</si>
  <si>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</si>
  <si>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</si>
  <si>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</si>
  <si>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</si>
  <si>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</si>
  <si>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</si>
  <si>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</si>
  <si>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</si>
  <si>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</si>
  <si>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</si>
  <si>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</si>
  <si>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</si>
  <si>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</si>
  <si>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</si>
  <si>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</si>
  <si>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</si>
  <si>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</si>
  <si>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</si>
  <si>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</si>
  <si>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</si>
  <si>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</si>
  <si>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</si>
  <si>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</si>
  <si>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</si>
  <si>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</si>
  <si>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</si>
  <si>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</si>
  <si>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</si>
  <si>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</si>
  <si>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</si>
  <si>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Donato Eassey (NBP) Andrew Fairbanks (EOT)</t>
  </si>
  <si>
    <t>???</t>
  </si>
  <si>
    <t>(3)</t>
  </si>
  <si>
    <t>Accumulate</t>
  </si>
  <si>
    <r>
      <t xml:space="preserve">(3) </t>
    </r>
    <r>
      <rPr>
        <b/>
        <sz val="18"/>
        <rFont val="Arial"/>
        <family val="2"/>
      </rPr>
      <t>Proposed restructuring would reduce distribution to $0.80 per year.  Unitholders will vote on restructuring 12/7/00.</t>
    </r>
  </si>
  <si>
    <t>UBS Warburg (PaineWebber)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</si>
</sst>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17.375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30.625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16.8125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25.0625</val>
          </value>
        </values>
      </ddeItem>
      <ddeItem name="EPN,DIVIDEND" advise="1">
        <values>
          <value>
            <val>2.2000000000000002</val>
          </value>
        </values>
      </ddeItem>
      <ddeItem name="FGP">
        <values>
          <value>
            <val>14.5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4.3125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47.3125</val>
          </value>
        </values>
      </ddeItem>
      <ddeItem name="KPP">
        <values>
          <value>
            <val>27.4375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38.75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28.5</val>
          </value>
        </values>
      </ddeItem>
      <ddeItem name="NBP,DIVIDEND">
        <values>
          <value>
            <val>2.8</val>
          </value>
        </values>
      </ddeItem>
      <ddeItem name="PAA">
        <values>
          <value>
            <val>19.9375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19.25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22.625</val>
          </value>
        </values>
      </ddeItem>
      <ddeItem name="TPP,DIVIDEND">
        <values>
          <value>
            <val>2.1</val>
          </value>
        </values>
      </ddeItem>
      <ddeItem name="US30YT=RR,RT YIELD 1">
        <values>
          <value>
            <val>5.6745999999999999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S49" sqref="S49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1.332031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0.44140625" style="22" customWidth="1"/>
    <col min="37" max="39" width="15.44140625" style="22" customWidth="1"/>
    <col min="40" max="40" width="12.88671875" style="7" customWidth="1"/>
    <col min="41" max="41" width="16.44140625" style="7" customWidth="1"/>
    <col min="42" max="52" width="11.33203125" style="7" customWidth="1"/>
    <col min="53" max="16384" width="9.77734375" style="7"/>
  </cols>
  <sheetData>
    <row r="1" spans="1:52" s="85" customFormat="1" ht="23.25" x14ac:dyDescent="0.35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110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3.25" x14ac:dyDescent="0.35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36854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3.25" x14ac:dyDescent="0.35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3.25" x14ac:dyDescent="0.35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3.25" x14ac:dyDescent="0.35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3.25" x14ac:dyDescent="0.35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>
        <v>36847</v>
      </c>
      <c r="AH6" s="300" t="s">
        <v>82</v>
      </c>
      <c r="AI6" s="172">
        <v>36798</v>
      </c>
      <c r="AJ6" s="300" t="s">
        <v>82</v>
      </c>
      <c r="AK6" s="172">
        <v>36525</v>
      </c>
      <c r="AL6" s="320" t="s">
        <v>104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25" x14ac:dyDescent="0.35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105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3.25" x14ac:dyDescent="0.35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4" thickBot="1" x14ac:dyDescent="0.4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3.25" x14ac:dyDescent="0.35">
      <c r="A10" s="205" t="s">
        <v>35</v>
      </c>
      <c r="B10" s="206"/>
      <c r="C10" s="207" t="s">
        <v>36</v>
      </c>
      <c r="D10" s="206"/>
      <c r="E10" s="208">
        <f>[1]!NBP</f>
        <v>28.5</v>
      </c>
      <c r="F10" s="209"/>
      <c r="G10" s="208">
        <f>[1]!'NBP,DIVIDEND'</f>
        <v>2.8</v>
      </c>
      <c r="H10" s="210"/>
      <c r="I10" s="211">
        <f>+G10/E10</f>
        <v>9.8245614035087719E-2</v>
      </c>
      <c r="J10" s="211"/>
      <c r="K10" s="212">
        <f>(+I10-E$27)*10000</f>
        <v>414.99614035087723</v>
      </c>
      <c r="L10" s="207"/>
      <c r="M10" s="211">
        <f>(I10*AA10)+((I10*(1-AA10))*(1-0.3))</f>
        <v>9.6771929824561398E-2</v>
      </c>
      <c r="N10" s="207"/>
      <c r="O10" s="213">
        <f>+G10/Z10</f>
        <v>1.080663836356619</v>
      </c>
      <c r="P10" s="214"/>
      <c r="Q10" s="213">
        <f>(AF10+$E10-AG10)/AG10</f>
        <v>4.4052863436123352E-3</v>
      </c>
      <c r="R10" s="214"/>
      <c r="S10" s="213">
        <f>(AH10+$E10-AI10)/AI10</f>
        <v>-7.6679841897233231E-2</v>
      </c>
      <c r="T10" s="210"/>
      <c r="U10" s="215">
        <f>(AJ10+$E10-AK10)/AK10</f>
        <v>0.35434782608695647</v>
      </c>
      <c r="V10" s="216"/>
      <c r="W10" s="131"/>
      <c r="X10" s="150"/>
      <c r="Y10" s="327">
        <f>ROUND(G52,2)</f>
        <v>2.5099999999999998</v>
      </c>
      <c r="Z10" s="328">
        <f>+I52</f>
        <v>2.5910000000000002</v>
      </c>
      <c r="AA10" s="217">
        <v>0.95</v>
      </c>
      <c r="AB10" s="218"/>
      <c r="AC10" s="78"/>
      <c r="AD10" s="219">
        <v>36826</v>
      </c>
      <c r="AE10" s="220">
        <v>0.7</v>
      </c>
      <c r="AF10" s="221"/>
      <c r="AG10" s="208">
        <v>28.375</v>
      </c>
      <c r="AH10" s="323">
        <v>0.7</v>
      </c>
      <c r="AI10" s="208">
        <v>31.625</v>
      </c>
      <c r="AJ10" s="323">
        <f>0.65*3+0.7</f>
        <v>2.6500000000000004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4" thickBot="1" x14ac:dyDescent="0.4">
      <c r="A11" s="226" t="s">
        <v>37</v>
      </c>
      <c r="B11" s="227"/>
      <c r="C11" s="228" t="s">
        <v>38</v>
      </c>
      <c r="D11" s="227"/>
      <c r="E11" s="229">
        <f>[1]!EOT</f>
        <v>16.8125</v>
      </c>
      <c r="F11" s="230"/>
      <c r="G11" s="229">
        <f>[1]!'EOT,DIVIDEND'</f>
        <v>1.9</v>
      </c>
      <c r="H11" s="231"/>
      <c r="I11" s="232">
        <f>+G11/E11</f>
        <v>0.11301115241635687</v>
      </c>
      <c r="J11" s="232"/>
      <c r="K11" s="233">
        <f>(+I11-E$27)*10000</f>
        <v>562.65152416356875</v>
      </c>
      <c r="L11" s="228"/>
      <c r="M11" s="232">
        <f>(I11*AA11)+((I11*(1-AA11))*(1-0.3))</f>
        <v>0.11131598513011152</v>
      </c>
      <c r="N11" s="228"/>
      <c r="O11" s="234">
        <f>+G11/Z11</f>
        <v>3.2094594594594597</v>
      </c>
      <c r="P11" s="235"/>
      <c r="Q11" s="234">
        <f>(AF11+$E11-AG11)/AG11</f>
        <v>1.1278195488721804E-2</v>
      </c>
      <c r="R11" s="235"/>
      <c r="S11" s="234">
        <f>(AH11+$E11-AI11)/AI11</f>
        <v>0.15250000000000011</v>
      </c>
      <c r="T11" s="231"/>
      <c r="U11" s="236">
        <f>(AJ11+E11-AK11)/AK11</f>
        <v>0.43942307692307681</v>
      </c>
      <c r="V11" s="216"/>
      <c r="W11" s="131"/>
      <c r="X11" s="150"/>
      <c r="Y11" s="327">
        <f>S52</f>
        <v>0.48399999999999999</v>
      </c>
      <c r="Z11" s="328">
        <f>U52</f>
        <v>0.59199999999999997</v>
      </c>
      <c r="AA11" s="217">
        <v>0.95</v>
      </c>
      <c r="AB11" s="218"/>
      <c r="AD11" s="219">
        <v>36826</v>
      </c>
      <c r="AE11" s="220">
        <v>0.47499999999999998</v>
      </c>
      <c r="AF11" s="221"/>
      <c r="AG11" s="229">
        <v>16.625</v>
      </c>
      <c r="AH11" s="323">
        <v>0.47499999999999998</v>
      </c>
      <c r="AI11" s="229">
        <v>15</v>
      </c>
      <c r="AJ11" s="323">
        <f>0.475*4</f>
        <v>1.9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3.25" x14ac:dyDescent="0.35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25" x14ac:dyDescent="0.35">
      <c r="A13" s="127" t="s">
        <v>72</v>
      </c>
      <c r="B13" s="78"/>
      <c r="C13" s="144" t="s">
        <v>39</v>
      </c>
      <c r="D13" s="78"/>
      <c r="E13" s="237">
        <f>[1]!APU</f>
        <v>17.375</v>
      </c>
      <c r="F13" s="238"/>
      <c r="G13" s="237">
        <f>[1]!'APU,DIVIDEND'</f>
        <v>2.2000000000000002</v>
      </c>
      <c r="H13" s="109"/>
      <c r="I13" s="179">
        <f>+G13/E13</f>
        <v>0.12661870503597122</v>
      </c>
      <c r="J13" s="179"/>
      <c r="K13" s="244">
        <f t="shared" ref="K13:K23" si="0">(+I13-E$27)*10000</f>
        <v>698.72705035971228</v>
      </c>
      <c r="L13" s="107"/>
      <c r="M13" s="179">
        <f t="shared" ref="M13:M23" si="1">(I13*AA13)+((I13*(1-AA13))*(1-0.3))</f>
        <v>0.11522302158273381</v>
      </c>
      <c r="N13" s="107"/>
      <c r="O13" s="166">
        <f>+G13/Y13</f>
        <v>2.2222222222222223</v>
      </c>
      <c r="P13" s="240"/>
      <c r="Q13" s="166">
        <f t="shared" ref="Q13:Q23" si="2">(AF13+$E13-AG13)/AG13</f>
        <v>4.1198501872659173E-2</v>
      </c>
      <c r="R13" s="240"/>
      <c r="S13" s="166">
        <f t="shared" ref="S13:S23" si="3">(AH13+$E13-AI13)/AI13</f>
        <v>-5.6578947368421013E-2</v>
      </c>
      <c r="T13" s="109"/>
      <c r="U13" s="245">
        <f t="shared" ref="U13:U23" si="4">(AJ13+E13-AK13)/AK13</f>
        <v>0.31596638655462178</v>
      </c>
      <c r="V13" s="216"/>
      <c r="W13" s="131"/>
      <c r="X13" s="150"/>
      <c r="Y13" s="327">
        <v>0.99</v>
      </c>
      <c r="Z13" s="328">
        <v>0</v>
      </c>
      <c r="AA13" s="217">
        <v>0.7</v>
      </c>
      <c r="AB13" s="246"/>
      <c r="AC13" s="78"/>
      <c r="AD13" s="219">
        <v>36838</v>
      </c>
      <c r="AE13" s="220">
        <v>0.55000000000000004</v>
      </c>
      <c r="AF13" s="332"/>
      <c r="AG13" s="237">
        <v>16.6875</v>
      </c>
      <c r="AH13" s="323">
        <v>0.55000000000000004</v>
      </c>
      <c r="AI13" s="237">
        <v>19</v>
      </c>
      <c r="AJ13" s="323">
        <f>0.55*4</f>
        <v>2.2000000000000002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3.25" x14ac:dyDescent="0.35">
      <c r="A14" s="127" t="s">
        <v>40</v>
      </c>
      <c r="B14" s="78"/>
      <c r="C14" s="144" t="s">
        <v>41</v>
      </c>
      <c r="D14" s="78"/>
      <c r="E14" s="237">
        <f>[1]!BPL</f>
        <v>30.625</v>
      </c>
      <c r="F14" s="238"/>
      <c r="G14" s="237">
        <f>[1]!'BPL,DIVIDEND'</f>
        <v>2.4</v>
      </c>
      <c r="H14" s="109"/>
      <c r="I14" s="179">
        <f t="shared" ref="I14:I20" si="5">+G14/E14</f>
        <v>7.8367346938775506E-2</v>
      </c>
      <c r="J14" s="179"/>
      <c r="K14" s="244">
        <f t="shared" si="0"/>
        <v>216.21346938775508</v>
      </c>
      <c r="L14" s="107"/>
      <c r="M14" s="179">
        <f t="shared" si="1"/>
        <v>7.2489795918367336E-2</v>
      </c>
      <c r="N14" s="107"/>
      <c r="O14" s="166">
        <f t="shared" ref="O14:O23" si="6">+G14/Z14</f>
        <v>0.94488188976377951</v>
      </c>
      <c r="P14" s="240"/>
      <c r="Q14" s="166">
        <f t="shared" si="2"/>
        <v>2.2964509394572025E-2</v>
      </c>
      <c r="R14" s="240"/>
      <c r="S14" s="166">
        <f t="shared" si="3"/>
        <v>8.6086956521739186E-2</v>
      </c>
      <c r="T14" s="109"/>
      <c r="U14" s="245">
        <f t="shared" si="4"/>
        <v>0.27019230769230762</v>
      </c>
      <c r="V14" s="216"/>
      <c r="W14" s="131"/>
      <c r="X14" s="150"/>
      <c r="Y14" s="327">
        <v>2.44</v>
      </c>
      <c r="Z14" s="328">
        <v>2.54</v>
      </c>
      <c r="AA14" s="217">
        <v>0.75</v>
      </c>
      <c r="AB14" s="218"/>
      <c r="AC14" s="78"/>
      <c r="AD14" s="219">
        <v>36832</v>
      </c>
      <c r="AE14" s="220">
        <v>0.6</v>
      </c>
      <c r="AF14" s="221"/>
      <c r="AG14" s="237">
        <v>29.9375</v>
      </c>
      <c r="AH14" s="323">
        <v>0.6</v>
      </c>
      <c r="AI14" s="237">
        <v>28.75</v>
      </c>
      <c r="AJ14" s="323">
        <f>0.6*4</f>
        <v>2.4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3.25" x14ac:dyDescent="0.35">
      <c r="A15" s="127" t="s">
        <v>101</v>
      </c>
      <c r="B15" s="78"/>
      <c r="C15" s="144" t="s">
        <v>102</v>
      </c>
      <c r="D15" s="78"/>
      <c r="E15" s="237">
        <f>[1]!EPN</f>
        <v>25.0625</v>
      </c>
      <c r="F15" s="238"/>
      <c r="G15" s="237">
        <f>[1]!'EPN,DIVIDEND'</f>
        <v>2.2000000000000002</v>
      </c>
      <c r="H15" s="109"/>
      <c r="I15" s="179">
        <f>+G15/E15</f>
        <v>8.7780548628428934E-2</v>
      </c>
      <c r="J15" s="179"/>
      <c r="K15" s="244">
        <f t="shared" si="0"/>
        <v>310.34548628428934</v>
      </c>
      <c r="L15" s="107"/>
      <c r="M15" s="179">
        <f>(I15*AA15)+((I15*(1-AA15))*(1-0.3))</f>
        <v>8.6727182044887788E-2</v>
      </c>
      <c r="N15" s="107"/>
      <c r="O15" s="166">
        <f>+G15/Z15</f>
        <v>13.75</v>
      </c>
      <c r="P15" s="240"/>
      <c r="Q15" s="166">
        <f>(AF15+$E15-AG15)/AG15</f>
        <v>4.9738219895287955E-2</v>
      </c>
      <c r="R15" s="240"/>
      <c r="S15" s="166">
        <f>(AH15+$E15-AI15)/AI15</f>
        <v>-4.2523364485981284E-2</v>
      </c>
      <c r="T15" s="109"/>
      <c r="U15" s="245">
        <f>(AJ15+E15-AK15)/AK15</f>
        <v>0.43223684210526309</v>
      </c>
      <c r="V15" s="252"/>
      <c r="W15" s="131"/>
      <c r="X15" s="150"/>
      <c r="Y15" s="329">
        <v>-0.02</v>
      </c>
      <c r="Z15" s="330">
        <v>0.16</v>
      </c>
      <c r="AA15" s="253">
        <v>0.96</v>
      </c>
      <c r="AB15" s="255"/>
      <c r="AC15" s="78"/>
      <c r="AD15" s="219">
        <v>36826</v>
      </c>
      <c r="AE15" s="250">
        <v>0.55000000000000004</v>
      </c>
      <c r="AF15" s="251"/>
      <c r="AG15" s="237">
        <v>23.875</v>
      </c>
      <c r="AH15" s="324">
        <v>0.55000000000000004</v>
      </c>
      <c r="AI15" s="237">
        <v>26.75</v>
      </c>
      <c r="AJ15" s="324">
        <f>0.525+0.5375*2+0.55</f>
        <v>2.1500000000000004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25" x14ac:dyDescent="0.35">
      <c r="A16" s="127" t="s">
        <v>73</v>
      </c>
      <c r="B16" s="78"/>
      <c r="C16" s="144" t="s">
        <v>42</v>
      </c>
      <c r="D16" s="78"/>
      <c r="E16" s="237">
        <f>[1]!FGP</f>
        <v>14.5</v>
      </c>
      <c r="F16" s="238"/>
      <c r="G16" s="237">
        <f>[1]!'FGP,DIVIDEND'</f>
        <v>2</v>
      </c>
      <c r="H16" s="109"/>
      <c r="I16" s="179">
        <f>+G16/E16</f>
        <v>0.13793103448275862</v>
      </c>
      <c r="J16" s="179"/>
      <c r="K16" s="244">
        <f t="shared" si="0"/>
        <v>811.85034482758624</v>
      </c>
      <c r="L16" s="107"/>
      <c r="M16" s="179">
        <f t="shared" si="1"/>
        <v>0.13710344827586204</v>
      </c>
      <c r="N16" s="107"/>
      <c r="O16" s="166">
        <f t="shared" si="6"/>
        <v>2.6666666666666665</v>
      </c>
      <c r="P16" s="249"/>
      <c r="Q16" s="166">
        <f t="shared" si="2"/>
        <v>1.7543859649122806E-2</v>
      </c>
      <c r="R16" s="249"/>
      <c r="S16" s="166">
        <f t="shared" si="3"/>
        <v>-0.11450381679389313</v>
      </c>
      <c r="T16" s="109"/>
      <c r="U16" s="245">
        <f t="shared" si="4"/>
        <v>0.26732673267326734</v>
      </c>
      <c r="V16" s="216"/>
      <c r="W16" s="131"/>
      <c r="X16" s="150"/>
      <c r="Y16" s="327">
        <v>0.41</v>
      </c>
      <c r="Z16" s="328">
        <v>0.75</v>
      </c>
      <c r="AA16" s="217">
        <v>0.98</v>
      </c>
      <c r="AB16" s="218"/>
      <c r="AC16" s="78"/>
      <c r="AD16" s="219">
        <v>36858</v>
      </c>
      <c r="AE16" s="220">
        <v>0.5</v>
      </c>
      <c r="AF16" s="221"/>
      <c r="AG16" s="237">
        <v>14.25</v>
      </c>
      <c r="AH16" s="323"/>
      <c r="AI16" s="237">
        <v>16.375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3.25" x14ac:dyDescent="0.35">
      <c r="A17" s="127" t="s">
        <v>111</v>
      </c>
      <c r="B17" s="78"/>
      <c r="C17" s="144" t="s">
        <v>43</v>
      </c>
      <c r="D17" s="78"/>
      <c r="E17" s="237">
        <f>[1]!GEL</f>
        <v>4.3125</v>
      </c>
      <c r="F17" s="238"/>
      <c r="G17" s="237">
        <f>[1]!'GEL,DIVIDEND'</f>
        <v>2</v>
      </c>
      <c r="H17" s="331" t="s">
        <v>114</v>
      </c>
      <c r="I17" s="179">
        <f>+G17/E17</f>
        <v>0.46376811594202899</v>
      </c>
      <c r="J17" s="179"/>
      <c r="K17" s="244">
        <f t="shared" si="0"/>
        <v>4070.22115942029</v>
      </c>
      <c r="L17" s="107"/>
      <c r="M17" s="179">
        <f t="shared" si="1"/>
        <v>0.46376811594202899</v>
      </c>
      <c r="N17" s="107"/>
      <c r="O17" s="166">
        <f t="shared" si="6"/>
        <v>20</v>
      </c>
      <c r="P17" s="240"/>
      <c r="Q17" s="166">
        <f t="shared" si="2"/>
        <v>-6.7567567567567571E-2</v>
      </c>
      <c r="R17" s="240"/>
      <c r="S17" s="166">
        <f t="shared" si="3"/>
        <v>-0.29357798165137616</v>
      </c>
      <c r="T17" s="109"/>
      <c r="U17" s="245">
        <f t="shared" si="4"/>
        <v>-0.21705426356589147</v>
      </c>
      <c r="V17" s="216"/>
      <c r="W17" s="131"/>
      <c r="X17" s="150"/>
      <c r="Y17" s="327">
        <v>0.08</v>
      </c>
      <c r="Z17" s="328">
        <v>0.1</v>
      </c>
      <c r="AA17" s="217">
        <v>1</v>
      </c>
      <c r="AB17" s="218"/>
      <c r="AC17" s="78"/>
      <c r="AD17" s="219">
        <v>36826</v>
      </c>
      <c r="AE17" s="250">
        <v>0.5</v>
      </c>
      <c r="AF17" s="251"/>
      <c r="AG17" s="237">
        <v>4.625</v>
      </c>
      <c r="AH17" s="324">
        <v>0.5</v>
      </c>
      <c r="AI17" s="237">
        <v>6.8125</v>
      </c>
      <c r="AJ17" s="324">
        <f>0.5*4</f>
        <v>2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3.25" x14ac:dyDescent="0.35">
      <c r="A18" s="127" t="s">
        <v>44</v>
      </c>
      <c r="B18" s="78"/>
      <c r="C18" s="144" t="s">
        <v>45</v>
      </c>
      <c r="D18" s="78"/>
      <c r="E18" s="237">
        <f>[1]!KPP</f>
        <v>27.4375</v>
      </c>
      <c r="F18" s="238"/>
      <c r="G18" s="237">
        <f>[1]!'KPP,DIVIDEND'</f>
        <v>2.8</v>
      </c>
      <c r="H18" s="109"/>
      <c r="I18" s="179">
        <f t="shared" si="5"/>
        <v>0.1020501138952164</v>
      </c>
      <c r="J18" s="179"/>
      <c r="K18" s="244">
        <f t="shared" si="0"/>
        <v>453.04113895216403</v>
      </c>
      <c r="L18" s="107"/>
      <c r="M18" s="179">
        <f t="shared" si="1"/>
        <v>9.5927107061503411E-2</v>
      </c>
      <c r="N18" s="107"/>
      <c r="O18" s="166">
        <f t="shared" si="6"/>
        <v>1.0035842293906809</v>
      </c>
      <c r="P18" s="240"/>
      <c r="Q18" s="166">
        <f t="shared" si="2"/>
        <v>2.0930232558139535E-2</v>
      </c>
      <c r="R18" s="240"/>
      <c r="S18" s="166">
        <f t="shared" si="3"/>
        <v>-4.820295983086683E-2</v>
      </c>
      <c r="T18" s="109"/>
      <c r="U18" s="245">
        <f t="shared" si="4"/>
        <v>0.2248101265822785</v>
      </c>
      <c r="V18" s="252"/>
      <c r="W18" s="131"/>
      <c r="X18" s="150"/>
      <c r="Y18" s="327">
        <v>2.54</v>
      </c>
      <c r="Z18" s="328">
        <v>2.79</v>
      </c>
      <c r="AA18" s="217">
        <v>0.8</v>
      </c>
      <c r="AB18" s="218"/>
      <c r="AC18" s="78"/>
      <c r="AD18" s="219">
        <v>36826</v>
      </c>
      <c r="AE18" s="250">
        <v>0.7</v>
      </c>
      <c r="AF18" s="251"/>
      <c r="AG18" s="237">
        <v>26.875</v>
      </c>
      <c r="AH18" s="324">
        <v>0.7</v>
      </c>
      <c r="AI18" s="237">
        <v>29.5625</v>
      </c>
      <c r="AJ18" s="324">
        <f>0.7*4</f>
        <v>2.8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25" x14ac:dyDescent="0.35">
      <c r="A19" s="127" t="s">
        <v>46</v>
      </c>
      <c r="B19" s="78"/>
      <c r="C19" s="144" t="s">
        <v>103</v>
      </c>
      <c r="D19" s="78"/>
      <c r="E19" s="237">
        <f>[1]!KMP</f>
        <v>47.3125</v>
      </c>
      <c r="F19" s="238"/>
      <c r="G19" s="237">
        <f>0.85*4</f>
        <v>3.4</v>
      </c>
      <c r="H19" s="321"/>
      <c r="I19" s="179">
        <f>+G19/E19</f>
        <v>7.1862615587846762E-2</v>
      </c>
      <c r="J19" s="179"/>
      <c r="K19" s="244">
        <f t="shared" si="0"/>
        <v>151.16615587846763</v>
      </c>
      <c r="L19" s="107"/>
      <c r="M19" s="179">
        <f t="shared" si="1"/>
        <v>6.9706737120211359E-2</v>
      </c>
      <c r="N19" s="107"/>
      <c r="O19" s="166">
        <f t="shared" si="6"/>
        <v>1.1643835616438356</v>
      </c>
      <c r="P19" s="240"/>
      <c r="Q19" s="166">
        <f t="shared" si="2"/>
        <v>-6.5616797900262466E-3</v>
      </c>
      <c r="R19" s="240"/>
      <c r="S19" s="166">
        <f t="shared" si="3"/>
        <v>1.6622691292876021E-2</v>
      </c>
      <c r="T19" s="109"/>
      <c r="U19" s="245">
        <f t="shared" si="4"/>
        <v>0.21900452488687791</v>
      </c>
      <c r="V19" s="252"/>
      <c r="W19" s="131"/>
      <c r="X19" s="150"/>
      <c r="Y19" s="329">
        <v>2.66</v>
      </c>
      <c r="Z19" s="330">
        <v>2.92</v>
      </c>
      <c r="AA19" s="253">
        <v>0.9</v>
      </c>
      <c r="AB19" s="254"/>
      <c r="AC19" s="78"/>
      <c r="AD19" s="219">
        <v>36826</v>
      </c>
      <c r="AE19" s="220">
        <v>0.85</v>
      </c>
      <c r="AF19" s="221"/>
      <c r="AG19" s="237">
        <v>47.625</v>
      </c>
      <c r="AH19" s="323">
        <v>0.85</v>
      </c>
      <c r="AI19" s="237">
        <v>47.375</v>
      </c>
      <c r="AJ19" s="323">
        <f>0.725+0.775+0.85*2</f>
        <v>3.2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3.25" x14ac:dyDescent="0.35">
      <c r="A20" s="127" t="s">
        <v>47</v>
      </c>
      <c r="B20" s="78"/>
      <c r="C20" s="144" t="s">
        <v>48</v>
      </c>
      <c r="D20" s="78"/>
      <c r="E20" s="237">
        <f>[1]!LHP</f>
        <v>38.75</v>
      </c>
      <c r="F20" s="238"/>
      <c r="G20" s="237">
        <f>[1]!'LHP,DIVIDEND'</f>
        <v>3.5</v>
      </c>
      <c r="H20" s="109"/>
      <c r="I20" s="179">
        <f t="shared" si="5"/>
        <v>9.0322580645161285E-2</v>
      </c>
      <c r="J20" s="179"/>
      <c r="K20" s="244">
        <f t="shared" si="0"/>
        <v>335.76580645161289</v>
      </c>
      <c r="L20" s="107"/>
      <c r="M20" s="179">
        <f t="shared" si="1"/>
        <v>8.8967741935483874E-2</v>
      </c>
      <c r="N20" s="107"/>
      <c r="O20" s="166">
        <f t="shared" si="6"/>
        <v>1.3725490196078431</v>
      </c>
      <c r="P20" s="240"/>
      <c r="Q20" s="166">
        <f t="shared" si="2"/>
        <v>-1.2738853503184714E-2</v>
      </c>
      <c r="R20" s="240"/>
      <c r="S20" s="166">
        <f t="shared" si="3"/>
        <v>-4.5180722891566265E-2</v>
      </c>
      <c r="T20" s="109"/>
      <c r="U20" s="245">
        <f t="shared" si="4"/>
        <v>0.21364452423698385</v>
      </c>
      <c r="V20" s="252"/>
      <c r="W20" s="131"/>
      <c r="X20" s="150"/>
      <c r="Y20" s="329">
        <v>1.99</v>
      </c>
      <c r="Z20" s="330">
        <v>2.5499999999999998</v>
      </c>
      <c r="AA20" s="253">
        <v>0.95</v>
      </c>
      <c r="AB20" s="255"/>
      <c r="AC20" s="78"/>
      <c r="AD20" s="219">
        <v>36826</v>
      </c>
      <c r="AE20" s="220">
        <v>0.875</v>
      </c>
      <c r="AF20" s="221"/>
      <c r="AG20" s="237">
        <v>39.25</v>
      </c>
      <c r="AH20" s="323">
        <v>0.875</v>
      </c>
      <c r="AI20" s="237">
        <v>41.5</v>
      </c>
      <c r="AJ20" s="323">
        <f>0.875*4</f>
        <v>3.5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25" x14ac:dyDescent="0.35">
      <c r="A21" s="127" t="s">
        <v>84</v>
      </c>
      <c r="B21" s="78"/>
      <c r="C21" s="144" t="s">
        <v>86</v>
      </c>
      <c r="D21" s="78"/>
      <c r="E21" s="237">
        <f>[1]!PAA</f>
        <v>19.9375</v>
      </c>
      <c r="F21" s="238"/>
      <c r="G21" s="237">
        <f>[1]!'PAA,DIVIDEND'</f>
        <v>1.85</v>
      </c>
      <c r="H21" s="321"/>
      <c r="I21" s="179">
        <f>+G21/E21</f>
        <v>9.2789968652037619E-2</v>
      </c>
      <c r="J21" s="179"/>
      <c r="K21" s="244">
        <f t="shared" si="0"/>
        <v>360.4396865203762</v>
      </c>
      <c r="L21" s="107"/>
      <c r="M21" s="179">
        <f>(I21*AA21)+((I21*(1-AA21))*(1-0.3))</f>
        <v>8.4438871473354229E-2</v>
      </c>
      <c r="N21" s="107"/>
      <c r="O21" s="166">
        <f>+G21/Z21</f>
        <v>1.1011904761904763</v>
      </c>
      <c r="P21" s="240"/>
      <c r="Q21" s="166">
        <f>(AF21+$E21-AG21)/AG21</f>
        <v>1.5923566878980892E-2</v>
      </c>
      <c r="R21" s="240"/>
      <c r="S21" s="166">
        <f>(AH21+$E21-AI21)/AI21</f>
        <v>5.2903225806451543E-2</v>
      </c>
      <c r="T21" s="109"/>
      <c r="U21" s="245">
        <f>(AJ21+E21-AK21)/AK21</f>
        <v>0.67403846153846148</v>
      </c>
      <c r="V21" s="252"/>
      <c r="W21" s="131"/>
      <c r="X21" s="150"/>
      <c r="Y21" s="329">
        <v>1.47</v>
      </c>
      <c r="Z21" s="330">
        <v>1.68</v>
      </c>
      <c r="AA21" s="253">
        <v>0.7</v>
      </c>
      <c r="AB21" s="255"/>
      <c r="AC21" s="78"/>
      <c r="AD21" s="219">
        <v>36831</v>
      </c>
      <c r="AE21" s="250">
        <v>0.46250000000000002</v>
      </c>
      <c r="AF21" s="251"/>
      <c r="AG21" s="237">
        <v>19.625</v>
      </c>
      <c r="AH21" s="324">
        <v>0.46250000000000002</v>
      </c>
      <c r="AI21" s="237">
        <v>19.375</v>
      </c>
      <c r="AJ21" s="324">
        <f>0.45*2+0.4625*2</f>
        <v>1.8250000000000002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3.25" x14ac:dyDescent="0.35">
      <c r="A22" s="127" t="s">
        <v>106</v>
      </c>
      <c r="B22" s="78"/>
      <c r="C22" s="144" t="s">
        <v>88</v>
      </c>
      <c r="D22" s="78"/>
      <c r="E22" s="237">
        <f>[1]!TCLPZ.O</f>
        <v>19.25</v>
      </c>
      <c r="F22" s="238"/>
      <c r="G22" s="237">
        <f>[1]!'TCLPZ.O,DIVIDEND'</f>
        <v>1.9</v>
      </c>
      <c r="H22" s="109"/>
      <c r="I22" s="179">
        <f>+G22/E22</f>
        <v>9.8701298701298693E-2</v>
      </c>
      <c r="J22" s="179"/>
      <c r="K22" s="244">
        <f t="shared" si="0"/>
        <v>419.55298701298693</v>
      </c>
      <c r="L22" s="107"/>
      <c r="M22" s="179">
        <f>(I22*AA22)+((I22*(1-AA22))*(1-0.3))</f>
        <v>9.7220779220779208E-2</v>
      </c>
      <c r="N22" s="107"/>
      <c r="O22" s="166">
        <f>+G22/Z22</f>
        <v>0.93137254901960775</v>
      </c>
      <c r="P22" s="240"/>
      <c r="Q22" s="166">
        <f>(AF22+$E22-AG22)/AG22</f>
        <v>3.7037037037037035E-2</v>
      </c>
      <c r="R22" s="240"/>
      <c r="S22" s="166">
        <f>(AH22+$E22-AI22)/AI22</f>
        <v>5.0955414012739579E-3</v>
      </c>
      <c r="T22" s="109"/>
      <c r="U22" s="245">
        <f>(AJ22+E22-AK22)/AK22</f>
        <v>0.47719298245614039</v>
      </c>
      <c r="V22" s="252"/>
      <c r="W22" s="131"/>
      <c r="X22" s="150"/>
      <c r="Y22" s="329">
        <v>2.0099999999999998</v>
      </c>
      <c r="Z22" s="330">
        <v>2.04</v>
      </c>
      <c r="AA22" s="253">
        <v>0.95</v>
      </c>
      <c r="AB22" s="255"/>
      <c r="AC22" s="78"/>
      <c r="AD22" s="219">
        <v>36826</v>
      </c>
      <c r="AE22" s="250">
        <v>0.47499999999999998</v>
      </c>
      <c r="AF22" s="251"/>
      <c r="AG22" s="237">
        <v>18.5625</v>
      </c>
      <c r="AH22" s="324">
        <v>0.47499999999999998</v>
      </c>
      <c r="AI22" s="317">
        <v>19.625</v>
      </c>
      <c r="AJ22" s="324">
        <f>0.45*4</f>
        <v>1.8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3.25" x14ac:dyDescent="0.35">
      <c r="A23" s="127" t="s">
        <v>49</v>
      </c>
      <c r="B23" s="78"/>
      <c r="C23" s="144" t="s">
        <v>50</v>
      </c>
      <c r="D23" s="78"/>
      <c r="E23" s="237">
        <f>[1]!TPP</f>
        <v>22.625</v>
      </c>
      <c r="F23" s="238"/>
      <c r="G23" s="237">
        <f>[1]!'TPP,DIVIDEND'</f>
        <v>2.1</v>
      </c>
      <c r="H23" s="109"/>
      <c r="I23" s="179">
        <f>+G23/E23</f>
        <v>9.2817679558011054E-2</v>
      </c>
      <c r="J23" s="179"/>
      <c r="K23" s="244">
        <f t="shared" si="0"/>
        <v>360.71679558011056</v>
      </c>
      <c r="L23" s="107"/>
      <c r="M23" s="179">
        <f t="shared" si="1"/>
        <v>8.4464088397790058E-2</v>
      </c>
      <c r="N23" s="107"/>
      <c r="O23" s="166">
        <f t="shared" si="6"/>
        <v>1</v>
      </c>
      <c r="P23" s="240"/>
      <c r="Q23" s="166">
        <f t="shared" si="2"/>
        <v>-2.7548209366391185E-3</v>
      </c>
      <c r="R23" s="240"/>
      <c r="S23" s="166">
        <f t="shared" si="3"/>
        <v>-0.12847058823529417</v>
      </c>
      <c r="T23" s="109"/>
      <c r="U23" s="245">
        <f t="shared" si="4"/>
        <v>0.27508090614886732</v>
      </c>
      <c r="V23" s="252"/>
      <c r="W23" s="131"/>
      <c r="X23" s="150"/>
      <c r="Y23" s="329">
        <v>1.99</v>
      </c>
      <c r="Z23" s="330">
        <v>2.1</v>
      </c>
      <c r="AA23" s="253">
        <v>0.7</v>
      </c>
      <c r="AB23" s="255"/>
      <c r="AC23" s="78"/>
      <c r="AD23" s="219">
        <v>36826</v>
      </c>
      <c r="AE23" s="250">
        <v>0.52500000000000002</v>
      </c>
      <c r="AF23" s="251"/>
      <c r="AG23" s="237">
        <v>22.6875</v>
      </c>
      <c r="AH23" s="324">
        <v>0.52500000000000002</v>
      </c>
      <c r="AI23" s="237">
        <v>26.5625</v>
      </c>
      <c r="AJ23" s="324">
        <f>0.475+0.5+0.5+0.525</f>
        <v>2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4" thickBot="1" x14ac:dyDescent="0.4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4" thickBot="1" x14ac:dyDescent="0.4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0.13118272800613956</v>
      </c>
      <c r="J25" s="272"/>
      <c r="K25" s="273">
        <f>(+I25-E$27)*10000</f>
        <v>744.36728006139572</v>
      </c>
      <c r="L25" s="268"/>
      <c r="M25" s="272">
        <f>AVERAGEA(M13:M23)</f>
        <v>0.12691244445209113</v>
      </c>
      <c r="N25" s="268"/>
      <c r="O25" s="274">
        <f>AVERAGEA(O13:O23)</f>
        <v>4.1960773285913744</v>
      </c>
      <c r="P25" s="275"/>
      <c r="Q25" s="274">
        <f>AVERAGEA(Q13:Q23)</f>
        <v>1.0519364135307433E-2</v>
      </c>
      <c r="R25" s="275"/>
      <c r="S25" s="274">
        <f>AVERAGEA(S13:S23)</f>
        <v>-5.1666360566823472E-2</v>
      </c>
      <c r="T25" s="271"/>
      <c r="U25" s="276">
        <f>AVERAGEA(U13:U23)</f>
        <v>0.286585411937198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3.25" x14ac:dyDescent="0.35">
      <c r="A26" s="78"/>
      <c r="B26" s="78"/>
      <c r="C26" s="128"/>
      <c r="D26" s="78"/>
      <c r="E26" s="1">
        <f>PV(E27/2,(58-((+VALUE($AG$6+7)-VALUE($AR$27))/(365/2))),-$AK$27*100/2,-100,0)</f>
        <v>111.27493538372563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109.73737288840809</v>
      </c>
      <c r="AH26" s="313"/>
      <c r="AI26" s="1">
        <v>110.07520094025907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35">
      <c r="A27" s="127" t="s">
        <v>94</v>
      </c>
      <c r="B27" s="78"/>
      <c r="C27" s="128"/>
      <c r="D27" s="78"/>
      <c r="E27" s="286">
        <f>[1]!'US30YT=RR,RT YIELD 1'/100</f>
        <v>5.6745999999999998E-2</v>
      </c>
      <c r="F27" s="78"/>
      <c r="G27" s="285"/>
      <c r="H27" s="109"/>
      <c r="J27" s="286"/>
      <c r="K27" s="239"/>
      <c r="L27" s="107"/>
      <c r="M27" s="179">
        <f>(E27*AA27)+((E27*(1-AA27))*(1-0.3))</f>
        <v>3.9722199999999999E-2</v>
      </c>
      <c r="N27" s="107"/>
      <c r="O27" s="166"/>
      <c r="P27" s="240"/>
      <c r="Q27" s="166">
        <f>(AF26+$E26-AG26)/AG26</f>
        <v>1.401129309775888E-2</v>
      </c>
      <c r="R27" s="240"/>
      <c r="S27" s="166">
        <f>(AH26+$E26-AI26)/AI26</f>
        <v>1.0899225558695075E-2</v>
      </c>
      <c r="T27" s="109"/>
      <c r="U27" s="245">
        <f>(AJ26+E26-AK26)/AK26</f>
        <v>0.11274935383725633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5.7771999999999997E-2</v>
      </c>
      <c r="AH27" s="289"/>
      <c r="AI27" s="286">
        <v>5.8883999999999999E-2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35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G28" s="22" t="s">
        <v>24</v>
      </c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25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25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25" x14ac:dyDescent="0.35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35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25" x14ac:dyDescent="0.35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35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4">
      <c r="A35" s="6" t="s">
        <v>116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25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25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65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35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107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107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35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109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35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2.52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35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35">
      <c r="A43" s="95" t="s">
        <v>59</v>
      </c>
      <c r="B43" s="87"/>
      <c r="C43" s="87"/>
      <c r="D43" s="87"/>
      <c r="E43" s="96" t="s">
        <v>56</v>
      </c>
      <c r="F43" s="87"/>
      <c r="G43" s="97">
        <v>2.5</v>
      </c>
      <c r="H43" s="87"/>
      <c r="I43" s="97">
        <v>2.65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35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35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113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35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2.61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0.46</v>
      </c>
      <c r="T46" s="305"/>
      <c r="U46" s="97">
        <v>0.61</v>
      </c>
      <c r="V46" s="306"/>
      <c r="W46" s="307">
        <v>16</v>
      </c>
      <c r="X46" s="103"/>
      <c r="Y46" s="77" t="s">
        <v>108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35">
      <c r="A47" s="95" t="s">
        <v>67</v>
      </c>
      <c r="B47" s="87"/>
      <c r="C47" s="87"/>
      <c r="D47" s="87"/>
      <c r="E47" s="96" t="s">
        <v>115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0.46</v>
      </c>
      <c r="T47" s="87"/>
      <c r="U47" s="97">
        <v>0.55000000000000004</v>
      </c>
      <c r="V47" s="92"/>
      <c r="W47" s="104"/>
      <c r="X47" s="97"/>
      <c r="Y47" s="77" t="s">
        <v>112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35">
      <c r="A48" s="95" t="s">
        <v>61</v>
      </c>
      <c r="B48" s="87"/>
      <c r="C48" s="87"/>
      <c r="D48" s="87"/>
      <c r="E48" s="96" t="s">
        <v>62</v>
      </c>
      <c r="F48" s="87"/>
      <c r="G48" s="98">
        <v>2.5099999999999998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35">
      <c r="A49" s="105" t="s">
        <v>117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0.5</v>
      </c>
      <c r="T49" s="87"/>
      <c r="U49" s="97">
        <v>0.6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35">
      <c r="A50" s="105" t="s">
        <v>63</v>
      </c>
      <c r="B50" s="87"/>
      <c r="C50" s="87"/>
      <c r="D50" s="87"/>
      <c r="E50" s="96" t="s">
        <v>69</v>
      </c>
      <c r="F50" s="87"/>
      <c r="G50" s="97">
        <v>2.52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35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">
      <c r="A52" s="105" t="s">
        <v>16</v>
      </c>
      <c r="B52" s="84"/>
      <c r="C52" s="107"/>
      <c r="D52" s="84"/>
      <c r="E52" s="84"/>
      <c r="F52" s="84"/>
      <c r="G52" s="108">
        <f>AVERAGEA(G40:G50)</f>
        <v>2.5049999999999999</v>
      </c>
      <c r="H52" s="109"/>
      <c r="I52" s="108">
        <f>AVERAGEA(I40:I50)</f>
        <v>2.5910000000000002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0.48399999999999999</v>
      </c>
      <c r="T52" s="111"/>
      <c r="U52" s="108">
        <f>AVERAGEA(U40:U50)</f>
        <v>0.59199999999999997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4" thickTop="1" x14ac:dyDescent="0.35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3.25" x14ac:dyDescent="0.35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3.25" x14ac:dyDescent="0.35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3.25" x14ac:dyDescent="0.35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3.25" x14ac:dyDescent="0.35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3.25" x14ac:dyDescent="0.35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3.25" x14ac:dyDescent="0.35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3.25" x14ac:dyDescent="0.35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3.25" x14ac:dyDescent="0.35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3.25" x14ac:dyDescent="0.35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3.25" x14ac:dyDescent="0.35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3.25" x14ac:dyDescent="0.35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3.25" x14ac:dyDescent="0.35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3.25" x14ac:dyDescent="0.35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3.25" x14ac:dyDescent="0.35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3.25" x14ac:dyDescent="0.35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25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25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25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25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25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25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25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25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25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25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25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2000-11-17T21:42:17Z</cp:lastPrinted>
  <dcterms:created xsi:type="dcterms:W3CDTF">1997-07-25T21:20:20Z</dcterms:created>
  <dcterms:modified xsi:type="dcterms:W3CDTF">2014-09-04T13:32:48Z</dcterms:modified>
</cp:coreProperties>
</file>