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U7" i="2"/>
  <c r="AS7" i="2" s="1"/>
  <c r="BB7" i="2"/>
  <c r="AQ7" i="2" s="1"/>
  <c r="H6" i="1" s="1"/>
  <c r="E9" i="2"/>
  <c r="AU9" i="2" s="1"/>
  <c r="V9" i="2"/>
  <c r="AB9" i="2"/>
  <c r="AK9" i="2"/>
  <c r="AZ9" i="2"/>
  <c r="AO9" i="2" s="1"/>
  <c r="F7" i="1" s="1"/>
  <c r="BB9" i="2"/>
  <c r="AQ9" i="2" s="1"/>
  <c r="H7" i="1" s="1"/>
  <c r="E10" i="2"/>
  <c r="AM10" i="2" s="1"/>
  <c r="D8" i="1" s="1"/>
  <c r="V10" i="2"/>
  <c r="AK10" i="2"/>
  <c r="E13" i="2"/>
  <c r="AG13" i="2" s="1"/>
  <c r="Z13" i="2"/>
  <c r="AB13" i="2"/>
  <c r="AK13" i="2"/>
  <c r="AU13" i="2"/>
  <c r="AS13" i="2" s="1"/>
  <c r="E14" i="2"/>
  <c r="I14" i="2" s="1"/>
  <c r="V14" i="2"/>
  <c r="AB14" i="2"/>
  <c r="AK14" i="2"/>
  <c r="AU14" i="2"/>
  <c r="AS14" i="2" s="1"/>
  <c r="E15" i="2"/>
  <c r="AM15" i="2" s="1"/>
  <c r="Z15" i="2"/>
  <c r="AB15" i="2"/>
  <c r="AG15" i="2"/>
  <c r="AO15" i="2"/>
  <c r="AU15" i="2"/>
  <c r="AS15" i="2" s="1"/>
  <c r="E16" i="2"/>
  <c r="M16" i="2" s="1"/>
  <c r="T16" i="2"/>
  <c r="V16" i="2"/>
  <c r="Z16" i="2"/>
  <c r="AB16" i="2"/>
  <c r="AK16" i="2"/>
  <c r="AM16" i="2"/>
  <c r="AQ16" i="2"/>
  <c r="AU16" i="2"/>
  <c r="AS16" i="2" s="1"/>
  <c r="BB16" i="2"/>
  <c r="E17" i="2"/>
  <c r="M17" i="2"/>
  <c r="T17" i="2"/>
  <c r="V17" i="2"/>
  <c r="Z17" i="2"/>
  <c r="AB17" i="2"/>
  <c r="AG17" i="2"/>
  <c r="AK17" i="2"/>
  <c r="AM17" i="2"/>
  <c r="AO17" i="2"/>
  <c r="AQ17" i="2"/>
  <c r="AU17" i="2"/>
  <c r="AS17" i="2" s="1"/>
  <c r="BB17" i="2"/>
  <c r="E18" i="2"/>
  <c r="Z18" i="2" s="1"/>
  <c r="V18" i="2"/>
  <c r="AB18" i="2"/>
  <c r="AK18" i="2"/>
  <c r="AU18" i="2"/>
  <c r="AS18" i="2" s="1"/>
  <c r="BB18" i="2"/>
  <c r="E19" i="2"/>
  <c r="AG19" i="2" s="1"/>
  <c r="AB19" i="2"/>
  <c r="AK19" i="2"/>
  <c r="AK25" i="2" s="1"/>
  <c r="AU19" i="2"/>
  <c r="AS19" i="2" s="1"/>
  <c r="BB19" i="2"/>
  <c r="AQ19" i="2" s="1"/>
  <c r="E20" i="2"/>
  <c r="AM20" i="2" s="1"/>
  <c r="Z20" i="2"/>
  <c r="AB20" i="2"/>
  <c r="AG20" i="2"/>
  <c r="AK20" i="2"/>
  <c r="AQ20" i="2"/>
  <c r="AU20" i="2"/>
  <c r="AS20" i="2" s="1"/>
  <c r="E21" i="2"/>
  <c r="Z21" i="2"/>
  <c r="AB21" i="2"/>
  <c r="AG21" i="2"/>
  <c r="AK21" i="2"/>
  <c r="AM21" i="2"/>
  <c r="AO21" i="2"/>
  <c r="AQ21" i="2"/>
  <c r="AU21" i="2"/>
  <c r="AS21" i="2" s="1"/>
  <c r="E22" i="2"/>
  <c r="AM22" i="2" s="1"/>
  <c r="Z22" i="2"/>
  <c r="AB22" i="2"/>
  <c r="AG22" i="2"/>
  <c r="AK22" i="2"/>
  <c r="AS22" i="2"/>
  <c r="AU22" i="2"/>
  <c r="E23" i="2"/>
  <c r="I23" i="2"/>
  <c r="M23" i="2"/>
  <c r="Q23" i="2" s="1"/>
  <c r="T23" i="2"/>
  <c r="V23" i="2"/>
  <c r="Z23" i="2"/>
  <c r="AB23" i="2"/>
  <c r="AG23" i="2"/>
  <c r="AK23" i="2"/>
  <c r="AM23" i="2"/>
  <c r="AO23" i="2"/>
  <c r="AQ23" i="2"/>
  <c r="AU23" i="2"/>
  <c r="AS23" i="2" s="1"/>
  <c r="BB23" i="2"/>
  <c r="V25" i="2"/>
  <c r="X30" i="2"/>
  <c r="AE30" i="2"/>
  <c r="X31" i="2"/>
  <c r="AE31" i="2"/>
  <c r="X32" i="2"/>
  <c r="AE32" i="2"/>
  <c r="AU38" i="2"/>
  <c r="AU40" i="2"/>
  <c r="AU44" i="2"/>
  <c r="AU56" i="2" s="1"/>
  <c r="AU45" i="2"/>
  <c r="AU46" i="2"/>
  <c r="AU47" i="2"/>
  <c r="AU48" i="2"/>
  <c r="AU49" i="2"/>
  <c r="AU50" i="2"/>
  <c r="AU51" i="2"/>
  <c r="AU52" i="2"/>
  <c r="AU53" i="2"/>
  <c r="AU54" i="2"/>
  <c r="S57" i="2"/>
  <c r="S7" i="2" s="1"/>
  <c r="V7" i="2" s="1"/>
  <c r="X57" i="2"/>
  <c r="X7" i="2" s="1"/>
  <c r="AE57" i="2"/>
  <c r="AE7" i="2" s="1"/>
  <c r="H1" i="1"/>
  <c r="H2" i="1"/>
  <c r="B8" i="1"/>
  <c r="Z7" i="2" l="1"/>
  <c r="AK7" i="2"/>
  <c r="AS25" i="2"/>
  <c r="AB7" i="2"/>
  <c r="AG7" i="2"/>
  <c r="B6" i="1" s="1"/>
  <c r="T13" i="2"/>
  <c r="T10" i="2"/>
  <c r="T9" i="2"/>
  <c r="AO19" i="2"/>
  <c r="AM14" i="2"/>
  <c r="AQ18" i="2"/>
  <c r="T18" i="2"/>
  <c r="AG14" i="2"/>
  <c r="AG25" i="2" s="1"/>
  <c r="B9" i="1" s="1"/>
  <c r="AO20" i="2"/>
  <c r="Z19" i="2"/>
  <c r="AO18" i="2"/>
  <c r="AO7" i="2"/>
  <c r="F6" i="1" s="1"/>
  <c r="AG18" i="2"/>
  <c r="T14" i="2"/>
  <c r="AO10" i="2"/>
  <c r="F8" i="1" s="1"/>
  <c r="T22" i="2"/>
  <c r="T19" i="2"/>
  <c r="AM18" i="2"/>
  <c r="M18" i="2"/>
  <c r="Q18" i="2" s="1"/>
  <c r="AG16" i="2"/>
  <c r="Z14" i="2"/>
  <c r="Z25" i="2" s="1"/>
  <c r="AU10" i="2"/>
  <c r="M10" i="2"/>
  <c r="Q10" i="2" s="1"/>
  <c r="AM9" i="2"/>
  <c r="D7" i="1" s="1"/>
  <c r="M9" i="2"/>
  <c r="Q9" i="2" s="1"/>
  <c r="AM7" i="2"/>
  <c r="D6" i="1" s="1"/>
  <c r="T7" i="2"/>
  <c r="AG9" i="2"/>
  <c r="B7" i="1" s="1"/>
  <c r="M19" i="2"/>
  <c r="I18" i="2"/>
  <c r="I25" i="2" s="1"/>
  <c r="AQ15" i="2"/>
  <c r="AM13" i="2"/>
  <c r="AM25" i="2" s="1"/>
  <c r="D9" i="1" s="1"/>
  <c r="AQ10" i="2"/>
  <c r="H8" i="1" s="1"/>
  <c r="I10" i="2"/>
  <c r="I9" i="2"/>
  <c r="AM19" i="2"/>
  <c r="AO14" i="2"/>
  <c r="M7" i="2"/>
  <c r="Q7" i="2" s="1"/>
  <c r="Z9" i="2"/>
  <c r="AQ14" i="2"/>
  <c r="AQ25" i="2" s="1"/>
  <c r="H9" i="1" s="1"/>
  <c r="M14" i="2"/>
  <c r="AO16" i="2"/>
  <c r="T25" i="2" l="1"/>
  <c r="Q14" i="2"/>
  <c r="Q25" i="2" s="1"/>
  <c r="M25" i="2"/>
  <c r="AO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<sst xmlns="http://schemas.openxmlformats.org/spreadsheetml/2006/main" count="202" uniqueCount="120">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</sst>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1605.3</val>
          </value>
        </values>
      </ddeItem>
      <ddeItem name=".SPX,LAST,1" advise="1">
        <values>
          <value>
            <val>1071.3800000000001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13.63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25.47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40.229999999999997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40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31.73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48.24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24.4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50.28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24.72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17.21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17.309999999999999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3" bestFit="1" customWidth="1"/>
    <col min="2" max="2" width="8.88671875" style="254"/>
    <col min="3" max="3" width="2" style="253" customWidth="1"/>
    <col min="4" max="4" width="7.77734375" style="253" customWidth="1"/>
    <col min="5" max="5" width="1.44140625" style="253" customWidth="1"/>
    <col min="6" max="6" width="7.21875" style="253" customWidth="1"/>
    <col min="7" max="7" width="1.44140625" style="253" customWidth="1"/>
    <col min="8" max="16384" width="8.88671875" style="253"/>
  </cols>
  <sheetData>
    <row r="1" spans="1:8" ht="18.75" customHeight="1" x14ac:dyDescent="0.25">
      <c r="A1" s="253" t="s">
        <v>71</v>
      </c>
      <c r="H1" s="255" t="str">
        <f>+ENRON!AS1</f>
        <v>Friday</v>
      </c>
    </row>
    <row r="2" spans="1:8" ht="18" customHeight="1" x14ac:dyDescent="0.25">
      <c r="A2" s="256" t="s">
        <v>18</v>
      </c>
      <c r="H2" s="257">
        <f>+ENRON!AS2</f>
        <v>37169</v>
      </c>
    </row>
    <row r="3" spans="1:8" ht="16.5" thickBot="1" x14ac:dyDescent="0.3"/>
    <row r="4" spans="1:8" ht="16.5" thickBot="1" x14ac:dyDescent="0.3">
      <c r="B4" s="258">
        <v>2002</v>
      </c>
      <c r="D4" s="298" t="s">
        <v>72</v>
      </c>
      <c r="E4" s="299"/>
      <c r="F4" s="299"/>
      <c r="G4" s="299"/>
      <c r="H4" s="300"/>
    </row>
    <row r="5" spans="1:8" ht="32.25" thickBot="1" x14ac:dyDescent="0.3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25">
      <c r="A6" s="253" t="s">
        <v>73</v>
      </c>
      <c r="B6" s="265">
        <f>ENRON!AG7</f>
        <v>14.742006012571741</v>
      </c>
      <c r="D6" s="266">
        <f>ENRON!AM7</f>
        <v>0.1652589056188028</v>
      </c>
      <c r="E6" s="267"/>
      <c r="F6" s="268">
        <f>ENRON!AO7</f>
        <v>-0.35122199592668024</v>
      </c>
      <c r="G6" s="267"/>
      <c r="H6" s="269">
        <f>ENRON!AQ7</f>
        <v>-0.61377443609022553</v>
      </c>
    </row>
    <row r="7" spans="1:8" x14ac:dyDescent="0.25">
      <c r="A7" s="253" t="s">
        <v>74</v>
      </c>
      <c r="B7" s="270">
        <f>ENRON!AG9</f>
        <v>20.540260736196323</v>
      </c>
      <c r="D7" s="271">
        <f>ENRON!AM9</f>
        <v>2.968566872250088E-2</v>
      </c>
      <c r="E7" s="272"/>
      <c r="F7" s="273">
        <f>ENRON!AO9</f>
        <v>-0.1229402367056827</v>
      </c>
      <c r="G7" s="272"/>
      <c r="H7" s="274">
        <f>ENRON!AQ9</f>
        <v>-0.17924455418547566</v>
      </c>
    </row>
    <row r="8" spans="1:8" x14ac:dyDescent="0.25">
      <c r="A8" s="253" t="s">
        <v>78</v>
      </c>
      <c r="B8" s="270" t="str">
        <f>ENRON!Z10</f>
        <v xml:space="preserve">N/A </v>
      </c>
      <c r="D8" s="271">
        <f>ENRON!AM10</f>
        <v>7.1098211902855549E-2</v>
      </c>
      <c r="E8" s="272"/>
      <c r="F8" s="273">
        <f>ENRON!AO10</f>
        <v>-0.25927092024653003</v>
      </c>
      <c r="G8" s="272"/>
      <c r="H8" s="274">
        <f>ENRON!AQ10</f>
        <v>-0.34826999983809082</v>
      </c>
    </row>
    <row r="9" spans="1:8" ht="16.5" thickBot="1" x14ac:dyDescent="0.3">
      <c r="A9" s="253" t="s">
        <v>88</v>
      </c>
      <c r="B9" s="293">
        <f>ENRON!AG25</f>
        <v>12.036508826226701</v>
      </c>
      <c r="C9" s="275"/>
      <c r="D9" s="294">
        <f>ENRON!AM25</f>
        <v>9.2259266953097233E-2</v>
      </c>
      <c r="E9" s="295"/>
      <c r="F9" s="296">
        <f>ENRON!AO25</f>
        <v>-0.20072903586848026</v>
      </c>
      <c r="G9" s="297"/>
      <c r="H9" s="276">
        <f>ENRON!AQ25</f>
        <v>-0.29253360485766411</v>
      </c>
    </row>
    <row r="10" spans="1:8" x14ac:dyDescent="0.25">
      <c r="D10" s="277"/>
    </row>
    <row r="11" spans="1:8" x14ac:dyDescent="0.25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40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37169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37162</v>
      </c>
      <c r="AZ5" s="53"/>
      <c r="BA5" s="55">
        <v>37071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75" thickBot="1" x14ac:dyDescent="0.25">
      <c r="A7" s="76" t="s">
        <v>49</v>
      </c>
      <c r="B7" s="77"/>
      <c r="C7" s="78" t="s">
        <v>0</v>
      </c>
      <c r="D7" s="77"/>
      <c r="E7" s="79">
        <f>[1]!'ENE,LAST,1'</f>
        <v>31.73</v>
      </c>
      <c r="F7" s="77"/>
      <c r="G7" s="80">
        <v>2.16</v>
      </c>
      <c r="H7" s="81" t="s">
        <v>50</v>
      </c>
      <c r="I7" s="82">
        <f>E7/G7</f>
        <v>14.689814814814815</v>
      </c>
      <c r="J7" s="77"/>
      <c r="K7" s="80">
        <v>2.14</v>
      </c>
      <c r="L7" s="83" t="s">
        <v>51</v>
      </c>
      <c r="M7" s="82">
        <f>E7/K7</f>
        <v>14.827102803738317</v>
      </c>
      <c r="N7" s="77"/>
      <c r="O7" s="80">
        <v>2.16</v>
      </c>
      <c r="P7" s="81" t="s">
        <v>50</v>
      </c>
      <c r="Q7" s="82">
        <f>M7/O7</f>
        <v>6.8643994461751463</v>
      </c>
      <c r="R7" s="77"/>
      <c r="S7" s="84">
        <f>+S57</f>
        <v>1.9988888888888892</v>
      </c>
      <c r="T7" s="82">
        <f>E7/S7</f>
        <v>15.873818788215674</v>
      </c>
      <c r="U7" s="85"/>
      <c r="V7" s="86">
        <f>(S7-K7)/K7</f>
        <v>-6.5939771547248116E-2</v>
      </c>
      <c r="W7" s="87"/>
      <c r="X7" s="88">
        <f>X57</f>
        <v>1.8161111111111115</v>
      </c>
      <c r="Y7" s="89"/>
      <c r="Z7" s="82">
        <f>E7/X7</f>
        <v>17.471397981033952</v>
      </c>
      <c r="AA7" s="85"/>
      <c r="AB7" s="90">
        <f>(AE7-X7)/X7</f>
        <v>0.18514386482644427</v>
      </c>
      <c r="AC7" s="290">
        <v>0.10299999999999999</v>
      </c>
      <c r="AD7" s="85"/>
      <c r="AE7" s="88">
        <f>AE57</f>
        <v>2.1523529411764706</v>
      </c>
      <c r="AF7" s="91"/>
      <c r="AG7" s="82">
        <f>E7/AE7</f>
        <v>14.742006012571741</v>
      </c>
      <c r="AH7" s="92"/>
      <c r="AJ7" s="93"/>
      <c r="AK7" s="94">
        <f>(X7-S7)/S7</f>
        <v>-9.143968871595326E-2</v>
      </c>
      <c r="AL7" s="87"/>
      <c r="AM7" s="95">
        <f>((+AX7+E7-AY7)/AY7)</f>
        <v>0.1652589056188028</v>
      </c>
      <c r="AN7" s="87"/>
      <c r="AO7" s="87">
        <f>((+AZ7+E7-BA7)/BA7)</f>
        <v>-0.35122199592668024</v>
      </c>
      <c r="AP7" s="87"/>
      <c r="AQ7" s="94">
        <f>((+BB7+E7-BC7)/BC7)</f>
        <v>-0.61377443609022553</v>
      </c>
      <c r="AR7" s="96"/>
      <c r="AS7" s="1">
        <f>AU7/E7</f>
        <v>1.575795776867318E-2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27.23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">
      <c r="A9" s="17" t="s">
        <v>52</v>
      </c>
      <c r="B9" s="18"/>
      <c r="C9" s="19" t="s">
        <v>60</v>
      </c>
      <c r="D9" s="18"/>
      <c r="E9" s="119">
        <f>[1]!'.SPX,LAST,1'</f>
        <v>1071.3800000000001</v>
      </c>
      <c r="F9" s="120"/>
      <c r="G9" s="121">
        <v>40.53</v>
      </c>
      <c r="H9" s="102"/>
      <c r="I9" s="93">
        <f>E9/G9</f>
        <v>26.434246237355048</v>
      </c>
      <c r="J9" s="26"/>
      <c r="K9" s="121">
        <v>42.08</v>
      </c>
      <c r="L9" s="26"/>
      <c r="M9" s="93">
        <f>E9/K9</f>
        <v>25.460551330798484</v>
      </c>
      <c r="N9" s="120"/>
      <c r="O9" s="121">
        <v>40.53</v>
      </c>
      <c r="P9" s="102"/>
      <c r="Q9" s="93">
        <f>M9/O9</f>
        <v>0.62819026229455921</v>
      </c>
      <c r="R9" s="26"/>
      <c r="S9" s="122">
        <v>40.18</v>
      </c>
      <c r="T9" s="93">
        <f>E9/S9</f>
        <v>26.664509706321557</v>
      </c>
      <c r="U9" s="92"/>
      <c r="V9" s="123">
        <f>(S9-K9)/K9</f>
        <v>-4.5152091254752821E-2</v>
      </c>
      <c r="W9" s="124"/>
      <c r="X9" s="122">
        <v>44.38</v>
      </c>
      <c r="Y9" s="125"/>
      <c r="Z9" s="93">
        <f>E9/X9</f>
        <v>24.141054529067148</v>
      </c>
      <c r="AA9" s="92"/>
      <c r="AB9" s="126">
        <f>(AE9-X9)/X9</f>
        <v>0.17530419107706161</v>
      </c>
      <c r="AC9" s="291"/>
      <c r="AD9" s="92"/>
      <c r="AE9" s="122">
        <v>52.16</v>
      </c>
      <c r="AF9" s="125"/>
      <c r="AG9" s="93">
        <f>E9/AE9</f>
        <v>20.540260736196323</v>
      </c>
      <c r="AH9" s="92"/>
      <c r="AJ9" s="92"/>
      <c r="AK9" s="123">
        <f>(X9-S9)/S9</f>
        <v>0.10452961672473875</v>
      </c>
      <c r="AL9" s="124"/>
      <c r="AM9" s="97">
        <f>((+AX9+E9-AY9)/AY9)</f>
        <v>2.968566872250088E-2</v>
      </c>
      <c r="AN9" s="124"/>
      <c r="AO9" s="124">
        <f>((+AZ9+E9-BA9)/BA9)</f>
        <v>-0.1229402367056827</v>
      </c>
      <c r="AP9" s="124"/>
      <c r="AQ9" s="127">
        <f>((+BB9+E9-BC9)/BC9)</f>
        <v>-0.17924455418547566</v>
      </c>
      <c r="AS9" s="2">
        <v>1.4500000000000001E-2</v>
      </c>
      <c r="AT9" s="97"/>
      <c r="AU9" s="128">
        <f>AS9*E9</f>
        <v>15.535010000000002</v>
      </c>
      <c r="AV9" s="129"/>
      <c r="AW9" s="98"/>
      <c r="AX9" s="130">
        <v>0.46100000000000002</v>
      </c>
      <c r="AY9" s="131">
        <v>1040.94</v>
      </c>
      <c r="AZ9" s="130">
        <f>4.171+0.461</f>
        <v>4.6320000000000006</v>
      </c>
      <c r="BA9" s="131">
        <v>1226.8399999999999</v>
      </c>
      <c r="BB9" s="130">
        <f>11.786+0.461</f>
        <v>12.247</v>
      </c>
      <c r="BC9" s="132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19">
        <f>[1]!'.IXIC,LAST,1'</f>
        <v>1605.3</v>
      </c>
      <c r="F10" s="120"/>
      <c r="G10" s="121">
        <v>40.53</v>
      </c>
      <c r="H10" s="102"/>
      <c r="I10" s="93">
        <f>E10/G10</f>
        <v>39.607698001480379</v>
      </c>
      <c r="J10" s="26"/>
      <c r="K10" s="121">
        <v>42.08</v>
      </c>
      <c r="L10" s="26"/>
      <c r="M10" s="93">
        <f>E10/K10</f>
        <v>38.148764258555133</v>
      </c>
      <c r="N10" s="120"/>
      <c r="O10" s="121">
        <v>40.53</v>
      </c>
      <c r="P10" s="102"/>
      <c r="Q10" s="93">
        <f>M10/O10</f>
        <v>0.94124757608080756</v>
      </c>
      <c r="R10" s="26"/>
      <c r="S10" s="122">
        <v>40.18</v>
      </c>
      <c r="T10" s="93">
        <f>E10/S10</f>
        <v>39.952712792434049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7.1098211902855549E-2</v>
      </c>
      <c r="AN10" s="124"/>
      <c r="AO10" s="124">
        <f>((+AZ10+E10-BA10)/BA10)</f>
        <v>-0.25927092024653003</v>
      </c>
      <c r="AP10" s="124"/>
      <c r="AQ10" s="127">
        <f>((+BB10+E10-BC10)/BC10)</f>
        <v>-0.34826999983809082</v>
      </c>
      <c r="AS10" s="2">
        <v>3.5000000000000001E-3</v>
      </c>
      <c r="AT10" s="97"/>
      <c r="AU10" s="128">
        <f>AS10*E10</f>
        <v>5.6185499999999999</v>
      </c>
      <c r="AV10" s="129"/>
      <c r="AW10" s="98"/>
      <c r="AX10" s="130">
        <v>6.2E-2</v>
      </c>
      <c r="AY10" s="131">
        <v>1498.8</v>
      </c>
      <c r="AZ10" s="130">
        <v>1.571</v>
      </c>
      <c r="BA10" s="131">
        <v>2169.31</v>
      </c>
      <c r="BB10" s="130">
        <v>4.8120000000000003</v>
      </c>
      <c r="BC10" s="132">
        <v>2470.52</v>
      </c>
    </row>
    <row r="11" spans="1:56" ht="9.75" customHeight="1" x14ac:dyDescent="0.2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">
      <c r="A13" s="17" t="s">
        <v>114</v>
      </c>
      <c r="B13" s="18"/>
      <c r="C13" s="39" t="s">
        <v>110</v>
      </c>
      <c r="D13" s="18"/>
      <c r="E13" s="136">
        <f>[1]!'ILA,LAST,1'</f>
        <v>24.4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21.217391304347828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10.517241379310345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11.960784313725489</v>
      </c>
      <c r="AH13" s="92"/>
      <c r="AJ13" s="92"/>
      <c r="AK13" s="123">
        <f>(X13-S13)/S13</f>
        <v>1.0173913043478262</v>
      </c>
      <c r="AL13" s="124"/>
      <c r="AM13" s="97">
        <f>((+AX13+E13-AY13)/AY13)</f>
        <v>0.11926605504587146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21.8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">
      <c r="A14" s="18" t="s">
        <v>94</v>
      </c>
      <c r="B14" s="151"/>
      <c r="C14" s="39" t="s">
        <v>67</v>
      </c>
      <c r="D14" s="18"/>
      <c r="E14" s="136">
        <f>[1]!'AES,LAST,1'</f>
        <v>13.63</v>
      </c>
      <c r="F14" s="18"/>
      <c r="G14" s="121">
        <v>4.72</v>
      </c>
      <c r="H14" s="144" t="s">
        <v>50</v>
      </c>
      <c r="I14" s="93">
        <f>E14/G14</f>
        <v>2.8877118644067798</v>
      </c>
      <c r="J14" s="18"/>
      <c r="K14" s="121">
        <v>4.9400000000000004</v>
      </c>
      <c r="L14" s="26"/>
      <c r="M14" s="93">
        <f>E14/K14</f>
        <v>2.7591093117408905</v>
      </c>
      <c r="N14" s="18"/>
      <c r="O14" s="121">
        <v>4.72</v>
      </c>
      <c r="P14" s="144" t="s">
        <v>50</v>
      </c>
      <c r="Q14" s="93">
        <f>M14/O14</f>
        <v>0.58455705757222254</v>
      </c>
      <c r="R14" s="18"/>
      <c r="S14" s="122">
        <v>3.43</v>
      </c>
      <c r="T14" s="93">
        <f t="shared" si="0"/>
        <v>3.9737609329446064</v>
      </c>
      <c r="U14" s="92"/>
      <c r="V14" s="123">
        <f>(S14-K14)/K14</f>
        <v>-0.30566801619433198</v>
      </c>
      <c r="W14" s="124"/>
      <c r="X14" s="122">
        <v>1.3</v>
      </c>
      <c r="Y14" s="125"/>
      <c r="Z14" s="93">
        <f t="shared" si="1"/>
        <v>10.484615384615385</v>
      </c>
      <c r="AA14" s="92"/>
      <c r="AB14" s="126">
        <f t="shared" si="2"/>
        <v>0.2461538461538462</v>
      </c>
      <c r="AC14" s="291">
        <v>0.106</v>
      </c>
      <c r="AD14" s="92"/>
      <c r="AE14" s="122">
        <v>1.62</v>
      </c>
      <c r="AF14" s="125"/>
      <c r="AG14" s="93">
        <f t="shared" si="3"/>
        <v>8.4135802469135808</v>
      </c>
      <c r="AH14" s="92"/>
      <c r="AJ14" s="92"/>
      <c r="AK14" s="123">
        <f t="shared" ref="AK14:AK23" si="4">(X14-S14)/S14</f>
        <v>-0.62099125364431484</v>
      </c>
      <c r="AL14" s="124"/>
      <c r="AM14" s="97">
        <f t="shared" ref="AM14:AM23" si="5">((+AX14+E14-AY14)/AY14)</f>
        <v>6.3182527301092084E-2</v>
      </c>
      <c r="AN14" s="124"/>
      <c r="AO14" s="124">
        <f t="shared" ref="AO14:AO23" si="6">((+AZ14+E14-BA14)/BA14)</f>
        <v>-0.68339140534262477</v>
      </c>
      <c r="AP14" s="124"/>
      <c r="AQ14" s="127">
        <f t="shared" ref="AQ14:AQ23" si="7">((+BB14+E14-BC14)/BC14)</f>
        <v>-0.75386004514672678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12.82</v>
      </c>
      <c r="AZ14" s="142"/>
      <c r="BA14" s="132">
        <v>43.05</v>
      </c>
      <c r="BB14" s="142"/>
      <c r="BC14" s="132">
        <v>55.375</v>
      </c>
    </row>
    <row r="15" spans="1:56" x14ac:dyDescent="0.2">
      <c r="A15" s="18" t="s">
        <v>115</v>
      </c>
      <c r="B15" s="151"/>
      <c r="C15" s="39" t="s">
        <v>116</v>
      </c>
      <c r="D15" s="18"/>
      <c r="E15" s="136">
        <f>[1]!'CPN,LAST,1'</f>
        <v>25.47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2.0299999999999998</v>
      </c>
      <c r="Y15" s="125"/>
      <c r="Z15" s="93">
        <f t="shared" si="1"/>
        <v>12.546798029556651</v>
      </c>
      <c r="AA15" s="92"/>
      <c r="AB15" s="126">
        <f t="shared" si="2"/>
        <v>0.2512315270935962</v>
      </c>
      <c r="AC15" s="291">
        <v>0.248</v>
      </c>
      <c r="AD15" s="92"/>
      <c r="AE15" s="122">
        <v>2.54</v>
      </c>
      <c r="AF15" s="125"/>
      <c r="AG15" s="93">
        <f t="shared" si="3"/>
        <v>10.027559055118109</v>
      </c>
      <c r="AH15" s="92"/>
      <c r="AJ15" s="92"/>
      <c r="AK15" s="123"/>
      <c r="AL15" s="124"/>
      <c r="AM15" s="97">
        <f>((+AX15+E15-AY15)/AY15)</f>
        <v>0.1166155195089873</v>
      </c>
      <c r="AN15" s="124"/>
      <c r="AO15" s="124">
        <f>((+AZ15+E15-BA15)/BA15)</f>
        <v>-0.3261904761904762</v>
      </c>
      <c r="AP15" s="124"/>
      <c r="AQ15" s="127">
        <f>((+BB15+E15-BC15)/BC15)</f>
        <v>-0.43475366178428765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22.81</v>
      </c>
      <c r="AZ15" s="142"/>
      <c r="BA15" s="132">
        <v>37.799999999999997</v>
      </c>
      <c r="BB15" s="142"/>
      <c r="BC15" s="132">
        <v>45.06</v>
      </c>
    </row>
    <row r="16" spans="1:56" x14ac:dyDescent="0.2">
      <c r="A16" s="17" t="s">
        <v>53</v>
      </c>
      <c r="B16" s="151"/>
      <c r="C16" s="39" t="s">
        <v>1</v>
      </c>
      <c r="D16" s="18"/>
      <c r="E16" s="136">
        <f>[1]!'DUK,LAST,1'</f>
        <v>40.229999999999997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13.637288135593218</v>
      </c>
      <c r="N16" s="18"/>
      <c r="O16" s="121"/>
      <c r="P16" s="144"/>
      <c r="Q16" s="93"/>
      <c r="R16" s="18"/>
      <c r="S16" s="122">
        <v>3.38</v>
      </c>
      <c r="T16" s="93">
        <f t="shared" si="0"/>
        <v>11.902366863905325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16.091999999999999</v>
      </c>
      <c r="AA16" s="92"/>
      <c r="AB16" s="126">
        <f t="shared" si="2"/>
        <v>0.12400000000000003</v>
      </c>
      <c r="AC16" s="291">
        <v>0.185</v>
      </c>
      <c r="AD16" s="92"/>
      <c r="AE16" s="122">
        <v>2.81</v>
      </c>
      <c r="AF16" s="125"/>
      <c r="AG16" s="93">
        <f t="shared" si="3"/>
        <v>14.316725978647685</v>
      </c>
      <c r="AH16" s="92"/>
      <c r="AJ16" s="92"/>
      <c r="AK16" s="123">
        <f t="shared" si="4"/>
        <v>-0.26035502958579881</v>
      </c>
      <c r="AL16" s="124"/>
      <c r="AM16" s="97">
        <f t="shared" si="5"/>
        <v>6.2879788639365802E-2</v>
      </c>
      <c r="AN16" s="124"/>
      <c r="AO16" s="124">
        <f t="shared" si="6"/>
        <v>3.8323506793129902E-2</v>
      </c>
      <c r="AP16" s="124"/>
      <c r="AQ16" s="127">
        <f t="shared" si="7"/>
        <v>-3.6719849835757809E-2</v>
      </c>
      <c r="AS16" s="147">
        <f t="shared" si="8"/>
        <v>2.7342779020631373E-2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37.85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75" x14ac:dyDescent="0.25">
      <c r="A17" s="17" t="s">
        <v>95</v>
      </c>
      <c r="B17" s="151"/>
      <c r="C17" s="39" t="s">
        <v>54</v>
      </c>
      <c r="D17" s="18"/>
      <c r="E17" s="136">
        <f>[1]!'DYN,LAST,1'</f>
        <v>40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57.142857142857146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68.965517241379317</v>
      </c>
      <c r="U17" s="92"/>
      <c r="V17" s="123">
        <f>(S17-K17)/K17</f>
        <v>-0.17142857142857143</v>
      </c>
      <c r="W17" s="124"/>
      <c r="X17" s="122">
        <v>2.0699999999999998</v>
      </c>
      <c r="Y17" s="125"/>
      <c r="Z17" s="93">
        <f t="shared" si="1"/>
        <v>19.323671497584542</v>
      </c>
      <c r="AA17" s="92"/>
      <c r="AB17" s="126">
        <f t="shared" si="2"/>
        <v>0.23671497584541074</v>
      </c>
      <c r="AC17" s="291">
        <v>0.182</v>
      </c>
      <c r="AD17" s="92"/>
      <c r="AE17" s="122">
        <v>2.56</v>
      </c>
      <c r="AF17" s="153"/>
      <c r="AG17" s="93">
        <f t="shared" si="3"/>
        <v>15.625</v>
      </c>
      <c r="AH17" s="92"/>
      <c r="AJ17" s="92"/>
      <c r="AK17" s="123">
        <f t="shared" si="4"/>
        <v>2.568965517241379</v>
      </c>
      <c r="AL17" s="124"/>
      <c r="AM17" s="97">
        <f t="shared" si="5"/>
        <v>0.15440115440115446</v>
      </c>
      <c r="AN17" s="124"/>
      <c r="AO17" s="124">
        <f t="shared" si="6"/>
        <v>-0.13817204301075262</v>
      </c>
      <c r="AP17" s="124"/>
      <c r="AQ17" s="127">
        <f t="shared" si="7"/>
        <v>-0.28249721293199553</v>
      </c>
      <c r="AS17" s="147">
        <f t="shared" si="8"/>
        <v>7.4999999999999997E-3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34.65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">
      <c r="A18" s="17" t="s">
        <v>55</v>
      </c>
      <c r="B18" s="6"/>
      <c r="C18" s="39" t="s">
        <v>2</v>
      </c>
      <c r="D18" s="18"/>
      <c r="E18" s="136">
        <f>[1]!'EPG,LAST,1'</f>
        <v>48.24</v>
      </c>
      <c r="F18" s="18"/>
      <c r="G18" s="121">
        <v>2.85</v>
      </c>
      <c r="H18" s="144" t="s">
        <v>50</v>
      </c>
      <c r="I18" s="93">
        <f>E18/G18</f>
        <v>16.926315789473684</v>
      </c>
      <c r="J18" s="18"/>
      <c r="K18" s="121">
        <v>3.18</v>
      </c>
      <c r="L18" s="26"/>
      <c r="M18" s="93">
        <f>E18/K18</f>
        <v>15.169811320754716</v>
      </c>
      <c r="N18" s="18"/>
      <c r="O18" s="121">
        <v>2.85</v>
      </c>
      <c r="P18" s="144" t="s">
        <v>50</v>
      </c>
      <c r="Q18" s="93">
        <f>M18/O18</f>
        <v>5.3227408142999</v>
      </c>
      <c r="R18" s="18"/>
      <c r="S18" s="122">
        <v>1.83</v>
      </c>
      <c r="T18" s="93">
        <f t="shared" si="0"/>
        <v>26.360655737704917</v>
      </c>
      <c r="U18" s="92"/>
      <c r="V18" s="123">
        <f>(S18-K18)/K18</f>
        <v>-0.42452830188679247</v>
      </c>
      <c r="W18" s="124"/>
      <c r="X18" s="122">
        <v>3.32</v>
      </c>
      <c r="Y18" s="125"/>
      <c r="Z18" s="93">
        <f t="shared" si="1"/>
        <v>14.530120481927712</v>
      </c>
      <c r="AA18" s="92"/>
      <c r="AB18" s="126">
        <f t="shared" si="2"/>
        <v>0.12349397590361451</v>
      </c>
      <c r="AC18" s="291">
        <v>-4.1000000000000002E-2</v>
      </c>
      <c r="AD18" s="92"/>
      <c r="AE18" s="122">
        <v>3.73</v>
      </c>
      <c r="AF18" s="125"/>
      <c r="AG18" s="93">
        <f t="shared" si="3"/>
        <v>12.932975871313673</v>
      </c>
      <c r="AH18" s="92"/>
      <c r="AJ18" s="92"/>
      <c r="AK18" s="123">
        <f t="shared" si="4"/>
        <v>0.81420765027322384</v>
      </c>
      <c r="AL18" s="124"/>
      <c r="AM18" s="97">
        <f t="shared" si="5"/>
        <v>0.16101083032490987</v>
      </c>
      <c r="AN18" s="124"/>
      <c r="AO18" s="124">
        <f t="shared" si="6"/>
        <v>-7.7797868290826008E-2</v>
      </c>
      <c r="AP18" s="124"/>
      <c r="AQ18" s="127">
        <f t="shared" si="7"/>
        <v>-0.31759162303664917</v>
      </c>
      <c r="AS18" s="147">
        <f t="shared" si="8"/>
        <v>1.7620232172470978E-2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41.55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">
      <c r="A19" s="17" t="s">
        <v>64</v>
      </c>
      <c r="B19" s="6"/>
      <c r="C19" s="39" t="s">
        <v>65</v>
      </c>
      <c r="D19" s="18"/>
      <c r="E19" s="136">
        <f>[1]!'KMI,LAST,1'</f>
        <v>50.28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20.691358024691358</v>
      </c>
      <c r="N19" s="18"/>
      <c r="O19" s="121"/>
      <c r="P19" s="144"/>
      <c r="Q19" s="93"/>
      <c r="R19" s="18"/>
      <c r="S19" s="122">
        <v>1.17</v>
      </c>
      <c r="T19" s="93">
        <f t="shared" si="0"/>
        <v>42.974358974358978</v>
      </c>
      <c r="U19" s="92"/>
      <c r="V19" s="123"/>
      <c r="W19" s="124"/>
      <c r="X19" s="122">
        <v>1.89</v>
      </c>
      <c r="Y19" s="125"/>
      <c r="Z19" s="93">
        <f t="shared" si="1"/>
        <v>26.603174603174605</v>
      </c>
      <c r="AA19" s="92"/>
      <c r="AB19" s="126">
        <f t="shared" si="2"/>
        <v>0.31216931216931221</v>
      </c>
      <c r="AC19" s="291">
        <v>0.12</v>
      </c>
      <c r="AD19" s="92"/>
      <c r="AE19" s="122">
        <v>2.48</v>
      </c>
      <c r="AF19" s="125"/>
      <c r="AG19" s="93">
        <f t="shared" si="3"/>
        <v>20.274193548387096</v>
      </c>
      <c r="AH19" s="92"/>
      <c r="AJ19" s="92"/>
      <c r="AK19" s="123">
        <f t="shared" si="4"/>
        <v>0.61538461538461542</v>
      </c>
      <c r="AL19" s="124"/>
      <c r="AM19" s="97">
        <f t="shared" si="5"/>
        <v>2.174354805933754E-2</v>
      </c>
      <c r="AN19" s="124"/>
      <c r="AO19" s="124">
        <f t="shared" si="6"/>
        <v>1.592039800994991E-3</v>
      </c>
      <c r="AP19" s="124"/>
      <c r="AQ19" s="127">
        <f t="shared" si="7"/>
        <v>-3.3676646706586835E-2</v>
      </c>
      <c r="AS19" s="147">
        <f t="shared" si="8"/>
        <v>3.977724741447892E-3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49.21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">
      <c r="A20" s="154" t="s">
        <v>105</v>
      </c>
      <c r="B20" s="155"/>
      <c r="C20" s="62" t="s">
        <v>104</v>
      </c>
      <c r="D20" s="18"/>
      <c r="E20" s="136">
        <f>[1]!'MIR,LAST,1'</f>
        <v>24.72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1.97</v>
      </c>
      <c r="Y20" s="125"/>
      <c r="Z20" s="93">
        <f>E20/X20</f>
        <v>12.548223350253807</v>
      </c>
      <c r="AA20" s="92"/>
      <c r="AB20" s="126">
        <f t="shared" si="2"/>
        <v>0.30456852791878164</v>
      </c>
      <c r="AC20" s="291">
        <v>0.123</v>
      </c>
      <c r="AD20" s="92"/>
      <c r="AE20" s="122">
        <v>2.57</v>
      </c>
      <c r="AF20" s="125"/>
      <c r="AG20" s="93">
        <f>E20/AE20</f>
        <v>9.618677042801556</v>
      </c>
      <c r="AH20" s="92"/>
      <c r="AJ20" s="92"/>
      <c r="AK20" s="123" t="e">
        <f>(X20-S20)/S20</f>
        <v>#DIV/0!</v>
      </c>
      <c r="AL20" s="124"/>
      <c r="AM20" s="97">
        <f>((+AX20+E20-AY20)/AY20)</f>
        <v>0.12876712328767126</v>
      </c>
      <c r="AN20" s="124"/>
      <c r="AO20" s="124">
        <f>((+AZ20+E20-BA20)/BA20)</f>
        <v>-0.28139534883720929</v>
      </c>
      <c r="AP20" s="124"/>
      <c r="AQ20" s="127">
        <f>((+BB20+E20-BC20)/BC20)</f>
        <v>-0.12688741721854307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21.9</v>
      </c>
      <c r="AZ20" s="142"/>
      <c r="BA20" s="132">
        <v>34.4</v>
      </c>
      <c r="BB20" s="142"/>
      <c r="BC20" s="132">
        <v>28.3125</v>
      </c>
    </row>
    <row r="21" spans="1:55" x14ac:dyDescent="0.2">
      <c r="A21" s="17" t="s">
        <v>92</v>
      </c>
      <c r="B21" s="155"/>
      <c r="C21" s="19" t="s">
        <v>91</v>
      </c>
      <c r="D21" s="5"/>
      <c r="E21" s="136">
        <f>[1]!'NRG,LAST,1'</f>
        <v>17.21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12.562043795620438</v>
      </c>
      <c r="AA21" s="92"/>
      <c r="AB21" s="126">
        <f t="shared" si="2"/>
        <v>0.23357664233576628</v>
      </c>
      <c r="AC21" s="291">
        <v>0.126</v>
      </c>
      <c r="AD21" s="92"/>
      <c r="AE21" s="122">
        <v>1.69</v>
      </c>
      <c r="AF21" s="125"/>
      <c r="AG21" s="93">
        <f>E21/AE21</f>
        <v>10.183431952662723</v>
      </c>
      <c r="AH21" s="92"/>
      <c r="AJ21" s="92"/>
      <c r="AK21" s="123" t="e">
        <f>(X21-S21)/S21</f>
        <v>#DIV/0!</v>
      </c>
      <c r="AL21" s="124"/>
      <c r="AM21" s="97">
        <f t="shared" si="5"/>
        <v>6.1690314620604564E-2</v>
      </c>
      <c r="AN21" s="124"/>
      <c r="AO21" s="124">
        <f t="shared" si="6"/>
        <v>-0.22056159420289845</v>
      </c>
      <c r="AP21" s="124"/>
      <c r="AQ21" s="127">
        <f t="shared" si="7"/>
        <v>-0.3812134831460674</v>
      </c>
      <c r="AS21" s="147">
        <f t="shared" si="8"/>
        <v>1.6269610691458457E-2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16.21</v>
      </c>
      <c r="AZ21" s="142"/>
      <c r="BA21" s="132">
        <v>22.08</v>
      </c>
      <c r="BB21" s="142"/>
      <c r="BC21" s="132">
        <v>27.8125</v>
      </c>
    </row>
    <row r="22" spans="1:55" x14ac:dyDescent="0.2">
      <c r="A22" s="17" t="s">
        <v>113</v>
      </c>
      <c r="B22" s="18"/>
      <c r="C22" s="39" t="s">
        <v>111</v>
      </c>
      <c r="D22" s="18"/>
      <c r="E22" s="136">
        <f>[1]!'RRI,LAST,1'</f>
        <v>17.309999999999999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15.052173913043479</v>
      </c>
      <c r="U22" s="92"/>
      <c r="V22" s="123"/>
      <c r="W22" s="124"/>
      <c r="X22" s="133">
        <v>1.65</v>
      </c>
      <c r="Y22" s="145"/>
      <c r="Z22" s="93">
        <f t="shared" si="1"/>
        <v>10.49090909090909</v>
      </c>
      <c r="AA22" s="288"/>
      <c r="AB22" s="126">
        <f t="shared" si="2"/>
        <v>0.24848484848484859</v>
      </c>
      <c r="AC22" s="292" t="s">
        <v>76</v>
      </c>
      <c r="AD22" s="135"/>
      <c r="AE22" s="133">
        <v>2.06</v>
      </c>
      <c r="AF22" s="145"/>
      <c r="AG22" s="93">
        <f t="shared" si="3"/>
        <v>8.4029126213592225</v>
      </c>
      <c r="AH22" s="92"/>
      <c r="AJ22" s="92"/>
      <c r="AK22" s="123">
        <f>(X22-S22)/S22</f>
        <v>0.43478260869565222</v>
      </c>
      <c r="AL22" s="124"/>
      <c r="AM22" s="97">
        <f t="shared" si="5"/>
        <v>6.8518518518518493E-2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16.2</v>
      </c>
      <c r="AZ22" s="142"/>
      <c r="BA22" s="150">
        <v>24.7</v>
      </c>
      <c r="BB22" s="142">
        <v>0</v>
      </c>
      <c r="BC22" s="150" t="s">
        <v>76</v>
      </c>
    </row>
    <row r="23" spans="1:55" x14ac:dyDescent="0.2">
      <c r="A23" s="17" t="s">
        <v>84</v>
      </c>
      <c r="B23" s="18"/>
      <c r="C23" s="39" t="s">
        <v>4</v>
      </c>
      <c r="D23" s="18"/>
      <c r="E23" s="136">
        <f>[1]!'WMB,LAST,1'</f>
        <v>28.85</v>
      </c>
      <c r="F23" s="18"/>
      <c r="G23" s="121">
        <v>2.08</v>
      </c>
      <c r="H23" s="144" t="s">
        <v>50</v>
      </c>
      <c r="I23" s="93">
        <f>E23/G23</f>
        <v>13.870192307692308</v>
      </c>
      <c r="J23" s="18"/>
      <c r="K23" s="121">
        <v>1.04</v>
      </c>
      <c r="L23" s="26"/>
      <c r="M23" s="93">
        <f>E23/K23</f>
        <v>27.740384615384617</v>
      </c>
      <c r="N23" s="18"/>
      <c r="O23" s="121">
        <v>2.08</v>
      </c>
      <c r="P23" s="144" t="s">
        <v>50</v>
      </c>
      <c r="Q23" s="93">
        <f>M23/O23</f>
        <v>13.336723372781066</v>
      </c>
      <c r="R23" s="18"/>
      <c r="S23" s="122">
        <v>0.82</v>
      </c>
      <c r="T23" s="93">
        <f>E23/S23</f>
        <v>35.182926829268297</v>
      </c>
      <c r="U23" s="92"/>
      <c r="V23" s="123">
        <f>(S23-K23)/K23</f>
        <v>-0.21153846153846162</v>
      </c>
      <c r="W23" s="124"/>
      <c r="X23" s="122">
        <v>2.4</v>
      </c>
      <c r="Y23" s="125"/>
      <c r="Z23" s="93">
        <f t="shared" si="1"/>
        <v>12.020833333333334</v>
      </c>
      <c r="AA23" s="92"/>
      <c r="AB23" s="126">
        <f t="shared" si="2"/>
        <v>0.12916666666666671</v>
      </c>
      <c r="AC23" s="291">
        <v>0.182</v>
      </c>
      <c r="AD23" s="92"/>
      <c r="AE23" s="122">
        <v>2.71</v>
      </c>
      <c r="AF23" s="125"/>
      <c r="AG23" s="93">
        <f t="shared" si="3"/>
        <v>10.645756457564577</v>
      </c>
      <c r="AH23" s="92"/>
      <c r="AJ23" s="92"/>
      <c r="AK23" s="123">
        <f t="shared" si="4"/>
        <v>1.9268292682926831</v>
      </c>
      <c r="AL23" s="124"/>
      <c r="AM23" s="97">
        <f t="shared" si="5"/>
        <v>5.6776556776556804E-2</v>
      </c>
      <c r="AN23" s="124"/>
      <c r="AO23" s="124">
        <f t="shared" si="6"/>
        <v>-0.11896813353566013</v>
      </c>
      <c r="AP23" s="124"/>
      <c r="AQ23" s="127">
        <f t="shared" si="7"/>
        <v>-0.26560250391236301</v>
      </c>
      <c r="AS23" s="147">
        <f t="shared" si="8"/>
        <v>2.4956672443674173E-2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27.3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11.228073320524258</v>
      </c>
      <c r="J25" s="26"/>
      <c r="K25" s="166"/>
      <c r="L25" s="167"/>
      <c r="M25" s="168">
        <f>AVERAGE(M14:M23)</f>
        <v>22.856801425170328</v>
      </c>
      <c r="N25" s="18"/>
      <c r="O25" s="166"/>
      <c r="P25" s="167"/>
      <c r="Q25" s="168">
        <f>AVERAGE(Q14:Q23)</f>
        <v>6.4146737482177301</v>
      </c>
      <c r="R25" s="26"/>
      <c r="S25" s="166"/>
      <c r="T25" s="168">
        <f>AVERAGE(T14:T23)</f>
        <v>29.201680070372131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14.338148267844174</v>
      </c>
      <c r="AA25" s="92"/>
      <c r="AB25" s="172"/>
      <c r="AC25" s="168"/>
      <c r="AD25" s="92"/>
      <c r="AE25" s="173"/>
      <c r="AF25" s="174"/>
      <c r="AG25" s="168">
        <f>AVERAGE(AG13:AG23)</f>
        <v>12.036508826226701</v>
      </c>
      <c r="AH25" s="92"/>
      <c r="AJ25" s="92"/>
      <c r="AK25" s="169" t="e">
        <f>AVERAGE(AK14:AK23)</f>
        <v>#DIV/0!</v>
      </c>
      <c r="AL25" s="124"/>
      <c r="AM25" s="175">
        <f>AVERAGE(AM13:AM23)</f>
        <v>9.2259266953097233E-2</v>
      </c>
      <c r="AN25" s="176"/>
      <c r="AO25" s="177">
        <f>AVERAGE(AO13:AO23)</f>
        <v>-0.20072903586848026</v>
      </c>
      <c r="AP25" s="176"/>
      <c r="AQ25" s="178">
        <f>AVERAGE(AQ13:AQ23)</f>
        <v>-0.29253360485766411</v>
      </c>
      <c r="AS25" s="169">
        <f>AVERAGE(AS13:AS23)</f>
        <v>8.8788199154257157E-3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1.8161111111111115</v>
      </c>
      <c r="Y30" s="18"/>
      <c r="Z30" s="18"/>
      <c r="AA30" s="18"/>
      <c r="AB30" s="18"/>
      <c r="AC30" s="18"/>
      <c r="AD30" s="18"/>
      <c r="AE30" s="202">
        <f>AVERAGE(AE37:AE55)</f>
        <v>2.1523529411764706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75" x14ac:dyDescent="0.25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25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5" thickBot="1" x14ac:dyDescent="0.3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5" thickBot="1" x14ac:dyDescent="0.3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75" x14ac:dyDescent="0.25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75" x14ac:dyDescent="0.25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75" x14ac:dyDescent="0.25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75" x14ac:dyDescent="0.25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2.15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75" x14ac:dyDescent="0.25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75" x14ac:dyDescent="0.25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2.25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75" x14ac:dyDescent="0.25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2.15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75" x14ac:dyDescent="0.25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1.83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75" x14ac:dyDescent="0.25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75" x14ac:dyDescent="0.25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75" x14ac:dyDescent="0.25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75" x14ac:dyDescent="0.25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75" x14ac:dyDescent="0.25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75" x14ac:dyDescent="0.25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75" x14ac:dyDescent="0.25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1.85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75" x14ac:dyDescent="0.25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>
        <v>1.8</v>
      </c>
      <c r="Y54" s="225"/>
      <c r="Z54" s="229"/>
      <c r="AA54" s="229"/>
      <c r="AB54" s="229"/>
      <c r="AC54" s="229"/>
      <c r="AD54" s="229"/>
      <c r="AE54" s="226">
        <v>2.15</v>
      </c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75" x14ac:dyDescent="0.25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75" x14ac:dyDescent="0.25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75" x14ac:dyDescent="0.25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1.8161111111111115</v>
      </c>
      <c r="Y57" s="248"/>
      <c r="Z57" s="246"/>
      <c r="AA57" s="246"/>
      <c r="AB57" s="246"/>
      <c r="AC57" s="246"/>
      <c r="AD57" s="246"/>
      <c r="AE57" s="249">
        <f>AVERAGE(AE37:AE55)</f>
        <v>2.1523529411764706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75" x14ac:dyDescent="0.25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2001-09-10T16:04:45Z</cp:lastPrinted>
  <dcterms:created xsi:type="dcterms:W3CDTF">1997-07-25T21:14:12Z</dcterms:created>
  <dcterms:modified xsi:type="dcterms:W3CDTF">2014-09-04T13:58:47Z</dcterms:modified>
</cp:coreProperties>
</file>