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 s="1"/>
  <c r="Q10" i="1"/>
  <c r="S10" i="1"/>
  <c r="AJ10" i="1"/>
  <c r="U10" i="1" s="1"/>
  <c r="AL10" i="1"/>
  <c r="AN10" i="1"/>
  <c r="AP10" i="1"/>
  <c r="E11" i="1"/>
  <c r="S11" i="1" s="1"/>
  <c r="G11" i="1"/>
  <c r="O11" i="1" s="1"/>
  <c r="U11" i="1"/>
  <c r="AJ11" i="1"/>
  <c r="AL11" i="1"/>
  <c r="AN11" i="1"/>
  <c r="AP11" i="1"/>
  <c r="E13" i="1"/>
  <c r="Q13" i="1" s="1"/>
  <c r="G13" i="1"/>
  <c r="O13" i="1" s="1"/>
  <c r="I13" i="1"/>
  <c r="M13" i="1" s="1"/>
  <c r="K13" i="1"/>
  <c r="S13" i="1"/>
  <c r="AJ13" i="1"/>
  <c r="U13" i="1" s="1"/>
  <c r="AL13" i="1"/>
  <c r="AN13" i="1"/>
  <c r="AP13" i="1"/>
  <c r="E14" i="1"/>
  <c r="S14" i="1" s="1"/>
  <c r="G14" i="1"/>
  <c r="I14" i="1"/>
  <c r="K14" i="1" s="1"/>
  <c r="M14" i="1"/>
  <c r="O14" i="1"/>
  <c r="Q14" i="1"/>
  <c r="U14" i="1"/>
  <c r="AJ14" i="1"/>
  <c r="AL14" i="1"/>
  <c r="AN14" i="1"/>
  <c r="AP14" i="1"/>
  <c r="AQ14" i="1"/>
  <c r="E15" i="1"/>
  <c r="S15" i="1" s="1"/>
  <c r="G15" i="1"/>
  <c r="O15" i="1" s="1"/>
  <c r="U15" i="1"/>
  <c r="AJ15" i="1"/>
  <c r="AL15" i="1"/>
  <c r="AN15" i="1"/>
  <c r="AP15" i="1"/>
  <c r="I16" i="1"/>
  <c r="M16" i="1"/>
  <c r="O16" i="1"/>
  <c r="Q16" i="1"/>
  <c r="S16" i="1"/>
  <c r="U16" i="1"/>
  <c r="AL16" i="1"/>
  <c r="AN16" i="1"/>
  <c r="E17" i="1"/>
  <c r="Q17" i="1" s="1"/>
  <c r="G17" i="1"/>
  <c r="O17" i="1" s="1"/>
  <c r="I17" i="1"/>
  <c r="K17" i="1" s="1"/>
  <c r="AJ17" i="1"/>
  <c r="U17" i="1" s="1"/>
  <c r="AL17" i="1"/>
  <c r="AN17" i="1"/>
  <c r="AP17" i="1"/>
  <c r="E18" i="1"/>
  <c r="G18" i="1"/>
  <c r="I18" i="1" s="1"/>
  <c r="Q18" i="1"/>
  <c r="S18" i="1"/>
  <c r="U18" i="1"/>
  <c r="AJ18" i="1"/>
  <c r="AL18" i="1"/>
  <c r="AN18" i="1"/>
  <c r="AP18" i="1"/>
  <c r="E19" i="1"/>
  <c r="S19" i="1" s="1"/>
  <c r="G19" i="1"/>
  <c r="I19" i="1" s="1"/>
  <c r="AL19" i="1"/>
  <c r="AN19" i="1"/>
  <c r="AP19" i="1"/>
  <c r="E20" i="1"/>
  <c r="G20" i="1"/>
  <c r="I20" i="1" s="1"/>
  <c r="O20" i="1"/>
  <c r="Q20" i="1"/>
  <c r="S20" i="1"/>
  <c r="AJ20" i="1"/>
  <c r="U20" i="1" s="1"/>
  <c r="AL20" i="1"/>
  <c r="AN20" i="1"/>
  <c r="AP20" i="1"/>
  <c r="E21" i="1"/>
  <c r="U21" i="1" s="1"/>
  <c r="G21" i="1"/>
  <c r="I21" i="1" s="1"/>
  <c r="AJ21" i="1"/>
  <c r="AL21" i="1"/>
  <c r="AN21" i="1"/>
  <c r="AP21" i="1"/>
  <c r="E22" i="1"/>
  <c r="Q22" i="1" s="1"/>
  <c r="G22" i="1"/>
  <c r="O22" i="1" s="1"/>
  <c r="I22" i="1"/>
  <c r="M22" i="1" s="1"/>
  <c r="K22" i="1"/>
  <c r="S22" i="1"/>
  <c r="AJ22" i="1"/>
  <c r="U22" i="1" s="1"/>
  <c r="AL22" i="1"/>
  <c r="AN22" i="1"/>
  <c r="E23" i="1"/>
  <c r="G23" i="1"/>
  <c r="I23" i="1" s="1"/>
  <c r="O23" i="1"/>
  <c r="Q23" i="1"/>
  <c r="S23" i="1"/>
  <c r="U23" i="1"/>
  <c r="AJ23" i="1"/>
  <c r="AL23" i="1"/>
  <c r="AN23" i="1"/>
  <c r="E24" i="1"/>
  <c r="Q24" i="1" s="1"/>
  <c r="G24" i="1"/>
  <c r="O24" i="1" s="1"/>
  <c r="I24" i="1"/>
  <c r="M24" i="1" s="1"/>
  <c r="K24" i="1"/>
  <c r="S24" i="1"/>
  <c r="AJ24" i="1"/>
  <c r="U24" i="1" s="1"/>
  <c r="AL24" i="1"/>
  <c r="AN24" i="1"/>
  <c r="AP24" i="1"/>
  <c r="AQ24" i="1"/>
  <c r="AK27" i="1"/>
  <c r="AL27" i="1"/>
  <c r="AM27" i="1"/>
  <c r="AN27" i="1"/>
  <c r="E28" i="1"/>
  <c r="E27" i="1" s="1"/>
  <c r="M28" i="1"/>
  <c r="E38" i="1"/>
  <c r="S38" i="1" s="1"/>
  <c r="Q38" i="1"/>
  <c r="E39" i="1"/>
  <c r="I39" i="1"/>
  <c r="K39" i="1" s="1"/>
  <c r="M39" i="1"/>
  <c r="Q39" i="1"/>
  <c r="S39" i="1"/>
  <c r="U39" i="1"/>
  <c r="G58" i="1"/>
  <c r="Y10" i="1" s="1"/>
  <c r="I58" i="1"/>
  <c r="Z10" i="1" s="1"/>
  <c r="O10" i="1" s="1"/>
  <c r="K58" i="1"/>
  <c r="S58" i="1"/>
  <c r="U58" i="1"/>
  <c r="W58" i="1"/>
  <c r="Q28" i="1" l="1"/>
  <c r="S28" i="1"/>
  <c r="U28" i="1"/>
  <c r="O26" i="1"/>
  <c r="K23" i="1"/>
  <c r="M23" i="1"/>
  <c r="K19" i="1"/>
  <c r="M19" i="1"/>
  <c r="K18" i="1"/>
  <c r="M18" i="1"/>
  <c r="M21" i="1"/>
  <c r="K21" i="1"/>
  <c r="M20" i="1"/>
  <c r="K20" i="1"/>
  <c r="K10" i="1"/>
  <c r="M10" i="1"/>
  <c r="U19" i="1"/>
  <c r="U26" i="1" s="1"/>
  <c r="K16" i="1"/>
  <c r="Q11" i="1"/>
  <c r="I38" i="1"/>
  <c r="O21" i="1"/>
  <c r="Q19" i="1"/>
  <c r="S17" i="1"/>
  <c r="S26" i="1" s="1"/>
  <c r="S21" i="1"/>
  <c r="Q21" i="1"/>
  <c r="I26" i="1"/>
  <c r="K26" i="1" s="1"/>
  <c r="Q15" i="1"/>
  <c r="Q26" i="1" s="1"/>
  <c r="U38" i="1"/>
  <c r="M17" i="1"/>
  <c r="I15" i="1"/>
  <c r="I11" i="1"/>
  <c r="O19" i="1"/>
  <c r="M38" i="1" l="1"/>
  <c r="K38" i="1"/>
  <c r="K15" i="1"/>
  <c r="M15" i="1"/>
  <c r="M26" i="1" s="1"/>
  <c r="M11" i="1"/>
  <c r="K11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<sst xmlns="http://schemas.openxmlformats.org/spreadsheetml/2006/main" count="190" uniqueCount="128">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</sst>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22.65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36.200000000000003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17.350000000000001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33.5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19.61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4.8499999999999996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71.400000000000006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36.700000000000003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39.520000000000003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25.36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23.7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29.35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29.6</val>
          </value>
        </values>
      </ddeItem>
      <ddeItem name="US30YT=RR,RT YIELD 1">
        <values>
          <value>
            <val>5.7093999999999996</val>
          </value>
        </values>
      </ddeItem>
      <ddeItem name="WEG">
        <values>
          <value>
            <val>30.25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37043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37036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8"/>
      <c r="AH8" s="199"/>
      <c r="AI8" s="198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199"/>
      <c r="AH9" s="321"/>
      <c r="AI9" s="198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39.520000000000003</v>
      </c>
      <c r="F10" s="208"/>
      <c r="G10" s="207">
        <f>[1]!'NBP,DIVIDEND'</f>
        <v>3.05</v>
      </c>
      <c r="H10" s="209"/>
      <c r="I10" s="210">
        <f>+G10/E10</f>
        <v>7.7176113360323872E-2</v>
      </c>
      <c r="J10" s="210"/>
      <c r="K10" s="211">
        <f>(+I10-E$28)*10000</f>
        <v>200.82113360323874</v>
      </c>
      <c r="L10" s="206"/>
      <c r="M10" s="210">
        <f>(I10*AA10)+((I10*(1-AA10))*(1-0.3))</f>
        <v>7.6018471659919012E-2</v>
      </c>
      <c r="N10" s="206"/>
      <c r="O10" s="212">
        <f>+G10/Z10</f>
        <v>1.1282367447595563</v>
      </c>
      <c r="P10" s="213"/>
      <c r="Q10" s="212">
        <f>(AF10+$E10-AG10)/AG10</f>
        <v>-1.5936254980079521E-2</v>
      </c>
      <c r="R10" s="213"/>
      <c r="S10" s="212">
        <f>(AH10+$E10-AI10)/AI10</f>
        <v>9.1680216802168091E-2</v>
      </c>
      <c r="T10" s="209"/>
      <c r="U10" s="214">
        <f>(AJ10+$E10-AK10)/AK10</f>
        <v>0.30623107569721131</v>
      </c>
      <c r="V10" s="215"/>
      <c r="W10" s="130"/>
      <c r="X10" s="149"/>
      <c r="Y10" s="324">
        <f>ROUND(G58,2)</f>
        <v>2.61</v>
      </c>
      <c r="Z10" s="325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07">
        <v>40.159999999999997</v>
      </c>
      <c r="AH10" s="220">
        <v>0.76300000000000001</v>
      </c>
      <c r="AI10" s="207">
        <v>36.9</v>
      </c>
      <c r="AJ10" s="220">
        <f>0.7+0.763</f>
        <v>1.4630000000000001</v>
      </c>
      <c r="AK10" s="219">
        <v>31.375</v>
      </c>
      <c r="AL10" s="322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17.350000000000001</v>
      </c>
      <c r="F11" s="229"/>
      <c r="G11" s="228">
        <f>[1]!'EOT,DIVIDEND'</f>
        <v>1.9</v>
      </c>
      <c r="H11" s="230"/>
      <c r="I11" s="231">
        <f>+G11/E11</f>
        <v>0.1095100864553314</v>
      </c>
      <c r="J11" s="231"/>
      <c r="K11" s="232">
        <f>(+I11-E$28)*10000</f>
        <v>524.16086455331401</v>
      </c>
      <c r="L11" s="227"/>
      <c r="M11" s="231">
        <f>(I11*AA11)+((I11*(1-AA11))*(1-0.3))</f>
        <v>0.10786743515850143</v>
      </c>
      <c r="N11" s="227"/>
      <c r="O11" s="233">
        <f>+G11/Z11</f>
        <v>2.8787878787878785</v>
      </c>
      <c r="P11" s="234"/>
      <c r="Q11" s="233">
        <f>(AF11+$E11-AG11)/AG11</f>
        <v>-4.1965764770844731E-2</v>
      </c>
      <c r="R11" s="234"/>
      <c r="S11" s="233">
        <f>(AH11+$E11-AI11)/AI11</f>
        <v>0.13031071655041238</v>
      </c>
      <c r="T11" s="230"/>
      <c r="U11" s="235">
        <f>(AJ11+E11-AK11)/AK11</f>
        <v>0.11755725190839698</v>
      </c>
      <c r="V11" s="215"/>
      <c r="W11" s="130"/>
      <c r="X11" s="149"/>
      <c r="Y11" s="324">
        <v>0.62</v>
      </c>
      <c r="Z11" s="325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18.11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2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4"/>
      <c r="Z12" s="325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2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22.65</v>
      </c>
      <c r="F13" s="237"/>
      <c r="G13" s="236">
        <f>[1]!'APU,DIVIDEND'</f>
        <v>2.2000000000000002</v>
      </c>
      <c r="H13" s="108"/>
      <c r="I13" s="178">
        <f t="shared" ref="I13:I24" si="0">+G13/E13</f>
        <v>9.7130242825607074E-2</v>
      </c>
      <c r="J13" s="178"/>
      <c r="K13" s="243">
        <f t="shared" ref="K13:K24" si="1">(+I13-E$28)*10000</f>
        <v>400.36242825607076</v>
      </c>
      <c r="L13" s="106"/>
      <c r="M13" s="178">
        <f t="shared" ref="M13:M24" si="2">(I13*AA13)+((I13*(1-AA13))*(1-0.3))</f>
        <v>8.8388520971302439E-2</v>
      </c>
      <c r="N13" s="106"/>
      <c r="O13" s="165">
        <f>+G13/Y13</f>
        <v>2.0754716981132075</v>
      </c>
      <c r="P13" s="239"/>
      <c r="Q13" s="165">
        <f t="shared" ref="Q13:Q24" si="3">(AF13+$E13-AG13)/AG13</f>
        <v>-1.8630849220103975E-2</v>
      </c>
      <c r="R13" s="239"/>
      <c r="S13" s="165">
        <f t="shared" ref="S13:S24" si="4">(AH13+$E13-AI13)/AI13</f>
        <v>0.15136476426799012</v>
      </c>
      <c r="T13" s="108"/>
      <c r="U13" s="244">
        <f>(AJ13+E13-AK13)/AK13</f>
        <v>0.42857142857142855</v>
      </c>
      <c r="V13" s="215"/>
      <c r="W13" s="130"/>
      <c r="X13" s="149"/>
      <c r="Y13" s="324">
        <v>1.06</v>
      </c>
      <c r="Z13" s="325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9"/>
      <c r="AG13" s="236">
        <v>23.08</v>
      </c>
      <c r="AH13" s="329">
        <v>0.55000000000000004</v>
      </c>
      <c r="AI13" s="236">
        <v>20.149999999999999</v>
      </c>
      <c r="AJ13" s="329">
        <f>0.55*2</f>
        <v>1.1000000000000001</v>
      </c>
      <c r="AK13" s="219">
        <v>16.625</v>
      </c>
      <c r="AL13" s="322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36.200000000000003</v>
      </c>
      <c r="F14" s="237"/>
      <c r="G14" s="236">
        <f>[1]!'BPL,DIVIDEND'</f>
        <v>2.4</v>
      </c>
      <c r="H14" s="108"/>
      <c r="I14" s="178">
        <f t="shared" si="0"/>
        <v>6.6298342541436461E-2</v>
      </c>
      <c r="J14" s="178"/>
      <c r="K14" s="243">
        <f t="shared" si="1"/>
        <v>92.04342541436462</v>
      </c>
      <c r="L14" s="106"/>
      <c r="M14" s="178">
        <f t="shared" si="2"/>
        <v>6.1325966850828723E-2</v>
      </c>
      <c r="N14" s="106"/>
      <c r="O14" s="165">
        <f t="shared" ref="O14:O24" si="5">+G14/Z14</f>
        <v>0.91603053435114501</v>
      </c>
      <c r="P14" s="239"/>
      <c r="Q14" s="165">
        <f t="shared" si="3"/>
        <v>-1.092896174863384E-2</v>
      </c>
      <c r="R14" s="239"/>
      <c r="S14" s="165">
        <f t="shared" si="4"/>
        <v>9.4586555621653981E-2</v>
      </c>
      <c r="T14" s="108"/>
      <c r="U14" s="244">
        <f t="shared" ref="U14:U24" si="6">(AJ14+E14-AK14)/AK14</f>
        <v>0.29523809523809541</v>
      </c>
      <c r="V14" s="215"/>
      <c r="W14" s="130"/>
      <c r="X14" s="149"/>
      <c r="Y14" s="324">
        <v>2.4900000000000002</v>
      </c>
      <c r="Z14" s="325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36.6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2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33.5</v>
      </c>
      <c r="F15" s="237"/>
      <c r="G15" s="236">
        <f>[1]!'EPN,DIVIDEND'</f>
        <v>2.2999999999999998</v>
      </c>
      <c r="H15" s="108"/>
      <c r="I15" s="178">
        <f t="shared" si="0"/>
        <v>6.8656716417910449E-2</v>
      </c>
      <c r="J15" s="178"/>
      <c r="K15" s="243">
        <f t="shared" si="1"/>
        <v>115.6271641791045</v>
      </c>
      <c r="L15" s="106"/>
      <c r="M15" s="178">
        <f>(I15*AA15)+((I15*(1-AA15))*(1-0.3))</f>
        <v>6.7832835820895526E-2</v>
      </c>
      <c r="N15" s="106"/>
      <c r="O15" s="165">
        <f>+G15/Z15</f>
        <v>4.5999999999999996</v>
      </c>
      <c r="P15" s="239"/>
      <c r="Q15" s="165">
        <f>(AF15+$E15-AG15)/AG15</f>
        <v>-5.0991501416430517E-2</v>
      </c>
      <c r="R15" s="239"/>
      <c r="S15" s="165">
        <f>(AH15+$E15-AI15)/AI15</f>
        <v>9.2147435897436014E-2</v>
      </c>
      <c r="T15" s="108"/>
      <c r="U15" s="244">
        <f t="shared" si="6"/>
        <v>0.26195899772209569</v>
      </c>
      <c r="V15" s="251"/>
      <c r="W15" s="130"/>
      <c r="X15" s="149"/>
      <c r="Y15" s="326">
        <v>0.23</v>
      </c>
      <c r="Z15" s="327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35.299999999999997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3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3.25" x14ac:dyDescent="0.35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0.48857142857149094</v>
      </c>
      <c r="L16" s="106"/>
      <c r="M16" s="178">
        <f>(I16*AA16)+((I16*(1-AA16))*(1-0.3))</f>
        <v>0.04</v>
      </c>
      <c r="N16" s="106"/>
      <c r="O16" s="165">
        <f>+G16/Z16</f>
        <v>0.90534979423868311</v>
      </c>
      <c r="P16" s="239"/>
      <c r="Q16" s="165">
        <f>(AF16+$E16-AG16)/AG16</f>
        <v>-4.6085232903865202E-2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6">
        <v>2.23</v>
      </c>
      <c r="Z16" s="327">
        <v>2.4300000000000002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40.36</v>
      </c>
      <c r="AH16" s="250">
        <v>0.55000000000000004</v>
      </c>
      <c r="AI16" s="236">
        <v>34.65</v>
      </c>
      <c r="AJ16" s="250">
        <v>1.1000000000000001</v>
      </c>
      <c r="AK16" s="249">
        <v>31.4375</v>
      </c>
      <c r="AL16" s="323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25" x14ac:dyDescent="0.35">
      <c r="A17" s="126" t="s">
        <v>73</v>
      </c>
      <c r="B17" s="77"/>
      <c r="C17" s="143" t="s">
        <v>42</v>
      </c>
      <c r="D17" s="77"/>
      <c r="E17" s="236">
        <f>[1]!FGP</f>
        <v>19.61</v>
      </c>
      <c r="F17" s="237"/>
      <c r="G17" s="236">
        <f>[1]!'FGP,DIVIDEND'</f>
        <v>2</v>
      </c>
      <c r="H17" s="108"/>
      <c r="I17" s="178">
        <f t="shared" si="0"/>
        <v>0.10198878123406425</v>
      </c>
      <c r="J17" s="178"/>
      <c r="K17" s="243">
        <f t="shared" si="1"/>
        <v>448.94781234064254</v>
      </c>
      <c r="L17" s="106"/>
      <c r="M17" s="178">
        <f t="shared" si="2"/>
        <v>0.10137684854665988</v>
      </c>
      <c r="N17" s="106"/>
      <c r="O17" s="165">
        <f t="shared" si="5"/>
        <v>2.1052631578947367</v>
      </c>
      <c r="P17" s="248"/>
      <c r="Q17" s="165">
        <f t="shared" si="3"/>
        <v>-4.6919431279620942E-2</v>
      </c>
      <c r="R17" s="248"/>
      <c r="S17" s="165">
        <f t="shared" si="4"/>
        <v>0.2375384615384615</v>
      </c>
      <c r="T17" s="108"/>
      <c r="U17" s="244">
        <f t="shared" si="6"/>
        <v>0.56284360189573457</v>
      </c>
      <c r="V17" s="215"/>
      <c r="W17" s="130"/>
      <c r="X17" s="149"/>
      <c r="Y17" s="324">
        <v>1.1299999999999999</v>
      </c>
      <c r="Z17" s="325">
        <v>0.95</v>
      </c>
      <c r="AA17" s="216">
        <v>0.98</v>
      </c>
      <c r="AB17" s="217"/>
      <c r="AC17" s="77"/>
      <c r="AD17" s="218">
        <v>37041</v>
      </c>
      <c r="AE17" s="219">
        <v>0.5</v>
      </c>
      <c r="AF17" s="220">
        <v>0.5</v>
      </c>
      <c r="AG17" s="236">
        <v>21.1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2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108</v>
      </c>
      <c r="B18" s="77"/>
      <c r="C18" s="143" t="s">
        <v>43</v>
      </c>
      <c r="D18" s="77"/>
      <c r="E18" s="236">
        <f>[1]!GEL.A</f>
        <v>4.8499999999999996</v>
      </c>
      <c r="F18" s="237"/>
      <c r="G18" s="236">
        <f>[1]!'GEL.A,DIVIDEND'</f>
        <v>0.8</v>
      </c>
      <c r="H18" s="328" t="s">
        <v>111</v>
      </c>
      <c r="I18" s="178">
        <f t="shared" si="0"/>
        <v>0.16494845360824745</v>
      </c>
      <c r="J18" s="178"/>
      <c r="K18" s="243">
        <f t="shared" si="1"/>
        <v>1078.5445360824745</v>
      </c>
      <c r="L18" s="106"/>
      <c r="M18" s="178">
        <f t="shared" si="2"/>
        <v>0.16494845360824745</v>
      </c>
      <c r="N18" s="106"/>
      <c r="O18" s="165" t="s">
        <v>117</v>
      </c>
      <c r="P18" s="239"/>
      <c r="Q18" s="165">
        <f t="shared" si="3"/>
        <v>-1.0204081632653206E-2</v>
      </c>
      <c r="R18" s="239"/>
      <c r="S18" s="165">
        <f t="shared" si="4"/>
        <v>-0.15833333333333335</v>
      </c>
      <c r="T18" s="108"/>
      <c r="U18" s="244">
        <f t="shared" si="6"/>
        <v>0.44827586206896552</v>
      </c>
      <c r="V18" s="215"/>
      <c r="W18" s="130"/>
      <c r="X18" s="149"/>
      <c r="Y18" s="324">
        <v>0.1</v>
      </c>
      <c r="Z18" s="325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4.9000000000000004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3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3.25" x14ac:dyDescent="0.35">
      <c r="A19" s="126" t="s">
        <v>44</v>
      </c>
      <c r="B19" s="77"/>
      <c r="C19" s="143" t="s">
        <v>45</v>
      </c>
      <c r="D19" s="77"/>
      <c r="E19" s="236">
        <f>[1]!KPP</f>
        <v>36.700000000000003</v>
      </c>
      <c r="F19" s="237"/>
      <c r="G19" s="236">
        <f>[1]!'KPP,DIVIDEND'</f>
        <v>2.8</v>
      </c>
      <c r="H19" s="108"/>
      <c r="I19" s="178">
        <f t="shared" si="0"/>
        <v>7.6294277929155302E-2</v>
      </c>
      <c r="J19" s="178"/>
      <c r="K19" s="243">
        <f t="shared" si="1"/>
        <v>192.00277929155303</v>
      </c>
      <c r="L19" s="106"/>
      <c r="M19" s="178">
        <f t="shared" si="2"/>
        <v>7.1716621253405985E-2</v>
      </c>
      <c r="N19" s="106"/>
      <c r="O19" s="165">
        <f t="shared" si="5"/>
        <v>1.021897810218978</v>
      </c>
      <c r="P19" s="239"/>
      <c r="Q19" s="165">
        <f t="shared" si="3"/>
        <v>-3.42105263157894E-2</v>
      </c>
      <c r="R19" s="239"/>
      <c r="S19" s="165">
        <f t="shared" si="4"/>
        <v>9.48477751756443E-2</v>
      </c>
      <c r="T19" s="108"/>
      <c r="U19" s="244">
        <f t="shared" si="6"/>
        <v>0.21379310344827604</v>
      </c>
      <c r="V19" s="251"/>
      <c r="W19" s="130"/>
      <c r="X19" s="149"/>
      <c r="Y19" s="324">
        <v>2.67</v>
      </c>
      <c r="Z19" s="325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38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3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25" x14ac:dyDescent="0.35">
      <c r="A20" s="126" t="s">
        <v>46</v>
      </c>
      <c r="B20" s="77"/>
      <c r="C20" s="143" t="s">
        <v>101</v>
      </c>
      <c r="D20" s="77"/>
      <c r="E20" s="236">
        <f>[1]!KMP</f>
        <v>71.400000000000006</v>
      </c>
      <c r="F20" s="237"/>
      <c r="G20" s="236">
        <f>[1]!'KMP,DIVIDEND'</f>
        <v>4.2</v>
      </c>
      <c r="H20" s="320"/>
      <c r="I20" s="178">
        <f t="shared" si="0"/>
        <v>5.8823529411764705E-2</v>
      </c>
      <c r="J20" s="178"/>
      <c r="K20" s="243">
        <f t="shared" si="1"/>
        <v>17.29529411764706</v>
      </c>
      <c r="L20" s="106"/>
      <c r="M20" s="178">
        <f t="shared" si="2"/>
        <v>5.7058823529411759E-2</v>
      </c>
      <c r="N20" s="106"/>
      <c r="O20" s="165">
        <f t="shared" si="5"/>
        <v>1.8584070796460179</v>
      </c>
      <c r="P20" s="239"/>
      <c r="Q20" s="165">
        <f t="shared" si="3"/>
        <v>6.0588981259688153E-3</v>
      </c>
      <c r="R20" s="239"/>
      <c r="S20" s="165">
        <f t="shared" si="4"/>
        <v>0.14817749603803487</v>
      </c>
      <c r="T20" s="108"/>
      <c r="U20" s="244">
        <f t="shared" si="6"/>
        <v>0.30344062153163165</v>
      </c>
      <c r="V20" s="251"/>
      <c r="W20" s="130"/>
      <c r="X20" s="149"/>
      <c r="Y20" s="326">
        <v>1.81</v>
      </c>
      <c r="Z20" s="327">
        <v>2.2599999999999998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70.97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2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3.25" x14ac:dyDescent="0.35">
      <c r="A21" s="126" t="s">
        <v>47</v>
      </c>
      <c r="B21" s="77"/>
      <c r="C21" s="143" t="s">
        <v>48</v>
      </c>
      <c r="D21" s="77"/>
      <c r="E21" s="236">
        <f>[1]!LHP</f>
        <v>45.1</v>
      </c>
      <c r="F21" s="237"/>
      <c r="G21" s="236">
        <f>[1]!'LHP,DIVIDEND'</f>
        <v>3.5</v>
      </c>
      <c r="H21" s="108"/>
      <c r="I21" s="178">
        <f t="shared" si="0"/>
        <v>7.7605321507760533E-2</v>
      </c>
      <c r="J21" s="178"/>
      <c r="K21" s="243">
        <f t="shared" si="1"/>
        <v>205.11321507760533</v>
      </c>
      <c r="L21" s="106"/>
      <c r="M21" s="178">
        <f t="shared" si="2"/>
        <v>7.6441241685144115E-2</v>
      </c>
      <c r="N21" s="106"/>
      <c r="O21" s="165">
        <f t="shared" si="5"/>
        <v>1.4957264957264957</v>
      </c>
      <c r="P21" s="239"/>
      <c r="Q21" s="165">
        <f t="shared" si="3"/>
        <v>-1.7706949977865935E-3</v>
      </c>
      <c r="R21" s="239"/>
      <c r="S21" s="165">
        <f t="shared" si="4"/>
        <v>4.3700340522134042E-2</v>
      </c>
      <c r="T21" s="108"/>
      <c r="U21" s="244">
        <f t="shared" si="6"/>
        <v>0.1357575757575758</v>
      </c>
      <c r="V21" s="251"/>
      <c r="W21" s="130"/>
      <c r="X21" s="149"/>
      <c r="Y21" s="326">
        <v>2.2599999999999998</v>
      </c>
      <c r="Z21" s="327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45.18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2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25" x14ac:dyDescent="0.35">
      <c r="A22" s="126" t="s">
        <v>82</v>
      </c>
      <c r="B22" s="77"/>
      <c r="C22" s="143" t="s">
        <v>84</v>
      </c>
      <c r="D22" s="77"/>
      <c r="E22" s="236">
        <f>[1]!PAA</f>
        <v>25.36</v>
      </c>
      <c r="F22" s="237"/>
      <c r="G22" s="236">
        <f>[1]!'PAA,DIVIDEND'</f>
        <v>1.9</v>
      </c>
      <c r="H22" s="320"/>
      <c r="I22" s="178">
        <f t="shared" si="0"/>
        <v>7.4921135646687689E-2</v>
      </c>
      <c r="J22" s="178"/>
      <c r="K22" s="243">
        <f t="shared" si="1"/>
        <v>178.27135646687691</v>
      </c>
      <c r="L22" s="106"/>
      <c r="M22" s="178">
        <f>(I22*AA22)+((I22*(1-AA22))*(1-0.3))</f>
        <v>6.8178233438485794E-2</v>
      </c>
      <c r="N22" s="106"/>
      <c r="O22" s="165">
        <f>+G22/Z22</f>
        <v>1.0497237569060773</v>
      </c>
      <c r="P22" s="239"/>
      <c r="Q22" s="165">
        <f>(AF22+$E22-AG22)/AG22</f>
        <v>-2.6487523992322504E-2</v>
      </c>
      <c r="R22" s="239"/>
      <c r="S22" s="165">
        <f>(AH22+$E22-AI22)/AI22</f>
        <v>0.15852017937219731</v>
      </c>
      <c r="T22" s="108"/>
      <c r="U22" s="244">
        <f t="shared" si="6"/>
        <v>0.37505882352941167</v>
      </c>
      <c r="V22" s="251"/>
      <c r="W22" s="130"/>
      <c r="X22" s="149"/>
      <c r="Y22" s="326">
        <v>1.63</v>
      </c>
      <c r="Z22" s="327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26.05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3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104</v>
      </c>
      <c r="B23" s="77"/>
      <c r="C23" s="143" t="s">
        <v>86</v>
      </c>
      <c r="D23" s="77"/>
      <c r="E23" s="236">
        <f>[1]!TCLPZ.O</f>
        <v>23.7</v>
      </c>
      <c r="F23" s="237"/>
      <c r="G23" s="236">
        <f>[1]!'TCLPZ.O,DIVIDEND'</f>
        <v>1.9</v>
      </c>
      <c r="H23" s="108"/>
      <c r="I23" s="178">
        <f t="shared" si="0"/>
        <v>8.0168776371308009E-2</v>
      </c>
      <c r="J23" s="178"/>
      <c r="K23" s="243">
        <f t="shared" si="1"/>
        <v>230.7477637130801</v>
      </c>
      <c r="L23" s="106"/>
      <c r="M23" s="178">
        <f>(I23*AA23)+((I23*(1-AA23))*(1-0.3))</f>
        <v>7.8966244725738391E-2</v>
      </c>
      <c r="N23" s="106"/>
      <c r="O23" s="165">
        <f>+G23/Z23</f>
        <v>0.87557603686635943</v>
      </c>
      <c r="P23" s="239"/>
      <c r="Q23" s="165">
        <f>(AF23+$E23-AG23)/AG23</f>
        <v>1.4989293361884277E-2</v>
      </c>
      <c r="R23" s="239"/>
      <c r="S23" s="165">
        <f>(AH23+$E23-AI23)/AI23</f>
        <v>8.6516853932584306E-2</v>
      </c>
      <c r="T23" s="108"/>
      <c r="U23" s="244">
        <f t="shared" si="6"/>
        <v>0.28051948051948045</v>
      </c>
      <c r="V23" s="251"/>
      <c r="W23" s="130"/>
      <c r="X23" s="149"/>
      <c r="Y23" s="326">
        <v>2.14</v>
      </c>
      <c r="Z23" s="327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23.35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3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3.25" x14ac:dyDescent="0.35">
      <c r="A24" s="126" t="s">
        <v>49</v>
      </c>
      <c r="B24" s="77"/>
      <c r="C24" s="143" t="s">
        <v>50</v>
      </c>
      <c r="D24" s="77"/>
      <c r="E24" s="236">
        <f>[1]!TPP</f>
        <v>29.35</v>
      </c>
      <c r="F24" s="237"/>
      <c r="G24" s="236">
        <f>[1]!'TPP,DIVIDEND'</f>
        <v>2.1</v>
      </c>
      <c r="H24" s="108"/>
      <c r="I24" s="178">
        <f t="shared" si="0"/>
        <v>7.1550255536626917E-2</v>
      </c>
      <c r="J24" s="178"/>
      <c r="K24" s="243">
        <f t="shared" si="1"/>
        <v>144.56255536626918</v>
      </c>
      <c r="L24" s="106"/>
      <c r="M24" s="178">
        <f t="shared" si="2"/>
        <v>6.5110732538330496E-2</v>
      </c>
      <c r="N24" s="106"/>
      <c r="O24" s="165">
        <f t="shared" si="5"/>
        <v>1.0047846889952154</v>
      </c>
      <c r="P24" s="239"/>
      <c r="Q24" s="165">
        <f t="shared" si="3"/>
        <v>1.5570934256055463E-2</v>
      </c>
      <c r="R24" s="239"/>
      <c r="S24" s="165">
        <f t="shared" si="4"/>
        <v>0.14026717557251911</v>
      </c>
      <c r="T24" s="108"/>
      <c r="U24" s="244">
        <f t="shared" si="6"/>
        <v>0.2376590330788805</v>
      </c>
      <c r="V24" s="251"/>
      <c r="W24" s="130"/>
      <c r="X24" s="149"/>
      <c r="Y24" s="326">
        <v>1.98</v>
      </c>
      <c r="Z24" s="327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28.9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3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4" thickBot="1" x14ac:dyDescent="0.4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4" thickBot="1" x14ac:dyDescent="0.4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8.2960724181118828E-2</v>
      </c>
      <c r="J26" s="271"/>
      <c r="K26" s="272">
        <f>(+I26-E$28)*10000</f>
        <v>258.66724181118826</v>
      </c>
      <c r="L26" s="267"/>
      <c r="M26" s="271">
        <f>AVERAGEA(M13:M24)</f>
        <v>7.8445376914037537E-2</v>
      </c>
      <c r="N26" s="267"/>
      <c r="O26" s="273">
        <f>AVERAGEA(O13:O24)</f>
        <v>1.4923525877464094</v>
      </c>
      <c r="P26" s="274"/>
      <c r="Q26" s="273">
        <f>AVERAGEA(Q13:Q24)</f>
        <v>-1.746747314694147E-2</v>
      </c>
      <c r="R26" s="274"/>
      <c r="S26" s="273">
        <f>AVERAGEA(S13:S24)</f>
        <v>0.10135981929912076</v>
      </c>
      <c r="T26" s="270"/>
      <c r="U26" s="275">
        <f>AVERAGEA(U13:U24)</f>
        <v>0.31689656420657264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1"/>
      <c r="AH26" s="282"/>
      <c r="AI26" s="331"/>
      <c r="AJ26" s="330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3.25" x14ac:dyDescent="0.35">
      <c r="A27" s="77"/>
      <c r="B27" s="77"/>
      <c r="C27" s="127"/>
      <c r="D27" s="77"/>
      <c r="E27" s="1">
        <f>PV(E28/2,(58-((+VALUE($AG$6+7)-VALUE($AT$28))/(365/2))),-$AK$28*100/2,-100,0)</f>
        <v>96.557848791268015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94.580173300370646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35">
      <c r="A28" s="126" t="s">
        <v>92</v>
      </c>
      <c r="B28" s="77"/>
      <c r="C28" s="127"/>
      <c r="D28" s="77"/>
      <c r="E28" s="285">
        <f>[1]!'US30YT=RR,RT YIELD 1'/100</f>
        <v>5.7093999999999999E-2</v>
      </c>
      <c r="F28" s="77"/>
      <c r="G28" s="284"/>
      <c r="H28" s="108"/>
      <c r="J28" s="285"/>
      <c r="K28" s="238"/>
      <c r="L28" s="106"/>
      <c r="M28" s="178">
        <f>(E28*AA28)+((E28*(1-AA28))*(1-0.3))</f>
        <v>3.9965799999999996E-2</v>
      </c>
      <c r="N28" s="106"/>
      <c r="O28" s="165"/>
      <c r="P28" s="239"/>
      <c r="Q28" s="165">
        <f>(AF27+$E27-AG27)/AG27</f>
        <v>2.0910043002528717E-2</v>
      </c>
      <c r="R28" s="239"/>
      <c r="S28" s="165">
        <f>(AH27+$E27-AI27)/AI27</f>
        <v>-3.5929963655382119E-2</v>
      </c>
      <c r="T28" s="108"/>
      <c r="U28" s="244">
        <f>(AJ27+E27-AK27)/AK27</f>
        <v>-3.4421512087319854E-2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5.8587E-2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35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25" x14ac:dyDescent="0.35">
      <c r="A38" s="204" t="s">
        <v>120</v>
      </c>
      <c r="B38" s="205"/>
      <c r="C38" s="335" t="s">
        <v>119</v>
      </c>
      <c r="D38" s="205"/>
      <c r="E38" s="207">
        <f>[1]!UDL</f>
        <v>29.6</v>
      </c>
      <c r="F38" s="336"/>
      <c r="G38" s="207">
        <v>2.4</v>
      </c>
      <c r="H38" s="337"/>
      <c r="I38" s="210">
        <f>+G38/E38</f>
        <v>8.1081081081081072E-2</v>
      </c>
      <c r="J38" s="210"/>
      <c r="K38" s="338">
        <f>(+I38-E$28)*10000</f>
        <v>239.87081081081072</v>
      </c>
      <c r="L38" s="206"/>
      <c r="M38" s="210">
        <f>(I38*AA38)+((I38*(1-AA38))*(1-0.3))</f>
        <v>5.6756756756756746E-2</v>
      </c>
      <c r="N38" s="206"/>
      <c r="O38" s="339" t="s">
        <v>117</v>
      </c>
      <c r="P38" s="340"/>
      <c r="Q38" s="339">
        <f>(AF38+$E38-AG38)/AG38</f>
        <v>-3.5830618892508076E-2</v>
      </c>
      <c r="R38" s="340"/>
      <c r="S38" s="339">
        <f>(AH38+$E38-AI38)/AI38</f>
        <v>0.2081632653061225</v>
      </c>
      <c r="T38" s="209"/>
      <c r="U38" s="341">
        <f>(AJ38+E38-AK38)/AK38</f>
        <v>0.2081632653061225</v>
      </c>
      <c r="V38" s="251"/>
      <c r="W38" s="130"/>
      <c r="X38" s="149"/>
      <c r="Y38" s="349" t="s">
        <v>117</v>
      </c>
      <c r="Z38" s="350" t="s">
        <v>117</v>
      </c>
      <c r="AA38" s="351">
        <v>0</v>
      </c>
      <c r="AB38" s="352"/>
      <c r="AC38" s="154"/>
      <c r="AD38" s="353"/>
      <c r="AE38" s="354"/>
      <c r="AF38" s="355"/>
      <c r="AG38" s="356">
        <v>30.7</v>
      </c>
      <c r="AH38" s="355"/>
      <c r="AI38" s="356">
        <v>24.5</v>
      </c>
      <c r="AJ38" s="357" t="s">
        <v>85</v>
      </c>
      <c r="AK38" s="357">
        <v>24.5</v>
      </c>
      <c r="AL38" s="357" t="s">
        <v>85</v>
      </c>
      <c r="AM38" s="357" t="s">
        <v>85</v>
      </c>
      <c r="AN38" s="357" t="s">
        <v>85</v>
      </c>
      <c r="AO38" s="357" t="s">
        <v>85</v>
      </c>
      <c r="AP38" s="357" t="s">
        <v>85</v>
      </c>
      <c r="AQ38" s="358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">
      <c r="A39" s="342" t="s">
        <v>121</v>
      </c>
      <c r="B39" s="226"/>
      <c r="C39" s="343" t="s">
        <v>122</v>
      </c>
      <c r="D39" s="226"/>
      <c r="E39" s="228">
        <f>[1]!WEG</f>
        <v>30.25</v>
      </c>
      <c r="F39" s="344"/>
      <c r="G39" s="228">
        <v>2.1</v>
      </c>
      <c r="H39" s="345"/>
      <c r="I39" s="231">
        <f>+G39/E39</f>
        <v>6.9421487603305784E-2</v>
      </c>
      <c r="J39" s="231"/>
      <c r="K39" s="232">
        <f>(+I39-E$28)*10000</f>
        <v>123.27487603305785</v>
      </c>
      <c r="L39" s="227"/>
      <c r="M39" s="231">
        <f>(I39*AA39)+((I39*(1-AA39))*(1-0.3))</f>
        <v>4.8595041322314049E-2</v>
      </c>
      <c r="N39" s="227"/>
      <c r="O39" s="346" t="s">
        <v>117</v>
      </c>
      <c r="P39" s="347"/>
      <c r="Q39" s="346">
        <f>(AF39+$E39-AG39)/AG39</f>
        <v>-6.9230769230769235E-2</v>
      </c>
      <c r="R39" s="347"/>
      <c r="S39" s="346">
        <f>(AH39+$E39-AI39)/AI39</f>
        <v>1.4684385382059805E-2</v>
      </c>
      <c r="T39" s="230"/>
      <c r="U39" s="348">
        <f>(AJ39+E39-AK39)/AK39</f>
        <v>0.4205581395348838</v>
      </c>
      <c r="V39" s="251"/>
      <c r="W39" s="130"/>
      <c r="X39" s="149"/>
      <c r="Y39" s="359" t="s">
        <v>117</v>
      </c>
      <c r="Z39" s="360" t="s">
        <v>117</v>
      </c>
      <c r="AA39" s="361">
        <v>0</v>
      </c>
      <c r="AB39" s="362"/>
      <c r="AC39" s="118"/>
      <c r="AD39" s="363">
        <v>37008</v>
      </c>
      <c r="AE39" s="364">
        <v>0.29199999999999998</v>
      </c>
      <c r="AF39" s="365"/>
      <c r="AG39" s="366">
        <v>32.5</v>
      </c>
      <c r="AH39" s="365">
        <v>0.29199999999999998</v>
      </c>
      <c r="AI39" s="366">
        <v>30.1</v>
      </c>
      <c r="AJ39" s="367">
        <v>0.29199999999999998</v>
      </c>
      <c r="AK39" s="367">
        <v>21.5</v>
      </c>
      <c r="AL39" s="367" t="s">
        <v>85</v>
      </c>
      <c r="AM39" s="367" t="s">
        <v>85</v>
      </c>
      <c r="AN39" s="367" t="s">
        <v>85</v>
      </c>
      <c r="AO39" s="367" t="s">
        <v>85</v>
      </c>
      <c r="AP39" s="367" t="s">
        <v>85</v>
      </c>
      <c r="AQ39" s="368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9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2"/>
      <c r="Z40" s="332"/>
      <c r="AA40" s="252"/>
      <c r="AB40" s="252"/>
      <c r="AC40" s="77"/>
      <c r="AD40" s="218"/>
      <c r="AE40" s="250"/>
      <c r="AF40" s="250"/>
      <c r="AG40" s="236"/>
      <c r="AH40" s="250"/>
      <c r="AI40" s="236"/>
      <c r="AJ40" s="333"/>
      <c r="AK40" s="333"/>
      <c r="AL40" s="333"/>
      <c r="AM40" s="333"/>
      <c r="AN40" s="333"/>
      <c r="AO40" s="333"/>
      <c r="AP40" s="333"/>
      <c r="AQ40" s="334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35">
      <c r="A41" s="369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2"/>
      <c r="Z41" s="332"/>
      <c r="AA41" s="252"/>
      <c r="AB41" s="252"/>
      <c r="AC41" s="77"/>
      <c r="AD41" s="218"/>
      <c r="AE41" s="250"/>
      <c r="AF41" s="250"/>
      <c r="AG41" s="236"/>
      <c r="AH41" s="250"/>
      <c r="AI41" s="236"/>
      <c r="AJ41" s="333"/>
      <c r="AK41" s="333"/>
      <c r="AL41" s="333"/>
      <c r="AM41" s="333"/>
      <c r="AN41" s="333"/>
      <c r="AO41" s="333"/>
      <c r="AP41" s="333"/>
      <c r="AQ41" s="334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65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35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35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35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4" thickTop="1" x14ac:dyDescent="0.35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3.25" x14ac:dyDescent="0.35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3.25" x14ac:dyDescent="0.35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2001-05-30T18:38:01Z</cp:lastPrinted>
  <dcterms:created xsi:type="dcterms:W3CDTF">1997-07-25T21:20:20Z</dcterms:created>
  <dcterms:modified xsi:type="dcterms:W3CDTF">2014-09-04T13:54:42Z</dcterms:modified>
</cp:coreProperties>
</file>