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12120" windowHeight="8580"/>
  </bookViews>
  <sheets>
    <sheet name="NGPL_OFF" sheetId="2" r:id="rId1"/>
    <sheet name="NGPL_PEAK" sheetId="4" r:id="rId2"/>
    <sheet name="trunk" sheetId="1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E1" i="2" l="1"/>
  <c r="H2" i="2"/>
  <c r="I2" i="2"/>
  <c r="I3" i="2" s="1"/>
  <c r="A4" i="2"/>
  <c r="B8" i="2"/>
  <c r="D8" i="2"/>
  <c r="E8" i="2" s="1"/>
  <c r="F8" i="2" s="1"/>
  <c r="G8" i="2"/>
  <c r="B9" i="2"/>
  <c r="D9" i="2" s="1"/>
  <c r="E9" i="2" s="1"/>
  <c r="F9" i="2" s="1"/>
  <c r="G9" i="2"/>
  <c r="J9" i="2"/>
  <c r="K9" i="2"/>
  <c r="B10" i="2"/>
  <c r="D10" i="2" s="1"/>
  <c r="E10" i="2" s="1"/>
  <c r="F10" i="2" s="1"/>
  <c r="G10" i="2"/>
  <c r="B12" i="2"/>
  <c r="D12" i="2" s="1"/>
  <c r="E12" i="2" s="1"/>
  <c r="G12" i="2"/>
  <c r="B13" i="2"/>
  <c r="D13" i="2" s="1"/>
  <c r="E13" i="2" s="1"/>
  <c r="G13" i="2"/>
  <c r="H13" i="2"/>
  <c r="B14" i="2"/>
  <c r="D14" i="2"/>
  <c r="E14" i="2" s="1"/>
  <c r="G14" i="2"/>
  <c r="D15" i="2"/>
  <c r="E15" i="2"/>
  <c r="G15" i="2"/>
  <c r="B17" i="2"/>
  <c r="D19" i="2" s="1"/>
  <c r="E19" i="2" s="1"/>
  <c r="F19" i="2" s="1"/>
  <c r="D17" i="2"/>
  <c r="E17" i="2" s="1"/>
  <c r="F17" i="2" s="1"/>
  <c r="G17" i="2"/>
  <c r="B18" i="2"/>
  <c r="D18" i="2"/>
  <c r="E18" i="2"/>
  <c r="F18" i="2" s="1"/>
  <c r="G18" i="2"/>
  <c r="B19" i="2"/>
  <c r="G19" i="2"/>
  <c r="D21" i="2"/>
  <c r="D22" i="2"/>
  <c r="D23" i="2"/>
  <c r="D24" i="2"/>
  <c r="H24" i="2"/>
  <c r="I27" i="2"/>
  <c r="I28" i="2"/>
  <c r="B29" i="2"/>
  <c r="B31" i="2" s="1"/>
  <c r="E29" i="2"/>
  <c r="G29" i="2"/>
  <c r="I29" i="2"/>
  <c r="H30" i="2" s="1"/>
  <c r="E1" i="4"/>
  <c r="H2" i="4"/>
  <c r="I2" i="4"/>
  <c r="I3" i="4"/>
  <c r="A4" i="4"/>
  <c r="B8" i="4"/>
  <c r="D8" i="4" s="1"/>
  <c r="E8" i="4" s="1"/>
  <c r="F8" i="4" s="1"/>
  <c r="G8" i="4"/>
  <c r="B9" i="4"/>
  <c r="D9" i="4"/>
  <c r="E9" i="4" s="1"/>
  <c r="F9" i="4" s="1"/>
  <c r="G9" i="4"/>
  <c r="J9" i="4"/>
  <c r="K9" i="4"/>
  <c r="B10" i="4"/>
  <c r="D10" i="4"/>
  <c r="E10" i="4"/>
  <c r="F10" i="4" s="1"/>
  <c r="G10" i="4"/>
  <c r="B12" i="4"/>
  <c r="D12" i="4" s="1"/>
  <c r="E12" i="4" s="1"/>
  <c r="G12" i="4"/>
  <c r="B13" i="4"/>
  <c r="D13" i="4"/>
  <c r="E13" i="4" s="1"/>
  <c r="G13" i="4"/>
  <c r="B14" i="4"/>
  <c r="D14" i="4" s="1"/>
  <c r="G14" i="4"/>
  <c r="B15" i="4"/>
  <c r="D15" i="4" s="1"/>
  <c r="E15" i="4" s="1"/>
  <c r="G15" i="4"/>
  <c r="B17" i="4"/>
  <c r="D17" i="4" s="1"/>
  <c r="E17" i="4" s="1"/>
  <c r="F17" i="4" s="1"/>
  <c r="G17" i="4"/>
  <c r="B18" i="4"/>
  <c r="D18" i="4"/>
  <c r="E18" i="4" s="1"/>
  <c r="F18" i="4" s="1"/>
  <c r="G18" i="4"/>
  <c r="B19" i="4"/>
  <c r="D19" i="4"/>
  <c r="E19" i="4"/>
  <c r="F19" i="4" s="1"/>
  <c r="G19" i="4"/>
  <c r="B21" i="4"/>
  <c r="D21" i="4" s="1"/>
  <c r="D22" i="4"/>
  <c r="D23" i="4"/>
  <c r="D24" i="4"/>
  <c r="H24" i="4"/>
  <c r="I27" i="4"/>
  <c r="I29" i="4" s="1"/>
  <c r="H30" i="4" s="1"/>
  <c r="I28" i="4"/>
  <c r="B29" i="4"/>
  <c r="E29" i="4"/>
  <c r="G29" i="4"/>
  <c r="B31" i="4"/>
  <c r="H2" i="1"/>
  <c r="I2" i="1"/>
  <c r="I3" i="1" s="1"/>
  <c r="A4" i="1"/>
  <c r="B8" i="1"/>
  <c r="D8" i="1"/>
  <c r="E8" i="1"/>
  <c r="F8" i="1"/>
  <c r="G8" i="1"/>
  <c r="B9" i="1"/>
  <c r="D9" i="1" s="1"/>
  <c r="E9" i="1" s="1"/>
  <c r="F9" i="1" s="1"/>
  <c r="G9" i="1"/>
  <c r="J9" i="1"/>
  <c r="K9" i="1"/>
  <c r="B10" i="1"/>
  <c r="D10" i="1"/>
  <c r="E10" i="1" s="1"/>
  <c r="F10" i="1" s="1"/>
  <c r="G10" i="1"/>
  <c r="B11" i="1"/>
  <c r="D11" i="1"/>
  <c r="E11" i="1"/>
  <c r="F11" i="1" s="1"/>
  <c r="G11" i="1"/>
  <c r="B13" i="1"/>
  <c r="D13" i="1" s="1"/>
  <c r="E13" i="1" s="1"/>
  <c r="F13" i="1" s="1"/>
  <c r="G13" i="1"/>
  <c r="B14" i="1"/>
  <c r="D14" i="1" s="1"/>
  <c r="E14" i="1" s="1"/>
  <c r="F14" i="1" s="1"/>
  <c r="G14" i="1"/>
  <c r="B15" i="1"/>
  <c r="D15" i="1"/>
  <c r="E15" i="1"/>
  <c r="F15" i="1"/>
  <c r="G15" i="1"/>
  <c r="H15" i="1"/>
  <c r="B16" i="1"/>
  <c r="D16" i="1" s="1"/>
  <c r="E16" i="1" s="1"/>
  <c r="F16" i="1" s="1"/>
  <c r="G16" i="1"/>
  <c r="B18" i="1"/>
  <c r="D20" i="1" s="1"/>
  <c r="E20" i="1" s="1"/>
  <c r="F20" i="1" s="1"/>
  <c r="G18" i="1"/>
  <c r="B19" i="1"/>
  <c r="G19" i="1"/>
  <c r="B20" i="1"/>
  <c r="G20" i="1"/>
  <c r="B22" i="1"/>
  <c r="D22" i="1"/>
  <c r="D23" i="1"/>
  <c r="D24" i="1"/>
  <c r="D25" i="1"/>
  <c r="H25" i="1"/>
  <c r="I28" i="1"/>
  <c r="I29" i="1"/>
  <c r="B30" i="1"/>
  <c r="B32" i="1" s="1"/>
  <c r="E30" i="1"/>
  <c r="G30" i="1"/>
  <c r="I30" i="1"/>
  <c r="H31" i="1" s="1"/>
  <c r="E14" i="4" l="1"/>
  <c r="H14" i="4"/>
  <c r="D18" i="1"/>
  <c r="E18" i="1" s="1"/>
  <c r="F18" i="1" s="1"/>
  <c r="D19" i="1"/>
  <c r="E19" i="1" s="1"/>
  <c r="F19" i="1" s="1"/>
  <c r="H14" i="2"/>
</calcChain>
</file>

<file path=xl/sharedStrings.xml><?xml version="1.0" encoding="utf-8"?>
<sst xmlns="http://schemas.openxmlformats.org/spreadsheetml/2006/main" count="99" uniqueCount="44">
  <si>
    <t>Gas Cost</t>
  </si>
  <si>
    <t>Pipeline</t>
  </si>
  <si>
    <t>Comm $</t>
  </si>
  <si>
    <t>Fuel%</t>
  </si>
  <si>
    <t>NGPL</t>
  </si>
  <si>
    <t>INCLUDES GRI TO MARKET AREA</t>
  </si>
  <si>
    <t xml:space="preserve">  Iowa - Illinois to Market</t>
  </si>
  <si>
    <t xml:space="preserve">  Amarillo to Market</t>
  </si>
  <si>
    <t xml:space="preserve">  Gulf Coast Mainline to Market</t>
  </si>
  <si>
    <t xml:space="preserve">  Midcontinent to Market</t>
  </si>
  <si>
    <t xml:space="preserve">  Texok to Market</t>
  </si>
  <si>
    <t xml:space="preserve">  Louisiana to Market</t>
  </si>
  <si>
    <t xml:space="preserve">  South Texas to Market</t>
  </si>
  <si>
    <t xml:space="preserve">  Permian to Market</t>
  </si>
  <si>
    <t xml:space="preserve">  Texok to Louisiana</t>
  </si>
  <si>
    <t xml:space="preserve">  South Texas to Louisiana</t>
  </si>
  <si>
    <t xml:space="preserve">  Louisiana to Louisiana</t>
  </si>
  <si>
    <t>Louisiana</t>
  </si>
  <si>
    <t>MARKET</t>
  </si>
  <si>
    <t>Louisiana to TXOK</t>
  </si>
  <si>
    <t>TXOK to TXOK</t>
  </si>
  <si>
    <t>TXOK</t>
  </si>
  <si>
    <t>STX to TXOK</t>
  </si>
  <si>
    <t>Rate</t>
  </si>
  <si>
    <t>W/GRI</t>
  </si>
  <si>
    <t>Delivered</t>
  </si>
  <si>
    <t>Grossed up Volume</t>
  </si>
  <si>
    <t>w/OUT</t>
  </si>
  <si>
    <t>Penzoil contract</t>
  </si>
  <si>
    <t>Comm</t>
  </si>
  <si>
    <t>LA</t>
  </si>
  <si>
    <t>STX</t>
  </si>
  <si>
    <t>trnk wla</t>
  </si>
  <si>
    <t>trnk ela</t>
  </si>
  <si>
    <t>trnk stx</t>
  </si>
  <si>
    <t>TRUNKLINE</t>
  </si>
  <si>
    <t>FIELD</t>
  </si>
  <si>
    <t>Field zone to field zone</t>
  </si>
  <si>
    <t>field to zone 1A</t>
  </si>
  <si>
    <t>field to zone 1b</t>
  </si>
  <si>
    <t>field to zone 2</t>
  </si>
  <si>
    <t>zone 1A to zone 1A</t>
  </si>
  <si>
    <t>zone 1A to zone 1B</t>
  </si>
  <si>
    <t>zone 1A to zone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</si>
</sst>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-* #,##0.0000_-;\-* #,##0.0000_-;_-* &quot;-&quot;??_-;_-@_-"/>
    <numFmt numFmtId="165" formatCode="0.0000%"/>
    <numFmt numFmtId="168" formatCode="_(* #,##0.0000_);_(* \(#,##0.0000\);_(* &quot;-&quot;????_);_(@_)"/>
    <numFmt numFmtId="170" formatCode="_(* #,##0_);_(* \(#,##0\);_(* &quot;-&quot;??_);_(@_)"/>
    <numFmt numFmtId="176" formatCode="&quot;$&quot;#,##0.000;\-&quot;$&quot;#,##0.000"/>
    <numFmt numFmtId="177" formatCode="#,##0.000"/>
  </numFmts>
  <fonts count="5" x14ac:knownFonts="1">
    <font>
      <sz val="10"/>
      <name val="Arial"/>
    </font>
    <font>
      <sz val="10"/>
      <name val="Arial"/>
    </font>
    <font>
      <b/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1" applyNumberFormat="1" applyFont="1"/>
    <xf numFmtId="165" fontId="0" fillId="0" borderId="0" xfId="2" applyNumberFormat="1" applyFont="1"/>
    <xf numFmtId="0" fontId="2" fillId="0" borderId="0" xfId="0" applyFont="1"/>
    <xf numFmtId="14" fontId="0" fillId="0" borderId="0" xfId="0" applyNumberFormat="1" applyAlignment="1">
      <alignment horizontal="center"/>
    </xf>
    <xf numFmtId="165" fontId="0" fillId="0" borderId="0" xfId="2" applyNumberFormat="1" applyFont="1" applyAlignment="1">
      <alignment horizontal="center"/>
    </xf>
    <xf numFmtId="0" fontId="0" fillId="0" borderId="1" xfId="0" applyBorder="1"/>
    <xf numFmtId="164" fontId="0" fillId="0" borderId="1" xfId="1" applyNumberFormat="1" applyFont="1" applyBorder="1" applyAlignment="1">
      <alignment horizontal="center"/>
    </xf>
    <xf numFmtId="165" fontId="0" fillId="0" borderId="1" xfId="2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164" fontId="3" fillId="0" borderId="0" xfId="1" applyNumberFormat="1" applyFont="1"/>
    <xf numFmtId="165" fontId="3" fillId="0" borderId="0" xfId="2" applyNumberFormat="1" applyFont="1"/>
    <xf numFmtId="0" fontId="4" fillId="0" borderId="0" xfId="0" applyFont="1"/>
    <xf numFmtId="164" fontId="0" fillId="0" borderId="0" xfId="0" applyNumberFormat="1"/>
    <xf numFmtId="168" fontId="0" fillId="0" borderId="0" xfId="0" applyNumberFormat="1"/>
    <xf numFmtId="0" fontId="0" fillId="0" borderId="0" xfId="0" applyAlignment="1">
      <alignment wrapText="1"/>
    </xf>
    <xf numFmtId="170" fontId="0" fillId="0" borderId="0" xfId="1" applyNumberFormat="1" applyFont="1" applyAlignment="1">
      <alignment horizontal="center"/>
    </xf>
    <xf numFmtId="170" fontId="0" fillId="2" borderId="0" xfId="1" applyNumberFormat="1" applyFont="1" applyFill="1"/>
    <xf numFmtId="176" fontId="0" fillId="0" borderId="0" xfId="0" applyNumberFormat="1" applyAlignment="1">
      <alignment horizontal="center"/>
    </xf>
    <xf numFmtId="177" fontId="0" fillId="0" borderId="0" xfId="0" applyNumberFormat="1"/>
    <xf numFmtId="164" fontId="0" fillId="0" borderId="0" xfId="1" applyNumberFormat="1" applyFont="1" applyAlignment="1"/>
    <xf numFmtId="165" fontId="1" fillId="0" borderId="0" xfId="2" applyNumberFormat="1" applyFont="1"/>
    <xf numFmtId="165" fontId="1" fillId="0" borderId="0" xfId="2" applyNumberFormat="1" applyFont="1" applyAlignment="1">
      <alignment horizontal="center"/>
    </xf>
    <xf numFmtId="164" fontId="1" fillId="0" borderId="0" xfId="1" applyNumberFormat="1" applyFont="1" applyAlignment="1"/>
    <xf numFmtId="164" fontId="1" fillId="0" borderId="0" xfId="1" applyNumberFormat="1"/>
    <xf numFmtId="165" fontId="1" fillId="0" borderId="0" xfId="2" applyNumberFormat="1"/>
    <xf numFmtId="164" fontId="1" fillId="0" borderId="1" xfId="1" applyNumberFormat="1" applyBorder="1" applyAlignment="1">
      <alignment horizontal="center"/>
    </xf>
    <xf numFmtId="165" fontId="1" fillId="0" borderId="1" xfId="2" applyNumberFormat="1" applyBorder="1" applyAlignment="1">
      <alignment horizontal="center"/>
    </xf>
    <xf numFmtId="170" fontId="1" fillId="2" borderId="0" xfId="1" applyNumberFormat="1" applyFill="1"/>
    <xf numFmtId="170" fontId="1" fillId="0" borderId="0" xfId="1" applyNumberFormat="1" applyAlignment="1">
      <alignment horizontal="center"/>
    </xf>
    <xf numFmtId="43" fontId="0" fillId="0" borderId="0" xfId="0" applyNumberFormat="1"/>
    <xf numFmtId="0" fontId="4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31"/>
  <sheetViews>
    <sheetView tabSelected="1" workbookViewId="0">
      <selection activeCell="D4" sqref="D4"/>
    </sheetView>
  </sheetViews>
  <sheetFormatPr defaultRowHeight="12.75" x14ac:dyDescent="0.2"/>
  <cols>
    <col min="1" max="1" width="35.42578125" bestFit="1" customWidth="1"/>
    <col min="4" max="4" width="10.42578125" customWidth="1"/>
    <col min="7" max="7" width="11.5703125" bestFit="1" customWidth="1"/>
  </cols>
  <sheetData>
    <row r="1" spans="1:11" x14ac:dyDescent="0.2">
      <c r="A1" s="2" t="s">
        <v>5</v>
      </c>
      <c r="B1" t="s">
        <v>30</v>
      </c>
      <c r="C1" s="5" t="s">
        <v>0</v>
      </c>
      <c r="D1" s="19">
        <v>5.37</v>
      </c>
      <c r="E1" s="20">
        <f>D1*0.017</f>
        <v>9.129000000000001E-2</v>
      </c>
      <c r="I1">
        <v>5</v>
      </c>
    </row>
    <row r="2" spans="1:11" x14ac:dyDescent="0.2">
      <c r="B2" s="21" t="s">
        <v>31</v>
      </c>
      <c r="D2" s="19">
        <v>5.29</v>
      </c>
      <c r="H2">
        <f>5-0.06</f>
        <v>4.9400000000000004</v>
      </c>
      <c r="I2">
        <f>0.11+0.0075</f>
        <v>0.11749999999999999</v>
      </c>
    </row>
    <row r="3" spans="1:11" x14ac:dyDescent="0.2">
      <c r="B3" t="s">
        <v>21</v>
      </c>
      <c r="D3" s="19">
        <v>5.34</v>
      </c>
      <c r="I3">
        <f>I1+I2</f>
        <v>5.1174999999999997</v>
      </c>
    </row>
    <row r="4" spans="1:11" ht="25.5" x14ac:dyDescent="0.2">
      <c r="A4" s="4">
        <f ca="1">NOW()</f>
        <v>41886.427826504631</v>
      </c>
      <c r="B4" s="1"/>
      <c r="C4" s="2"/>
      <c r="E4" s="32" t="s">
        <v>25</v>
      </c>
      <c r="F4" s="32"/>
      <c r="G4" s="16" t="s">
        <v>26</v>
      </c>
    </row>
    <row r="5" spans="1:11" ht="13.5" thickBot="1" x14ac:dyDescent="0.25">
      <c r="A5" s="6" t="s">
        <v>1</v>
      </c>
      <c r="B5" s="7" t="s">
        <v>2</v>
      </c>
      <c r="C5" s="8" t="s">
        <v>3</v>
      </c>
      <c r="D5" s="9" t="s">
        <v>23</v>
      </c>
      <c r="E5" s="9" t="s">
        <v>27</v>
      </c>
      <c r="F5" s="9" t="s">
        <v>24</v>
      </c>
      <c r="G5" s="18">
        <v>9000</v>
      </c>
    </row>
    <row r="6" spans="1:11" x14ac:dyDescent="0.2">
      <c r="A6" s="3" t="s">
        <v>4</v>
      </c>
      <c r="C6" s="2"/>
      <c r="F6">
        <v>7.4999999999999997E-3</v>
      </c>
    </row>
    <row r="7" spans="1:11" x14ac:dyDescent="0.2">
      <c r="A7" s="3" t="s">
        <v>17</v>
      </c>
      <c r="B7" s="1"/>
      <c r="C7" s="2"/>
      <c r="J7">
        <v>5.1100000000000003</v>
      </c>
      <c r="K7">
        <v>5.1950000000000003</v>
      </c>
    </row>
    <row r="8" spans="1:11" x14ac:dyDescent="0.2">
      <c r="A8" s="10" t="s">
        <v>16</v>
      </c>
      <c r="B8" s="11">
        <f>0.0003+0.0022</f>
        <v>2.5000000000000001E-3</v>
      </c>
      <c r="C8" s="12">
        <v>1.0999999999999999E-2</v>
      </c>
      <c r="D8" s="1">
        <f>D$1/(1-$C8)+$B$8-D$1</f>
        <v>6.2226996966633585E-2</v>
      </c>
      <c r="E8" s="15">
        <f>D8+$D$1</f>
        <v>5.4322269969666337</v>
      </c>
      <c r="F8" s="14">
        <f>E8+$F$6</f>
        <v>5.439726996966634</v>
      </c>
      <c r="G8" s="17">
        <f>$G$5/(1-C8)</f>
        <v>9100.1011122345808</v>
      </c>
      <c r="J8">
        <v>5.2750000000000004</v>
      </c>
      <c r="K8">
        <v>5.21</v>
      </c>
    </row>
    <row r="9" spans="1:11" x14ac:dyDescent="0.2">
      <c r="A9" s="10" t="s">
        <v>14</v>
      </c>
      <c r="B9" s="11">
        <f>0.0015+0.0022</f>
        <v>3.7000000000000002E-3</v>
      </c>
      <c r="C9" s="12">
        <v>1.9599999999999999E-2</v>
      </c>
      <c r="D9" s="1">
        <f>D$3/(1-$C9)+$B$9-D$1</f>
        <v>8.0456425948591814E-2</v>
      </c>
      <c r="E9" s="31">
        <f>D9+$D$3</f>
        <v>5.4204564259485917</v>
      </c>
      <c r="F9" s="14">
        <f t="shared" ref="F9:F19" si="0">E9+$F$6</f>
        <v>5.427956425948592</v>
      </c>
      <c r="G9" s="17">
        <f>$G$5/(1-C9)</f>
        <v>9179.9265605875153</v>
      </c>
      <c r="J9">
        <f>AVERAGE(J7:J8)</f>
        <v>5.1925000000000008</v>
      </c>
      <c r="K9">
        <f>AVERAGE(K7:K8)</f>
        <v>5.2025000000000006</v>
      </c>
    </row>
    <row r="10" spans="1:11" x14ac:dyDescent="0.2">
      <c r="A10" s="10" t="s">
        <v>15</v>
      </c>
      <c r="B10" s="11">
        <f>0.0018+0.0022</f>
        <v>4.0000000000000001E-3</v>
      </c>
      <c r="C10" s="12">
        <v>2.2599999999999999E-2</v>
      </c>
      <c r="D10" s="1">
        <f>D$2/(1-$C10)+$B$10-D$2</f>
        <v>0.12631839574380965</v>
      </c>
      <c r="E10" s="31">
        <f>D10+$D$2</f>
        <v>5.4163183957438097</v>
      </c>
      <c r="F10" s="14">
        <f t="shared" si="0"/>
        <v>5.42381839574381</v>
      </c>
      <c r="G10" s="17">
        <f>$G$5/(1-C10)</f>
        <v>9208.1031307550638</v>
      </c>
    </row>
    <row r="11" spans="1:11" x14ac:dyDescent="0.2">
      <c r="A11" s="13" t="s">
        <v>18</v>
      </c>
      <c r="B11" s="11"/>
      <c r="C11" s="12"/>
      <c r="D11" s="1"/>
      <c r="E11" s="15"/>
      <c r="F11" s="14"/>
      <c r="G11" s="17"/>
    </row>
    <row r="12" spans="1:11" x14ac:dyDescent="0.2">
      <c r="A12" s="10" t="s">
        <v>11</v>
      </c>
      <c r="B12" s="11">
        <f>0.0022+0.0075+0.0045</f>
        <v>1.4200000000000001E-2</v>
      </c>
      <c r="C12" s="12">
        <v>3.2599999999999997E-2</v>
      </c>
      <c r="D12" s="1">
        <f>D$1/(1-$C12)+$B$12-D$1</f>
        <v>0.19516133967335048</v>
      </c>
      <c r="E12" s="15">
        <f>D12+$D$1</f>
        <v>5.5651613396733506</v>
      </c>
      <c r="F12" s="14"/>
      <c r="G12" s="17">
        <f>$G$5/(1-C12)</f>
        <v>9303.287161463717</v>
      </c>
    </row>
    <row r="13" spans="1:11" x14ac:dyDescent="0.2">
      <c r="A13" s="10" t="s">
        <v>10</v>
      </c>
      <c r="B13" s="11">
        <f>0.0037+0.0022+0.0075</f>
        <v>1.34E-2</v>
      </c>
      <c r="C13" s="12">
        <v>3.7999999999999999E-2</v>
      </c>
      <c r="D13" s="1">
        <f>D$3/(1-$C13)+$B$13-D$3</f>
        <v>0.22433555093555135</v>
      </c>
      <c r="E13" s="31">
        <f>D13+$D$3</f>
        <v>5.5643355509355512</v>
      </c>
      <c r="F13" s="14"/>
      <c r="G13" s="17">
        <f>$G$5/(1-C13)</f>
        <v>9355.5093555093554</v>
      </c>
      <c r="H13">
        <f>0.1325-0.255</f>
        <v>-0.1225</v>
      </c>
    </row>
    <row r="14" spans="1:11" x14ac:dyDescent="0.2">
      <c r="A14" s="10" t="s">
        <v>12</v>
      </c>
      <c r="B14" s="11">
        <f>0.0048+0.0022+0.0075</f>
        <v>1.4499999999999999E-2</v>
      </c>
      <c r="C14" s="12">
        <v>4.4600000000000001E-2</v>
      </c>
      <c r="D14" s="1">
        <f>D$2/(1-$C14)+$B$14-D$2</f>
        <v>0.26144787523550317</v>
      </c>
      <c r="E14" s="31">
        <f>D14+$D$2</f>
        <v>5.5514478752355032</v>
      </c>
      <c r="F14" s="14"/>
      <c r="G14" s="17">
        <f>$G$5/(1-C14)</f>
        <v>9420.1381620263764</v>
      </c>
      <c r="H14" s="14">
        <f>D14-0.16</f>
        <v>0.10144787523550317</v>
      </c>
    </row>
    <row r="15" spans="1:11" x14ac:dyDescent="0.2">
      <c r="A15" s="10" t="s">
        <v>8</v>
      </c>
      <c r="B15" s="11">
        <v>1.89E-2</v>
      </c>
      <c r="C15" s="12">
        <v>3.0300000000000001E-2</v>
      </c>
      <c r="D15" s="1">
        <f>D$1/(1-$C15)+$B$15-D$1</f>
        <v>0.18669519439001814</v>
      </c>
      <c r="E15" s="15">
        <f>D15+$D$1</f>
        <v>5.5566951943900182</v>
      </c>
      <c r="F15" s="14"/>
      <c r="G15" s="17">
        <f>$G$5/(1-C15)</f>
        <v>9281.2209961843873</v>
      </c>
    </row>
    <row r="16" spans="1:11" x14ac:dyDescent="0.2">
      <c r="A16" s="13" t="s">
        <v>21</v>
      </c>
      <c r="B16" s="11"/>
      <c r="C16" s="12"/>
      <c r="D16" s="1"/>
      <c r="E16" s="15"/>
      <c r="F16" s="14"/>
      <c r="G16" s="17"/>
    </row>
    <row r="17" spans="1:9" x14ac:dyDescent="0.2">
      <c r="A17" s="10" t="s">
        <v>19</v>
      </c>
      <c r="B17" s="11">
        <f>0.0006+0.0022</f>
        <v>2.8E-3</v>
      </c>
      <c r="C17" s="12">
        <v>1.0999999999999999E-2</v>
      </c>
      <c r="D17" s="1">
        <f>D$1/(1-$C17)+$B$17-D$1</f>
        <v>6.2526996966632886E-2</v>
      </c>
      <c r="E17" s="15">
        <f>D17+$D$1</f>
        <v>5.432526996966633</v>
      </c>
      <c r="F17" s="14">
        <f t="shared" si="0"/>
        <v>5.4400269969666333</v>
      </c>
      <c r="G17" s="17">
        <f>$G$5/(1-C17)</f>
        <v>9100.1011122345808</v>
      </c>
    </row>
    <row r="18" spans="1:9" x14ac:dyDescent="0.2">
      <c r="A18" s="10" t="s">
        <v>20</v>
      </c>
      <c r="B18" s="11">
        <f>0.0002+0.0022</f>
        <v>2.4000000000000002E-3</v>
      </c>
      <c r="C18" s="12">
        <v>1.6E-2</v>
      </c>
      <c r="D18" s="1">
        <f>D$3/(1-$C18)+$B$17-D$3</f>
        <v>8.9629268292682696E-2</v>
      </c>
      <c r="E18" s="15">
        <f>D18+$D$1</f>
        <v>5.4596292682926828</v>
      </c>
      <c r="F18" s="14">
        <f t="shared" si="0"/>
        <v>5.4671292682926831</v>
      </c>
      <c r="G18" s="17">
        <f>$G$5/(1-C18)</f>
        <v>9146.3414634146338</v>
      </c>
    </row>
    <row r="19" spans="1:9" x14ac:dyDescent="0.2">
      <c r="A19" s="10" t="s">
        <v>22</v>
      </c>
      <c r="B19" s="11">
        <f>0.0011+0.0022</f>
        <v>3.3E-3</v>
      </c>
      <c r="C19" s="12">
        <v>2.2599999999999999E-2</v>
      </c>
      <c r="D19" s="1">
        <f>D$2/(1-$C19)+$B$17-D$2</f>
        <v>0.12511839574380978</v>
      </c>
      <c r="E19" s="15">
        <f>D19+$D$1</f>
        <v>5.4951183957438099</v>
      </c>
      <c r="F19" s="14">
        <f t="shared" si="0"/>
        <v>5.5026183957438102</v>
      </c>
      <c r="G19" s="17">
        <f>$G$5/(1-C19)</f>
        <v>9208.1031307550638</v>
      </c>
    </row>
    <row r="20" spans="1:9" x14ac:dyDescent="0.2">
      <c r="A20" s="10"/>
      <c r="B20" s="11"/>
      <c r="C20" s="12"/>
      <c r="D20" s="1"/>
    </row>
    <row r="21" spans="1:9" x14ac:dyDescent="0.2">
      <c r="A21" s="10" t="s">
        <v>6</v>
      </c>
      <c r="B21" s="1">
        <v>1.18E-2</v>
      </c>
      <c r="C21" s="2">
        <v>1.8100000000000002E-2</v>
      </c>
      <c r="D21" s="1">
        <f>D$1/(1-$C21)+$B$21-D$1</f>
        <v>0.11078869538649538</v>
      </c>
    </row>
    <row r="22" spans="1:9" x14ac:dyDescent="0.2">
      <c r="A22" s="10" t="s">
        <v>7</v>
      </c>
      <c r="B22" s="11">
        <v>1.7299999999999999E-2</v>
      </c>
      <c r="C22" s="12">
        <v>3.1899999999999998E-2</v>
      </c>
      <c r="D22" s="1">
        <f>D$1/(1-$C22)+$B$22-D$1</f>
        <v>0.19424762937713069</v>
      </c>
    </row>
    <row r="23" spans="1:9" x14ac:dyDescent="0.2">
      <c r="A23" s="10" t="s">
        <v>9</v>
      </c>
      <c r="B23" s="11">
        <v>2.4299999999999999E-2</v>
      </c>
      <c r="C23" s="12">
        <v>4.5199999999999997E-2</v>
      </c>
      <c r="D23" s="1">
        <f>D$1/(1-$C23)+$B$23-D$1</f>
        <v>0.27851449518223781</v>
      </c>
    </row>
    <row r="24" spans="1:9" x14ac:dyDescent="0.2">
      <c r="A24" s="10" t="s">
        <v>13</v>
      </c>
      <c r="B24" s="11">
        <v>3.0300000000000001E-2</v>
      </c>
      <c r="C24" s="12">
        <v>6.2899999999999998E-2</v>
      </c>
      <c r="D24" s="1">
        <f>D$1/(1-$C24)+$B$24-D$1</f>
        <v>0.39074498986234119</v>
      </c>
      <c r="H24">
        <f>0.007*4.89+0.0009</f>
        <v>3.5129999999999995E-2</v>
      </c>
    </row>
    <row r="26" spans="1:9" x14ac:dyDescent="0.2">
      <c r="B26" t="s">
        <v>29</v>
      </c>
    </row>
    <row r="27" spans="1:9" x14ac:dyDescent="0.2">
      <c r="A27" t="s">
        <v>28</v>
      </c>
      <c r="B27">
        <v>4.0000000000000002E-4</v>
      </c>
      <c r="G27">
        <v>92000</v>
      </c>
      <c r="H27">
        <v>5.25</v>
      </c>
      <c r="I27">
        <f>G27*H27</f>
        <v>483000</v>
      </c>
    </row>
    <row r="28" spans="1:9" x14ac:dyDescent="0.2">
      <c r="G28">
        <v>35000</v>
      </c>
      <c r="H28">
        <v>5.266</v>
      </c>
      <c r="I28">
        <f>G28*H28</f>
        <v>184310</v>
      </c>
    </row>
    <row r="29" spans="1:9" x14ac:dyDescent="0.2">
      <c r="B29">
        <f>5.4*0.0086</f>
        <v>4.6440000000000002E-2</v>
      </c>
      <c r="E29">
        <f>0.86/100</f>
        <v>8.6E-3</v>
      </c>
      <c r="G29">
        <f>SUM(G27:G28)</f>
        <v>127000</v>
      </c>
      <c r="I29">
        <f>SUM(I27:I28)</f>
        <v>667310</v>
      </c>
    </row>
    <row r="30" spans="1:9" x14ac:dyDescent="0.2">
      <c r="B30">
        <v>1.5E-3</v>
      </c>
      <c r="H30">
        <f>I29/G29</f>
        <v>5.2544094488188975</v>
      </c>
    </row>
    <row r="31" spans="1:9" x14ac:dyDescent="0.2">
      <c r="B31">
        <f>SUM(B29:B30)</f>
        <v>4.7940000000000003E-2</v>
      </c>
    </row>
  </sheetData>
  <mergeCells count="1">
    <mergeCell ref="E4:F4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31"/>
  <sheetViews>
    <sheetView workbookViewId="0">
      <selection activeCell="A16" sqref="A16"/>
    </sheetView>
  </sheetViews>
  <sheetFormatPr defaultRowHeight="12.75" x14ac:dyDescent="0.2"/>
  <cols>
    <col min="1" max="1" width="35.42578125" bestFit="1" customWidth="1"/>
    <col min="4" max="4" width="10.42578125" customWidth="1"/>
    <col min="7" max="7" width="11.5703125" bestFit="1" customWidth="1"/>
  </cols>
  <sheetData>
    <row r="1" spans="1:11" x14ac:dyDescent="0.2">
      <c r="A1" s="22" t="s">
        <v>5</v>
      </c>
      <c r="B1" t="s">
        <v>30</v>
      </c>
      <c r="C1" s="23" t="s">
        <v>0</v>
      </c>
      <c r="D1" s="19">
        <v>6.36</v>
      </c>
      <c r="E1" s="20">
        <f>D1*0.017</f>
        <v>0.10812000000000001</v>
      </c>
      <c r="I1">
        <v>5</v>
      </c>
    </row>
    <row r="2" spans="1:11" x14ac:dyDescent="0.2">
      <c r="B2" s="24" t="s">
        <v>31</v>
      </c>
      <c r="D2" s="19">
        <v>6.32</v>
      </c>
      <c r="H2">
        <f>5-0.06</f>
        <v>4.9400000000000004</v>
      </c>
      <c r="I2">
        <f>0.11+0.0075</f>
        <v>0.11749999999999999</v>
      </c>
    </row>
    <row r="3" spans="1:11" x14ac:dyDescent="0.2">
      <c r="B3" t="s">
        <v>21</v>
      </c>
      <c r="D3" s="19">
        <v>6.36</v>
      </c>
      <c r="I3">
        <f>I1+I2</f>
        <v>5.1174999999999997</v>
      </c>
    </row>
    <row r="4" spans="1:11" ht="25.5" x14ac:dyDescent="0.2">
      <c r="A4" s="4">
        <f ca="1">NOW()</f>
        <v>41886.427826504631</v>
      </c>
      <c r="B4" s="25"/>
      <c r="C4" s="26"/>
      <c r="E4" s="32" t="s">
        <v>25</v>
      </c>
      <c r="F4" s="32"/>
      <c r="G4" s="16" t="s">
        <v>26</v>
      </c>
    </row>
    <row r="5" spans="1:11" ht="13.5" thickBot="1" x14ac:dyDescent="0.25">
      <c r="A5" s="6" t="s">
        <v>1</v>
      </c>
      <c r="B5" s="27" t="s">
        <v>2</v>
      </c>
      <c r="C5" s="28" t="s">
        <v>3</v>
      </c>
      <c r="D5" s="9" t="s">
        <v>23</v>
      </c>
      <c r="E5" s="9" t="s">
        <v>27</v>
      </c>
      <c r="F5" s="9" t="s">
        <v>24</v>
      </c>
      <c r="G5" s="29">
        <v>10000</v>
      </c>
    </row>
    <row r="6" spans="1:11" x14ac:dyDescent="0.2">
      <c r="A6" s="3" t="s">
        <v>4</v>
      </c>
      <c r="C6" s="26"/>
      <c r="F6">
        <v>7.4999999999999997E-3</v>
      </c>
    </row>
    <row r="7" spans="1:11" x14ac:dyDescent="0.2">
      <c r="A7" s="3" t="s">
        <v>17</v>
      </c>
      <c r="B7" s="25"/>
      <c r="C7" s="22"/>
      <c r="J7">
        <v>5.1100000000000003</v>
      </c>
      <c r="K7">
        <v>5.1950000000000003</v>
      </c>
    </row>
    <row r="8" spans="1:11" x14ac:dyDescent="0.2">
      <c r="A8" s="10" t="s">
        <v>16</v>
      </c>
      <c r="B8" s="11">
        <f>0.0003+0.0022</f>
        <v>2.5000000000000001E-3</v>
      </c>
      <c r="C8" s="12">
        <v>1.0999999999999999E-2</v>
      </c>
      <c r="D8" s="25">
        <f>D$1/(1-$C8)+$B$8-D$1</f>
        <v>7.3238119312437178E-2</v>
      </c>
      <c r="E8" s="15">
        <f>D8+$D$1</f>
        <v>6.4332381193124375</v>
      </c>
      <c r="F8" s="14">
        <f>E8+$F$6</f>
        <v>6.4407381193124378</v>
      </c>
      <c r="G8" s="30">
        <f>$G$5/(1-C8)</f>
        <v>10111.223458038423</v>
      </c>
      <c r="J8">
        <v>5.2750000000000004</v>
      </c>
      <c r="K8">
        <v>5.21</v>
      </c>
    </row>
    <row r="9" spans="1:11" x14ac:dyDescent="0.2">
      <c r="A9" s="10" t="s">
        <v>14</v>
      </c>
      <c r="B9" s="11">
        <f>0.0015+0.0022</f>
        <v>3.7000000000000002E-3</v>
      </c>
      <c r="C9" s="12">
        <v>1.9599999999999999E-2</v>
      </c>
      <c r="D9" s="25">
        <f>D$3/(1-$C9)+$B$9-D$1</f>
        <v>0.13084810281517711</v>
      </c>
      <c r="E9" s="31">
        <f>D9+$D$3</f>
        <v>6.4908481028151774</v>
      </c>
      <c r="F9" s="14">
        <f>E9+$F$6</f>
        <v>6.4983481028151777</v>
      </c>
      <c r="G9" s="30">
        <f>$G$5/(1-C9)</f>
        <v>10199.918400652794</v>
      </c>
      <c r="J9">
        <f>AVERAGE(J7:J8)</f>
        <v>5.1925000000000008</v>
      </c>
      <c r="K9">
        <f>AVERAGE(K7:K8)</f>
        <v>5.2025000000000006</v>
      </c>
    </row>
    <row r="10" spans="1:11" x14ac:dyDescent="0.2">
      <c r="A10" s="10" t="s">
        <v>15</v>
      </c>
      <c r="B10" s="11">
        <f>0.0018+0.0022</f>
        <v>4.0000000000000001E-3</v>
      </c>
      <c r="C10" s="12">
        <v>2.2599999999999999E-2</v>
      </c>
      <c r="D10" s="25">
        <f>D$2/(1-$C10)+$B$10-D$2</f>
        <v>0.15013464293022238</v>
      </c>
      <c r="E10" s="31">
        <f>D10+$D$2</f>
        <v>6.4701346429302227</v>
      </c>
      <c r="F10" s="14">
        <f>E10+$F$6</f>
        <v>6.477634642930223</v>
      </c>
      <c r="G10" s="30">
        <f>$G$5/(1-C10)</f>
        <v>10231.225700838961</v>
      </c>
    </row>
    <row r="11" spans="1:11" x14ac:dyDescent="0.2">
      <c r="A11" s="13" t="s">
        <v>18</v>
      </c>
      <c r="B11" s="11"/>
      <c r="C11" s="12"/>
      <c r="D11" s="25"/>
      <c r="E11" s="15"/>
      <c r="F11" s="14"/>
      <c r="G11" s="30"/>
    </row>
    <row r="12" spans="1:11" x14ac:dyDescent="0.2">
      <c r="A12" s="10" t="s">
        <v>11</v>
      </c>
      <c r="B12" s="11">
        <f>0.0022+0.0075+0.0193</f>
        <v>2.9000000000000001E-2</v>
      </c>
      <c r="C12" s="12">
        <v>3.2599999999999997E-2</v>
      </c>
      <c r="D12" s="25">
        <f>D$1/(1-$C12)+$B$12-D$1</f>
        <v>0.24332292743435957</v>
      </c>
      <c r="E12" s="15">
        <f>D12+$D$1</f>
        <v>6.6033229274343599</v>
      </c>
      <c r="F12" s="14"/>
      <c r="G12" s="30">
        <f>$G$5/(1-C12)</f>
        <v>10336.985734959686</v>
      </c>
    </row>
    <row r="13" spans="1:11" x14ac:dyDescent="0.2">
      <c r="A13" s="10" t="s">
        <v>10</v>
      </c>
      <c r="B13" s="11">
        <f>0.0159+0.0022+0.0075</f>
        <v>2.5600000000000001E-2</v>
      </c>
      <c r="C13" s="12">
        <v>3.7999999999999999E-2</v>
      </c>
      <c r="D13" s="25">
        <f>D$3/(1-$C13)+$B$13-D$3</f>
        <v>0.27682661122661134</v>
      </c>
      <c r="E13" s="31">
        <f>D13+$D$3</f>
        <v>6.6368266112266117</v>
      </c>
      <c r="F13" s="14"/>
      <c r="G13" s="30">
        <f>$G$5/(1-C13)</f>
        <v>10395.010395010395</v>
      </c>
    </row>
    <row r="14" spans="1:11" x14ac:dyDescent="0.2">
      <c r="A14" s="10" t="s">
        <v>12</v>
      </c>
      <c r="B14" s="11">
        <f>0.0201+0.0022+0.0075</f>
        <v>2.98E-2</v>
      </c>
      <c r="C14" s="12">
        <v>4.4600000000000001E-2</v>
      </c>
      <c r="D14" s="25">
        <f>D$2/(1-$C14)+$B$14-D$2</f>
        <v>0.32483035377852154</v>
      </c>
      <c r="E14" s="31">
        <f>D14+$D$2</f>
        <v>6.6448303537785218</v>
      </c>
      <c r="F14" s="14"/>
      <c r="G14" s="30">
        <f>$G$5/(1-C14)</f>
        <v>10466.820180029306</v>
      </c>
      <c r="H14" s="31">
        <f>D14-0.13</f>
        <v>0.19483035377852154</v>
      </c>
    </row>
    <row r="15" spans="1:11" x14ac:dyDescent="0.2">
      <c r="A15" s="10" t="s">
        <v>8</v>
      </c>
      <c r="B15" s="11">
        <f>0.0092+0.0075+0.0022</f>
        <v>1.89E-2</v>
      </c>
      <c r="C15" s="12">
        <v>3.0300000000000001E-2</v>
      </c>
      <c r="D15" s="25">
        <f>D$1/(1-$C15)+$B$15-D$1</f>
        <v>0.21762950397030068</v>
      </c>
      <c r="E15" s="15">
        <f>D15+$D$1</f>
        <v>6.577629503970301</v>
      </c>
      <c r="F15" s="14"/>
      <c r="G15" s="30">
        <f>$G$5/(1-C15)</f>
        <v>10312.467773538208</v>
      </c>
    </row>
    <row r="16" spans="1:11" x14ac:dyDescent="0.2">
      <c r="A16" s="13" t="s">
        <v>21</v>
      </c>
      <c r="B16" s="11"/>
      <c r="C16" s="12"/>
      <c r="D16" s="25"/>
      <c r="E16" s="15"/>
      <c r="F16" s="14"/>
      <c r="G16" s="30"/>
    </row>
    <row r="17" spans="1:9" x14ac:dyDescent="0.2">
      <c r="A17" s="10" t="s">
        <v>19</v>
      </c>
      <c r="B17" s="11">
        <f>0.0006+0.0022</f>
        <v>2.8E-3</v>
      </c>
      <c r="C17" s="12">
        <v>1.0999999999999999E-2</v>
      </c>
      <c r="D17" s="25">
        <f>D$1/(1-$C17)+$B$17-D$1</f>
        <v>7.3538119312436478E-2</v>
      </c>
      <c r="E17" s="15">
        <f>D17+$D$1</f>
        <v>6.4335381193124368</v>
      </c>
      <c r="F17" s="14">
        <f>E17+$F$6</f>
        <v>6.4410381193124371</v>
      </c>
      <c r="G17" s="30">
        <f>$G$5/(1-C17)</f>
        <v>10111.223458038423</v>
      </c>
    </row>
    <row r="18" spans="1:9" x14ac:dyDescent="0.2">
      <c r="A18" s="10" t="s">
        <v>20</v>
      </c>
      <c r="B18" s="11">
        <f>0.0002+0.0022</f>
        <v>2.4000000000000002E-3</v>
      </c>
      <c r="C18" s="12">
        <v>1.6E-2</v>
      </c>
      <c r="D18" s="25">
        <f>D$3/(1-$C18)+$B$17-D$3</f>
        <v>0.10621463414634125</v>
      </c>
      <c r="E18" s="31">
        <f>D18+$D$3</f>
        <v>6.4662146341463416</v>
      </c>
      <c r="F18" s="14">
        <f>E18+$F$6</f>
        <v>6.4737146341463419</v>
      </c>
      <c r="G18" s="30">
        <f>$G$5/(1-C18)</f>
        <v>10162.60162601626</v>
      </c>
    </row>
    <row r="19" spans="1:9" x14ac:dyDescent="0.2">
      <c r="A19" s="10" t="s">
        <v>22</v>
      </c>
      <c r="B19" s="11">
        <f>0.0011+0.0022</f>
        <v>3.3E-3</v>
      </c>
      <c r="C19" s="12">
        <v>2.2599999999999999E-2</v>
      </c>
      <c r="D19" s="25">
        <f>D$2/(1-$C19)+$B$17-D$2</f>
        <v>0.14893464293022252</v>
      </c>
      <c r="E19" s="31">
        <f>D19+$D$2</f>
        <v>6.4689346429302228</v>
      </c>
      <c r="F19" s="14">
        <f>E19+$F$6</f>
        <v>6.4764346429302231</v>
      </c>
      <c r="G19" s="30">
        <f>$G$5/(1-C19)</f>
        <v>10231.225700838961</v>
      </c>
    </row>
    <row r="20" spans="1:9" x14ac:dyDescent="0.2">
      <c r="A20" s="10"/>
      <c r="B20" s="11"/>
      <c r="C20" s="12"/>
      <c r="D20" s="25"/>
    </row>
    <row r="21" spans="1:9" x14ac:dyDescent="0.2">
      <c r="A21" s="10" t="s">
        <v>6</v>
      </c>
      <c r="B21" s="25">
        <f>0.0021+0.0075+0.0022</f>
        <v>1.18E-2</v>
      </c>
      <c r="C21" s="26">
        <v>1.8100000000000002E-2</v>
      </c>
      <c r="D21" s="25">
        <f>D$1/(1-$C21)+$B$21-D$1</f>
        <v>0.12903800794378295</v>
      </c>
    </row>
    <row r="22" spans="1:9" x14ac:dyDescent="0.2">
      <c r="A22" s="10" t="s">
        <v>7</v>
      </c>
      <c r="B22" s="11">
        <v>1.7299999999999999E-2</v>
      </c>
      <c r="C22" s="12">
        <v>3.1899999999999998E-2</v>
      </c>
      <c r="D22" s="25">
        <f>D$1/(1-$C22)+$B$22-D$1</f>
        <v>0.22686925937403135</v>
      </c>
    </row>
    <row r="23" spans="1:9" x14ac:dyDescent="0.2">
      <c r="A23" s="10" t="s">
        <v>9</v>
      </c>
      <c r="B23" s="11">
        <v>2.4299999999999999E-2</v>
      </c>
      <c r="C23" s="12">
        <v>4.5199999999999997E-2</v>
      </c>
      <c r="D23" s="25">
        <f>D$1/(1-$C23)+$B$23-D$1</f>
        <v>0.32538085462924204</v>
      </c>
    </row>
    <row r="24" spans="1:9" x14ac:dyDescent="0.2">
      <c r="A24" s="10" t="s">
        <v>13</v>
      </c>
      <c r="B24" s="11">
        <v>3.0300000000000001E-2</v>
      </c>
      <c r="C24" s="12">
        <v>6.2899999999999998E-2</v>
      </c>
      <c r="D24" s="25">
        <f>D$1/(1-$C24)+$B$24-D$1</f>
        <v>0.45719574218333126</v>
      </c>
      <c r="H24">
        <f>0.007*4.89+0.0009</f>
        <v>3.5129999999999995E-2</v>
      </c>
    </row>
    <row r="26" spans="1:9" x14ac:dyDescent="0.2">
      <c r="B26" t="s">
        <v>29</v>
      </c>
    </row>
    <row r="27" spans="1:9" x14ac:dyDescent="0.2">
      <c r="A27" t="s">
        <v>28</v>
      </c>
      <c r="B27">
        <v>4.0000000000000002E-4</v>
      </c>
      <c r="G27">
        <v>92000</v>
      </c>
      <c r="H27">
        <v>5.25</v>
      </c>
      <c r="I27">
        <f>G27*H27</f>
        <v>483000</v>
      </c>
    </row>
    <row r="28" spans="1:9" x14ac:dyDescent="0.2">
      <c r="G28">
        <v>35000</v>
      </c>
      <c r="H28">
        <v>5.266</v>
      </c>
      <c r="I28">
        <f>G28*H28</f>
        <v>184310</v>
      </c>
    </row>
    <row r="29" spans="1:9" x14ac:dyDescent="0.2">
      <c r="B29">
        <f>5.4*0.0086</f>
        <v>4.6440000000000002E-2</v>
      </c>
      <c r="E29">
        <f>0.86/100</f>
        <v>8.6E-3</v>
      </c>
      <c r="G29">
        <f>SUM(G27:G28)</f>
        <v>127000</v>
      </c>
      <c r="I29">
        <f>SUM(I27:I28)</f>
        <v>667310</v>
      </c>
    </row>
    <row r="30" spans="1:9" x14ac:dyDescent="0.2">
      <c r="B30">
        <v>1.5E-3</v>
      </c>
      <c r="H30">
        <f>I29/G29</f>
        <v>5.2544094488188975</v>
      </c>
    </row>
    <row r="31" spans="1:9" x14ac:dyDescent="0.2">
      <c r="B31">
        <f>SUM(B29:B30)</f>
        <v>4.7940000000000003E-2</v>
      </c>
    </row>
  </sheetData>
  <mergeCells count="1">
    <mergeCell ref="E4:F4"/>
  </mergeCells>
  <pageMargins left="0.75" right="0.75" top="1" bottom="1" header="0.5" footer="0.5"/>
  <pageSetup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32"/>
  <sheetViews>
    <sheetView workbookViewId="0">
      <selection activeCell="C16" sqref="C16"/>
    </sheetView>
  </sheetViews>
  <sheetFormatPr defaultRowHeight="12.75" x14ac:dyDescent="0.2"/>
  <cols>
    <col min="1" max="1" width="35.42578125" customWidth="1"/>
    <col min="4" max="4" width="10.42578125" customWidth="1"/>
    <col min="7" max="7" width="11.5703125" customWidth="1"/>
  </cols>
  <sheetData>
    <row r="1" spans="1:11" x14ac:dyDescent="0.2">
      <c r="A1" s="22" t="s">
        <v>5</v>
      </c>
      <c r="B1" t="s">
        <v>32</v>
      </c>
      <c r="C1" s="23" t="s">
        <v>0</v>
      </c>
      <c r="D1" s="19">
        <v>6.36</v>
      </c>
      <c r="E1" s="20"/>
      <c r="I1">
        <v>5</v>
      </c>
    </row>
    <row r="2" spans="1:11" x14ac:dyDescent="0.2">
      <c r="B2" s="24" t="s">
        <v>33</v>
      </c>
      <c r="D2" s="19">
        <v>6.32</v>
      </c>
      <c r="H2">
        <f>5-0.06</f>
        <v>4.9400000000000004</v>
      </c>
      <c r="I2">
        <f>0.11+0.0075</f>
        <v>0.11749999999999999</v>
      </c>
    </row>
    <row r="3" spans="1:11" x14ac:dyDescent="0.2">
      <c r="B3" t="s">
        <v>34</v>
      </c>
      <c r="D3" s="19">
        <v>6.36</v>
      </c>
      <c r="I3">
        <f>I1+I2</f>
        <v>5.1174999999999997</v>
      </c>
    </row>
    <row r="4" spans="1:11" ht="25.5" x14ac:dyDescent="0.2">
      <c r="A4" s="4">
        <f ca="1">NOW()</f>
        <v>41886.427826504631</v>
      </c>
      <c r="B4" s="25"/>
      <c r="C4" s="26"/>
      <c r="E4" s="32" t="s">
        <v>25</v>
      </c>
      <c r="F4" s="32"/>
      <c r="G4" s="16" t="s">
        <v>26</v>
      </c>
    </row>
    <row r="5" spans="1:11" ht="13.5" thickBot="1" x14ac:dyDescent="0.25">
      <c r="A5" s="6" t="s">
        <v>1</v>
      </c>
      <c r="B5" s="27" t="s">
        <v>2</v>
      </c>
      <c r="C5" s="28" t="s">
        <v>3</v>
      </c>
      <c r="D5" s="9" t="s">
        <v>23</v>
      </c>
      <c r="E5" s="9" t="s">
        <v>27</v>
      </c>
      <c r="F5" s="9" t="s">
        <v>24</v>
      </c>
      <c r="G5" s="29">
        <v>10000</v>
      </c>
    </row>
    <row r="6" spans="1:11" x14ac:dyDescent="0.2">
      <c r="A6" s="3" t="s">
        <v>35</v>
      </c>
      <c r="C6" s="26"/>
      <c r="F6">
        <v>7.1999999999999998E-3</v>
      </c>
    </row>
    <row r="7" spans="1:11" x14ac:dyDescent="0.2">
      <c r="A7" s="3" t="s">
        <v>36</v>
      </c>
      <c r="B7" s="25"/>
      <c r="C7" s="22"/>
      <c r="J7">
        <v>5.1100000000000003</v>
      </c>
      <c r="K7">
        <v>5.1950000000000003</v>
      </c>
    </row>
    <row r="8" spans="1:11" x14ac:dyDescent="0.2">
      <c r="A8" s="10" t="s">
        <v>37</v>
      </c>
      <c r="B8" s="11">
        <f>0.0037+0.0022</f>
        <v>5.9000000000000007E-3</v>
      </c>
      <c r="C8" s="12">
        <v>1.4500000000000001E-2</v>
      </c>
      <c r="D8" s="25">
        <f>D$1/(1-$C8)+$B$8-D$1</f>
        <v>9.947686453576754E-2</v>
      </c>
      <c r="E8" s="15">
        <f>D8+$D$1</f>
        <v>6.4594768645357679</v>
      </c>
      <c r="F8" s="14">
        <f>E8+$F$6</f>
        <v>6.466676864535768</v>
      </c>
      <c r="G8" s="30">
        <f>$G$5/(1-C8)</f>
        <v>10147.133434804668</v>
      </c>
      <c r="J8">
        <v>5.2750000000000004</v>
      </c>
      <c r="K8">
        <v>5.21</v>
      </c>
    </row>
    <row r="9" spans="1:11" x14ac:dyDescent="0.2">
      <c r="A9" s="10" t="s">
        <v>38</v>
      </c>
      <c r="B9" s="11">
        <f>0.0096+0.0022</f>
        <v>1.18E-2</v>
      </c>
      <c r="C9" s="12">
        <v>2.3900000000000001E-2</v>
      </c>
      <c r="D9" s="25">
        <f>D$3/(1-$C9)+$B$9-D$1</f>
        <v>0.16752584776150048</v>
      </c>
      <c r="E9" s="31">
        <f>D9+$D$3</f>
        <v>6.5275258477615008</v>
      </c>
      <c r="F9" s="14">
        <f>E9+$F$6</f>
        <v>6.5347258477615009</v>
      </c>
      <c r="G9" s="30">
        <f>$G$5/(1-C9)</f>
        <v>10244.851961889151</v>
      </c>
      <c r="J9">
        <f>AVERAGE(J7:J8)</f>
        <v>5.1925000000000008</v>
      </c>
      <c r="K9">
        <f>AVERAGE(K7:K8)</f>
        <v>5.2025000000000006</v>
      </c>
    </row>
    <row r="10" spans="1:11" x14ac:dyDescent="0.2">
      <c r="A10" s="10" t="s">
        <v>39</v>
      </c>
      <c r="B10" s="11">
        <f>0.0152+0.0022</f>
        <v>1.7399999999999999E-2</v>
      </c>
      <c r="C10" s="12">
        <v>2.9399999999999999E-2</v>
      </c>
      <c r="D10" s="25">
        <f>D$2/(1-$C10)+$B$10-D$2</f>
        <v>0.20883622501545496</v>
      </c>
      <c r="E10" s="31">
        <f>D10+$D$2</f>
        <v>6.5288362250154552</v>
      </c>
      <c r="F10" s="14">
        <f>E10+$F$6</f>
        <v>6.5360362250154553</v>
      </c>
      <c r="G10" s="30">
        <f>$G$5/(1-C10)</f>
        <v>10302.90541932825</v>
      </c>
    </row>
    <row r="11" spans="1:11" x14ac:dyDescent="0.2">
      <c r="A11" s="10" t="s">
        <v>40</v>
      </c>
      <c r="B11" s="11">
        <f>0.017+0.0022</f>
        <v>1.9200000000000002E-2</v>
      </c>
      <c r="C11" s="12">
        <v>3.2300000000000002E-2</v>
      </c>
      <c r="D11" s="25">
        <f>D$2/(1-$C11)+$B$10-D$2</f>
        <v>0.22834967448589438</v>
      </c>
      <c r="E11" s="31">
        <f>D11+$D$2</f>
        <v>6.5483496744858947</v>
      </c>
      <c r="F11" s="14">
        <f>E11+$F$6</f>
        <v>6.5555496744858948</v>
      </c>
      <c r="G11" s="30">
        <f>$G$5/(1-C11)</f>
        <v>10333.781130515656</v>
      </c>
    </row>
    <row r="12" spans="1:11" x14ac:dyDescent="0.2">
      <c r="A12" s="13"/>
      <c r="B12" s="11"/>
      <c r="C12" s="12"/>
      <c r="D12" s="25"/>
      <c r="E12" s="15"/>
      <c r="F12" s="14"/>
      <c r="G12" s="30"/>
    </row>
    <row r="13" spans="1:11" x14ac:dyDescent="0.2">
      <c r="A13" s="10" t="s">
        <v>41</v>
      </c>
      <c r="B13" s="11">
        <f>0.0022+0.0059</f>
        <v>8.0999999999999996E-3</v>
      </c>
      <c r="C13" s="12">
        <v>1.155E-2</v>
      </c>
      <c r="D13" s="25">
        <f>D$1/(1-$C13)+$B$13-D$1</f>
        <v>8.2416353887398763E-2</v>
      </c>
      <c r="E13" s="15">
        <f>D13+$D$1</f>
        <v>6.4424163538873991</v>
      </c>
      <c r="F13" s="14">
        <f>E13+$F$6</f>
        <v>6.4496163538873992</v>
      </c>
      <c r="G13" s="30">
        <f>$G$5/(1-C13)</f>
        <v>10116.849613030501</v>
      </c>
    </row>
    <row r="14" spans="1:11" x14ac:dyDescent="0.2">
      <c r="A14" s="10" t="s">
        <v>42</v>
      </c>
      <c r="B14" s="11">
        <f>0.0115+0.0022</f>
        <v>1.37E-2</v>
      </c>
      <c r="C14" s="12">
        <v>2.1000000000000001E-2</v>
      </c>
      <c r="D14" s="25">
        <f>D$3/(1-$C14)+$B$14-D$3</f>
        <v>0.15012492339121586</v>
      </c>
      <c r="E14" s="31">
        <f>D14+$D$3</f>
        <v>6.5101249233912162</v>
      </c>
      <c r="F14" s="14">
        <f>E14+$F$6</f>
        <v>6.5173249233912163</v>
      </c>
      <c r="G14" s="30">
        <f>$G$5/(1-C14)</f>
        <v>10214.504596527069</v>
      </c>
    </row>
    <row r="15" spans="1:11" x14ac:dyDescent="0.2">
      <c r="A15" s="10" t="s">
        <v>43</v>
      </c>
      <c r="B15" s="11">
        <f>0.0133+0.0022</f>
        <v>1.55E-2</v>
      </c>
      <c r="C15" s="12">
        <v>2.3900000000000001E-2</v>
      </c>
      <c r="D15" s="25">
        <f>D$2/(1-$C15)+$B$15-D$2</f>
        <v>0.17024643991394406</v>
      </c>
      <c r="E15" s="31">
        <f>D15+$D$2</f>
        <v>6.4902464399139443</v>
      </c>
      <c r="F15" s="14">
        <f>E15+$F$6</f>
        <v>6.4974464399139444</v>
      </c>
      <c r="G15" s="30">
        <f>$G$5/(1-C15)</f>
        <v>10244.851961889151</v>
      </c>
      <c r="H15" s="31">
        <f>D15-0.13</f>
        <v>4.0246439913944054E-2</v>
      </c>
    </row>
    <row r="16" spans="1:11" x14ac:dyDescent="0.2">
      <c r="A16" s="10" t="s">
        <v>8</v>
      </c>
      <c r="B16" s="11">
        <f>0.0092+0.0022</f>
        <v>1.14E-2</v>
      </c>
      <c r="C16" s="12">
        <v>3.0300000000000001E-2</v>
      </c>
      <c r="D16" s="25">
        <f>D$1/(1-$C16)+$B$16-D$1</f>
        <v>0.21012950397030039</v>
      </c>
      <c r="E16" s="15">
        <f>D16+$D$1</f>
        <v>6.5701295039703007</v>
      </c>
      <c r="F16" s="14">
        <f>E16+$F$6</f>
        <v>6.5773295039703008</v>
      </c>
      <c r="G16" s="30">
        <f>$G$5/(1-C16)</f>
        <v>10312.467773538208</v>
      </c>
    </row>
    <row r="17" spans="1:9" x14ac:dyDescent="0.2">
      <c r="A17" s="13" t="s">
        <v>21</v>
      </c>
      <c r="B17" s="11"/>
      <c r="C17" s="12"/>
      <c r="D17" s="25"/>
      <c r="E17" s="15"/>
      <c r="F17" s="14"/>
      <c r="G17" s="30"/>
    </row>
    <row r="18" spans="1:9" x14ac:dyDescent="0.2">
      <c r="A18" s="10" t="s">
        <v>19</v>
      </c>
      <c r="B18" s="11">
        <f>0.0006+0.0022</f>
        <v>2.8E-3</v>
      </c>
      <c r="C18" s="12">
        <v>1.0999999999999999E-2</v>
      </c>
      <c r="D18" s="25">
        <f>D$1/(1-$C18)+$B$18-D$1</f>
        <v>7.3538119312436478E-2</v>
      </c>
      <c r="E18" s="15">
        <f>D18+$D$1</f>
        <v>6.4335381193124368</v>
      </c>
      <c r="F18" s="14">
        <f>E18+$F$6</f>
        <v>6.4407381193124369</v>
      </c>
      <c r="G18" s="30">
        <f>$G$5/(1-C18)</f>
        <v>10111.223458038423</v>
      </c>
    </row>
    <row r="19" spans="1:9" x14ac:dyDescent="0.2">
      <c r="A19" s="10" t="s">
        <v>20</v>
      </c>
      <c r="B19" s="11">
        <f>0.0002+0.0022</f>
        <v>2.4000000000000002E-3</v>
      </c>
      <c r="C19" s="12">
        <v>1.6E-2</v>
      </c>
      <c r="D19" s="25">
        <f>D$3/(1-$C19)+$B$18-D$3</f>
        <v>0.10621463414634125</v>
      </c>
      <c r="E19" s="31">
        <f>D19+$D$3</f>
        <v>6.4662146341463416</v>
      </c>
      <c r="F19" s="14">
        <f>E19+$F$6</f>
        <v>6.4734146341463417</v>
      </c>
      <c r="G19" s="30">
        <f>$G$5/(1-C19)</f>
        <v>10162.60162601626</v>
      </c>
    </row>
    <row r="20" spans="1:9" x14ac:dyDescent="0.2">
      <c r="A20" s="10" t="s">
        <v>22</v>
      </c>
      <c r="B20" s="11">
        <f>0.0011+0.0022</f>
        <v>3.3E-3</v>
      </c>
      <c r="C20" s="12">
        <v>2.2599999999999999E-2</v>
      </c>
      <c r="D20" s="25">
        <f>D$2/(1-$C20)+$B$18-D$2</f>
        <v>0.14893464293022252</v>
      </c>
      <c r="E20" s="31">
        <f>D20+$D$2</f>
        <v>6.4689346429302228</v>
      </c>
      <c r="F20" s="14">
        <f>E20+$F$6</f>
        <v>6.4761346429302229</v>
      </c>
      <c r="G20" s="30">
        <f>$G$5/(1-C20)</f>
        <v>10231.225700838961</v>
      </c>
    </row>
    <row r="21" spans="1:9" x14ac:dyDescent="0.2">
      <c r="A21" s="10"/>
      <c r="B21" s="11"/>
      <c r="C21" s="12"/>
      <c r="D21" s="25"/>
    </row>
    <row r="22" spans="1:9" x14ac:dyDescent="0.2">
      <c r="A22" s="10" t="s">
        <v>6</v>
      </c>
      <c r="B22" s="25">
        <f>0.0021+0.0075+0.0022</f>
        <v>1.18E-2</v>
      </c>
      <c r="C22" s="26">
        <v>1.8100000000000002E-2</v>
      </c>
      <c r="D22" s="25">
        <f>D$1/(1-$C22)+$B$22-D$1</f>
        <v>0.12903800794378295</v>
      </c>
    </row>
    <row r="23" spans="1:9" x14ac:dyDescent="0.2">
      <c r="A23" s="10" t="s">
        <v>7</v>
      </c>
      <c r="B23" s="11">
        <v>1.7299999999999999E-2</v>
      </c>
      <c r="C23" s="12">
        <v>3.1899999999999998E-2</v>
      </c>
      <c r="D23" s="25">
        <f>D$1/(1-$C23)+$B$23-D$1</f>
        <v>0.22686925937403135</v>
      </c>
    </row>
    <row r="24" spans="1:9" x14ac:dyDescent="0.2">
      <c r="A24" s="10" t="s">
        <v>9</v>
      </c>
      <c r="B24" s="11">
        <v>2.4299999999999999E-2</v>
      </c>
      <c r="C24" s="12">
        <v>4.5199999999999997E-2</v>
      </c>
      <c r="D24" s="25">
        <f>D$1/(1-$C24)+$B$24-D$1</f>
        <v>0.32538085462924204</v>
      </c>
    </row>
    <row r="25" spans="1:9" x14ac:dyDescent="0.2">
      <c r="A25" s="10" t="s">
        <v>13</v>
      </c>
      <c r="B25" s="11">
        <v>3.0300000000000001E-2</v>
      </c>
      <c r="C25" s="12">
        <v>6.2899999999999998E-2</v>
      </c>
      <c r="D25" s="25">
        <f>D$1/(1-$C25)+$B$25-D$1</f>
        <v>0.45719574218333126</v>
      </c>
      <c r="H25">
        <f>0.007*4.89+0.0009</f>
        <v>3.5129999999999995E-2</v>
      </c>
    </row>
    <row r="27" spans="1:9" x14ac:dyDescent="0.2">
      <c r="B27" t="s">
        <v>29</v>
      </c>
    </row>
    <row r="28" spans="1:9" x14ac:dyDescent="0.2">
      <c r="A28" t="s">
        <v>28</v>
      </c>
      <c r="B28">
        <v>4.0000000000000002E-4</v>
      </c>
      <c r="G28">
        <v>92000</v>
      </c>
      <c r="H28">
        <v>5.25</v>
      </c>
      <c r="I28">
        <f>G28*H28</f>
        <v>483000</v>
      </c>
    </row>
    <row r="29" spans="1:9" x14ac:dyDescent="0.2">
      <c r="G29">
        <v>35000</v>
      </c>
      <c r="H29">
        <v>5.266</v>
      </c>
      <c r="I29">
        <f>G29*H29</f>
        <v>184310</v>
      </c>
    </row>
    <row r="30" spans="1:9" x14ac:dyDescent="0.2">
      <c r="B30">
        <f>5.4*0.0086</f>
        <v>4.6440000000000002E-2</v>
      </c>
      <c r="E30">
        <f>0.86/100</f>
        <v>8.6E-3</v>
      </c>
      <c r="G30">
        <f>SUM(G28:G29)</f>
        <v>127000</v>
      </c>
      <c r="I30">
        <f>SUM(I28:I29)</f>
        <v>667310</v>
      </c>
    </row>
    <row r="31" spans="1:9" x14ac:dyDescent="0.2">
      <c r="B31">
        <v>1.5E-3</v>
      </c>
      <c r="H31">
        <f>I30/G30</f>
        <v>5.2544094488188975</v>
      </c>
    </row>
    <row r="32" spans="1:9" x14ac:dyDescent="0.2">
      <c r="B32">
        <f>SUM(B30:B31)</f>
        <v>4.7940000000000003E-2</v>
      </c>
    </row>
  </sheetData>
  <mergeCells count="1">
    <mergeCell ref="E4:F4"/>
  </mergeCells>
  <pageMargins left="0.75" right="0.75" top="1" bottom="1" header="0.5" footer="0.5"/>
  <pageSetup orientation="portrait" horizont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NGPL_OFF</vt:lpstr>
      <vt:lpstr>NGPL_PEAK</vt:lpstr>
      <vt:lpstr>trunk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Parks</dc:creator>
  <cp:lastModifiedBy>Felienne</cp:lastModifiedBy>
  <dcterms:created xsi:type="dcterms:W3CDTF">2000-07-28T20:43:38Z</dcterms:created>
  <dcterms:modified xsi:type="dcterms:W3CDTF">2014-09-04T08:16:04Z</dcterms:modified>
</cp:coreProperties>
</file>