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45" windowWidth="15045" windowHeight="9015" tabRatio="610"/>
  </bookViews>
  <sheets>
    <sheet name="Sithe sept" sheetId="4" r:id="rId1"/>
    <sheet name="Central sept" sheetId="5" r:id="rId2"/>
    <sheet name="calcuations" sheetId="2" r:id="rId3"/>
    <sheet name="May rates" sheetId="3" r:id="rId4"/>
    <sheet name="June rates" sheetId="6" r:id="rId5"/>
    <sheet name="July rates" sheetId="7" r:id="rId6"/>
  </sheets>
  <definedNames>
    <definedName name="_xlnm._FilterDatabase" localSheetId="0" hidden="1">'Sithe sept'!$A$1:$CA$10</definedName>
    <definedName name="Balance" localSheetId="0">'Sithe sept'!#REF!</definedName>
    <definedName name="Balance">#REF!</definedName>
    <definedName name="DAWNKIRK" localSheetId="1">'Central sept'!$J$49</definedName>
    <definedName name="DAWNKIRK" localSheetId="0">'Sithe sept'!$E$48</definedName>
    <definedName name="DAWNKIRK">#REF!</definedName>
    <definedName name="empplant" localSheetId="1">'Central sept'!$J$51</definedName>
    <definedName name="empplant" localSheetId="0">'Sithe sept'!$E$50</definedName>
    <definedName name="empplant">#REF!</definedName>
    <definedName name="FARSTCL" localSheetId="1">'Central sept'!$J$46</definedName>
    <definedName name="FARSTCL" localSheetId="0">'Sithe sept'!$E$45</definedName>
    <definedName name="FARSTCL">#REF!</definedName>
    <definedName name="HVCHIP" localSheetId="1">'Central sept'!$BG$45</definedName>
    <definedName name="HVCHIP" localSheetId="0">'Sithe sept'!$K$44</definedName>
    <definedName name="HVCHIP">#REF!</definedName>
    <definedName name="HVDAWN" localSheetId="1">'Central sept'!$BG$48</definedName>
    <definedName name="HVDAWN" localSheetId="0">'Sithe sept'!$K$47</definedName>
    <definedName name="HVDAWN">#REF!</definedName>
    <definedName name="HVKIRK" localSheetId="1">'Central sept'!$BG$47</definedName>
    <definedName name="HVKIRK" localSheetId="0">'Sithe sept'!$K$46</definedName>
    <definedName name="HVKIRK">#REF!</definedName>
    <definedName name="HVOJIB" localSheetId="1">'Central sept'!$BG$46</definedName>
    <definedName name="HVOJIB" localSheetId="0">'Sithe sept'!$K$45</definedName>
    <definedName name="HVOJIB">#REF!</definedName>
    <definedName name="HVSTCL" localSheetId="1">'Central sept'!$BG$44</definedName>
    <definedName name="HVSTCL" localSheetId="0">'Sithe sept'!$K$43</definedName>
    <definedName name="HVSTCL">#REF!</definedName>
    <definedName name="KIRKCHIP" localSheetId="1">'Central sept'!$J$50</definedName>
    <definedName name="KIRKCHIP" localSheetId="0">'Sithe sept'!$E$49</definedName>
    <definedName name="KIRKCHIP">#REF!</definedName>
    <definedName name="M" localSheetId="1">'Central sept'!$BG$50</definedName>
    <definedName name="M" localSheetId="0">'Sithe sept'!$K$49</definedName>
    <definedName name="M">#REF!</definedName>
    <definedName name="_xlnm.Print_Area" localSheetId="1">'Central sept'!$1:$1048576</definedName>
    <definedName name="_xlnm.Print_Titles" localSheetId="1">'Central sept'!$A:$A,'Central sept'!$1:$9</definedName>
    <definedName name="_xlnm.Print_Titles" localSheetId="0">'Sithe sept'!$A:$A,'Sithe sept'!$1:$9</definedName>
    <definedName name="STCLAIRCHIP" localSheetId="1">'Central sept'!$J$47</definedName>
    <definedName name="STCLAIRCHIP" localSheetId="0">'Sithe sept'!$E$46</definedName>
    <definedName name="STCLAIRCHIP">#REF!</definedName>
  </definedNames>
  <calcPr calcId="152511" fullCalcOnLoad="1"/>
</workbook>
</file>

<file path=xl/calcChain.xml><?xml version="1.0" encoding="utf-8"?>
<calcChain xmlns="http://schemas.openxmlformats.org/spreadsheetml/2006/main">
  <c r="B4" i="2" l="1"/>
  <c r="E4" i="2" s="1"/>
  <c r="D10" i="2"/>
  <c r="E10" i="2"/>
  <c r="B16" i="2"/>
  <c r="BP3" i="5"/>
  <c r="BP8" i="5"/>
  <c r="M10" i="5"/>
  <c r="O10" i="5"/>
  <c r="Q10" i="5"/>
  <c r="U10" i="5"/>
  <c r="W10" i="5"/>
  <c r="Y10" i="5"/>
  <c r="AA10" i="5"/>
  <c r="AC10" i="5"/>
  <c r="AE10" i="5"/>
  <c r="AG10" i="5"/>
  <c r="AI10" i="5"/>
  <c r="AK10" i="5"/>
  <c r="AM10" i="5"/>
  <c r="AO10" i="5"/>
  <c r="AQ10" i="5"/>
  <c r="AS10" i="5"/>
  <c r="AU10" i="5"/>
  <c r="AW10" i="5"/>
  <c r="AY10" i="5"/>
  <c r="BA10" i="5"/>
  <c r="BC10" i="5"/>
  <c r="BE10" i="5"/>
  <c r="BG10" i="5"/>
  <c r="BN10" i="5"/>
  <c r="BQ10" i="5"/>
  <c r="BW10" i="5" s="1"/>
  <c r="BX10" i="5" s="1"/>
  <c r="BY10" i="5"/>
  <c r="BZ10" i="5" s="1"/>
  <c r="CE10" i="5"/>
  <c r="CF10" i="5" s="1"/>
  <c r="CH10" i="5" s="1"/>
  <c r="CI10" i="5"/>
  <c r="AG11" i="5"/>
  <c r="AI11" i="5"/>
  <c r="AK11" i="5"/>
  <c r="AM11" i="5"/>
  <c r="BQ11" i="5" s="1"/>
  <c r="BW11" i="5" s="1"/>
  <c r="AO11" i="5"/>
  <c r="AQ11" i="5"/>
  <c r="AS11" i="5"/>
  <c r="AU11" i="5"/>
  <c r="AW11" i="5"/>
  <c r="AY11" i="5"/>
  <c r="BA11" i="5"/>
  <c r="BC11" i="5"/>
  <c r="BE11" i="5"/>
  <c r="BG11" i="5"/>
  <c r="BN11" i="5"/>
  <c r="BX11" i="5"/>
  <c r="BY11" i="5"/>
  <c r="BZ11" i="5" s="1"/>
  <c r="CE11" i="5"/>
  <c r="CF11" i="5"/>
  <c r="CI11" i="5" s="1"/>
  <c r="CH11" i="5"/>
  <c r="AG12" i="5"/>
  <c r="BQ12" i="5" s="1"/>
  <c r="AI12" i="5"/>
  <c r="AK12" i="5"/>
  <c r="AM12" i="5"/>
  <c r="AO12" i="5"/>
  <c r="AQ12" i="5"/>
  <c r="AS12" i="5"/>
  <c r="AU12" i="5"/>
  <c r="AW12" i="5"/>
  <c r="AY12" i="5"/>
  <c r="BA12" i="5"/>
  <c r="BC12" i="5"/>
  <c r="BE12" i="5"/>
  <c r="BG12" i="5"/>
  <c r="BN12" i="5"/>
  <c r="BW12" i="5"/>
  <c r="CE12" i="5"/>
  <c r="CF12" i="5"/>
  <c r="AG13" i="5"/>
  <c r="BQ13" i="5" s="1"/>
  <c r="BW13" i="5" s="1"/>
  <c r="AI13" i="5"/>
  <c r="AK13" i="5"/>
  <c r="AM13" i="5"/>
  <c r="AO13" i="5"/>
  <c r="AQ13" i="5"/>
  <c r="AS13" i="5"/>
  <c r="AU13" i="5"/>
  <c r="AW13" i="5"/>
  <c r="AY13" i="5"/>
  <c r="BA13" i="5"/>
  <c r="BC13" i="5"/>
  <c r="BE13" i="5"/>
  <c r="BG13" i="5"/>
  <c r="BN13" i="5"/>
  <c r="CE13" i="5"/>
  <c r="CF13" i="5" s="1"/>
  <c r="AG14" i="5"/>
  <c r="BQ14" i="5" s="1"/>
  <c r="BW14" i="5" s="1"/>
  <c r="AI14" i="5"/>
  <c r="AK14" i="5"/>
  <c r="AM14" i="5"/>
  <c r="AO14" i="5"/>
  <c r="AQ14" i="5"/>
  <c r="AS14" i="5"/>
  <c r="AU14" i="5"/>
  <c r="AW14" i="5"/>
  <c r="AY14" i="5"/>
  <c r="BA14" i="5"/>
  <c r="BC14" i="5"/>
  <c r="BE14" i="5"/>
  <c r="BG14" i="5"/>
  <c r="BN14" i="5"/>
  <c r="CE14" i="5"/>
  <c r="CF14" i="5" s="1"/>
  <c r="CH14" i="5"/>
  <c r="CI14" i="5" s="1"/>
  <c r="AG15" i="5"/>
  <c r="AI15" i="5"/>
  <c r="AK15" i="5"/>
  <c r="AM15" i="5"/>
  <c r="AO15" i="5"/>
  <c r="AQ15" i="5"/>
  <c r="AS15" i="5"/>
  <c r="AU15" i="5"/>
  <c r="AW15" i="5"/>
  <c r="AY15" i="5"/>
  <c r="BA15" i="5"/>
  <c r="BC15" i="5"/>
  <c r="BE15" i="5"/>
  <c r="BG15" i="5"/>
  <c r="BN15" i="5"/>
  <c r="BQ15" i="5"/>
  <c r="BW15" i="5" s="1"/>
  <c r="CE15" i="5"/>
  <c r="CF15" i="5"/>
  <c r="CH15" i="5"/>
  <c r="AG16" i="5"/>
  <c r="BQ16" i="5" s="1"/>
  <c r="BW16" i="5" s="1"/>
  <c r="AI16" i="5"/>
  <c r="AK16" i="5"/>
  <c r="AM16" i="5"/>
  <c r="AO16" i="5"/>
  <c r="AQ16" i="5"/>
  <c r="AS16" i="5"/>
  <c r="AU16" i="5"/>
  <c r="AW16" i="5"/>
  <c r="AY16" i="5"/>
  <c r="BA16" i="5"/>
  <c r="BC16" i="5"/>
  <c r="BE16" i="5"/>
  <c r="BG16" i="5"/>
  <c r="BN16" i="5"/>
  <c r="CE16" i="5"/>
  <c r="CF16" i="5"/>
  <c r="CH16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BE17" i="5"/>
  <c r="BG17" i="5"/>
  <c r="BN17" i="5"/>
  <c r="CE17" i="5"/>
  <c r="CF17" i="5"/>
  <c r="AG18" i="5"/>
  <c r="AI18" i="5"/>
  <c r="AK18" i="5"/>
  <c r="AM18" i="5"/>
  <c r="BQ18" i="5" s="1"/>
  <c r="BW18" i="5" s="1"/>
  <c r="AO18" i="5"/>
  <c r="AQ18" i="5"/>
  <c r="AS18" i="5"/>
  <c r="AU18" i="5"/>
  <c r="AW18" i="5"/>
  <c r="AY18" i="5"/>
  <c r="BA18" i="5"/>
  <c r="BC18" i="5"/>
  <c r="BE18" i="5"/>
  <c r="BG18" i="5"/>
  <c r="BN18" i="5"/>
  <c r="CE18" i="5"/>
  <c r="CF18" i="5" s="1"/>
  <c r="AG19" i="5"/>
  <c r="AI19" i="5"/>
  <c r="AK19" i="5"/>
  <c r="AM19" i="5"/>
  <c r="BQ19" i="5" s="1"/>
  <c r="BW19" i="5" s="1"/>
  <c r="AO19" i="5"/>
  <c r="AQ19" i="5"/>
  <c r="AS19" i="5"/>
  <c r="AU19" i="5"/>
  <c r="AW19" i="5"/>
  <c r="AY19" i="5"/>
  <c r="BA19" i="5"/>
  <c r="BC19" i="5"/>
  <c r="BE19" i="5"/>
  <c r="BG19" i="5"/>
  <c r="BN19" i="5"/>
  <c r="BX19" i="5"/>
  <c r="CE19" i="5"/>
  <c r="CF19" i="5"/>
  <c r="CI19" i="5" s="1"/>
  <c r="CH19" i="5"/>
  <c r="AG20" i="5"/>
  <c r="BQ20" i="5" s="1"/>
  <c r="BW20" i="5" s="1"/>
  <c r="BX20" i="5" s="1"/>
  <c r="BY20" i="5" s="1"/>
  <c r="BZ20" i="5" s="1"/>
  <c r="AI20" i="5"/>
  <c r="AK20" i="5"/>
  <c r="AM20" i="5"/>
  <c r="AO20" i="5"/>
  <c r="AQ20" i="5"/>
  <c r="AS20" i="5"/>
  <c r="AU20" i="5"/>
  <c r="AW20" i="5"/>
  <c r="AY20" i="5"/>
  <c r="BA20" i="5"/>
  <c r="BC20" i="5"/>
  <c r="BE20" i="5"/>
  <c r="BG20" i="5"/>
  <c r="BN20" i="5"/>
  <c r="CE20" i="5"/>
  <c r="CF20" i="5"/>
  <c r="AG21" i="5"/>
  <c r="BQ21" i="5" s="1"/>
  <c r="BW21" i="5" s="1"/>
  <c r="AI21" i="5"/>
  <c r="AK21" i="5"/>
  <c r="AM21" i="5"/>
  <c r="AO21" i="5"/>
  <c r="AQ21" i="5"/>
  <c r="AS21" i="5"/>
  <c r="AU21" i="5"/>
  <c r="AW21" i="5"/>
  <c r="AY21" i="5"/>
  <c r="BA21" i="5"/>
  <c r="BC21" i="5"/>
  <c r="BE21" i="5"/>
  <c r="BG21" i="5"/>
  <c r="BN21" i="5"/>
  <c r="CE21" i="5"/>
  <c r="CF21" i="5" s="1"/>
  <c r="CH21" i="5" s="1"/>
  <c r="CI21" i="5"/>
  <c r="CJ21" i="5"/>
  <c r="CK21" i="5" s="1"/>
  <c r="CN21" i="5" s="1"/>
  <c r="AG22" i="5"/>
  <c r="AI22" i="5"/>
  <c r="AK22" i="5"/>
  <c r="AM22" i="5"/>
  <c r="AO22" i="5"/>
  <c r="AQ22" i="5"/>
  <c r="AS22" i="5"/>
  <c r="AU22" i="5"/>
  <c r="AW22" i="5"/>
  <c r="AY22" i="5"/>
  <c r="BA22" i="5"/>
  <c r="BC22" i="5"/>
  <c r="BE22" i="5"/>
  <c r="BG22" i="5"/>
  <c r="BN22" i="5"/>
  <c r="BS22" i="5"/>
  <c r="CE22" i="5"/>
  <c r="CF22" i="5"/>
  <c r="CH22" i="5"/>
  <c r="AG23" i="5"/>
  <c r="BQ23" i="5" s="1"/>
  <c r="AI23" i="5"/>
  <c r="AK23" i="5"/>
  <c r="AM23" i="5"/>
  <c r="AO23" i="5"/>
  <c r="AQ23" i="5"/>
  <c r="AS23" i="5"/>
  <c r="AU23" i="5"/>
  <c r="AW23" i="5"/>
  <c r="AY23" i="5"/>
  <c r="BA23" i="5"/>
  <c r="BC23" i="5"/>
  <c r="BE23" i="5"/>
  <c r="BG23" i="5"/>
  <c r="BN23" i="5"/>
  <c r="BS23" i="5"/>
  <c r="BW23" i="5"/>
  <c r="CE23" i="5"/>
  <c r="CF23" i="5" s="1"/>
  <c r="AG24" i="5"/>
  <c r="AI24" i="5"/>
  <c r="AK24" i="5"/>
  <c r="AM24" i="5"/>
  <c r="BQ24" i="5" s="1"/>
  <c r="BW24" i="5" s="1"/>
  <c r="BX24" i="5" s="1"/>
  <c r="AO24" i="5"/>
  <c r="AQ24" i="5"/>
  <c r="AS24" i="5"/>
  <c r="AU24" i="5"/>
  <c r="AW24" i="5"/>
  <c r="AY24" i="5"/>
  <c r="BA24" i="5"/>
  <c r="BC24" i="5"/>
  <c r="BE24" i="5"/>
  <c r="BG24" i="5"/>
  <c r="BN24" i="5"/>
  <c r="CE24" i="5"/>
  <c r="CF24" i="5" s="1"/>
  <c r="CH24" i="5" s="1"/>
  <c r="CI24" i="5"/>
  <c r="AG25" i="5"/>
  <c r="AI25" i="5"/>
  <c r="AK25" i="5"/>
  <c r="AM25" i="5"/>
  <c r="BQ25" i="5" s="1"/>
  <c r="BW25" i="5" s="1"/>
  <c r="BX25" i="5" s="1"/>
  <c r="AO25" i="5"/>
  <c r="AQ25" i="5"/>
  <c r="AS25" i="5"/>
  <c r="AU25" i="5"/>
  <c r="AW25" i="5"/>
  <c r="AY25" i="5"/>
  <c r="BA25" i="5"/>
  <c r="BC25" i="5"/>
  <c r="BE25" i="5"/>
  <c r="BG25" i="5"/>
  <c r="BN25" i="5"/>
  <c r="BY25" i="5"/>
  <c r="BZ25" i="5"/>
  <c r="CE25" i="5"/>
  <c r="CF25" i="5"/>
  <c r="CI25" i="5" s="1"/>
  <c r="CH25" i="5"/>
  <c r="AG26" i="5"/>
  <c r="BQ26" i="5" s="1"/>
  <c r="BW26" i="5" s="1"/>
  <c r="AI26" i="5"/>
  <c r="AK26" i="5"/>
  <c r="AM26" i="5"/>
  <c r="AO26" i="5"/>
  <c r="AQ26" i="5"/>
  <c r="AS26" i="5"/>
  <c r="AU26" i="5"/>
  <c r="AW26" i="5"/>
  <c r="AY26" i="5"/>
  <c r="BA26" i="5"/>
  <c r="BC26" i="5"/>
  <c r="BE26" i="5"/>
  <c r="BG26" i="5"/>
  <c r="BN26" i="5"/>
  <c r="CE26" i="5"/>
  <c r="CF26" i="5"/>
  <c r="AG27" i="5"/>
  <c r="AI27" i="5"/>
  <c r="AK27" i="5"/>
  <c r="AM27" i="5"/>
  <c r="AO27" i="5"/>
  <c r="AQ27" i="5"/>
  <c r="AS27" i="5"/>
  <c r="AU27" i="5"/>
  <c r="AW27" i="5"/>
  <c r="AY27" i="5"/>
  <c r="BA27" i="5"/>
  <c r="BC27" i="5"/>
  <c r="BE27" i="5"/>
  <c r="BG27" i="5"/>
  <c r="BN27" i="5"/>
  <c r="BQ27" i="5"/>
  <c r="BW27" i="5" s="1"/>
  <c r="BX27" i="5"/>
  <c r="CE27" i="5"/>
  <c r="CF27" i="5" s="1"/>
  <c r="CH27" i="5" s="1"/>
  <c r="CI27" i="5"/>
  <c r="AG28" i="5"/>
  <c r="BQ28" i="5" s="1"/>
  <c r="BW28" i="5" s="1"/>
  <c r="AI28" i="5"/>
  <c r="AK28" i="5"/>
  <c r="AM28" i="5"/>
  <c r="AO28" i="5"/>
  <c r="AQ28" i="5"/>
  <c r="AS28" i="5"/>
  <c r="AU28" i="5"/>
  <c r="AW28" i="5"/>
  <c r="AY28" i="5"/>
  <c r="BA28" i="5"/>
  <c r="BC28" i="5"/>
  <c r="BE28" i="5"/>
  <c r="BG28" i="5"/>
  <c r="BN28" i="5"/>
  <c r="CE28" i="5"/>
  <c r="CF28" i="5" s="1"/>
  <c r="AG29" i="5"/>
  <c r="AI29" i="5"/>
  <c r="AK29" i="5"/>
  <c r="AM29" i="5"/>
  <c r="AO29" i="5"/>
  <c r="AQ29" i="5"/>
  <c r="AS29" i="5"/>
  <c r="AU29" i="5"/>
  <c r="AW29" i="5"/>
  <c r="AY29" i="5"/>
  <c r="BA29" i="5"/>
  <c r="BC29" i="5"/>
  <c r="BE29" i="5"/>
  <c r="BG29" i="5"/>
  <c r="BN29" i="5"/>
  <c r="BQ29" i="5"/>
  <c r="BW29" i="5" s="1"/>
  <c r="CE29" i="5"/>
  <c r="CF29" i="5"/>
  <c r="CH29" i="5"/>
  <c r="CI29" i="5" s="1"/>
  <c r="AG30" i="5"/>
  <c r="BQ30" i="5" s="1"/>
  <c r="BW30" i="5" s="1"/>
  <c r="AI30" i="5"/>
  <c r="AK30" i="5"/>
  <c r="AM30" i="5"/>
  <c r="AO30" i="5"/>
  <c r="AQ30" i="5"/>
  <c r="AS30" i="5"/>
  <c r="AU30" i="5"/>
  <c r="AW30" i="5"/>
  <c r="AY30" i="5"/>
  <c r="BA30" i="5"/>
  <c r="BC30" i="5"/>
  <c r="BE30" i="5"/>
  <c r="BG30" i="5"/>
  <c r="BN30" i="5"/>
  <c r="BX30" i="5"/>
  <c r="CE30" i="5"/>
  <c r="CF30" i="5"/>
  <c r="CH30" i="5"/>
  <c r="AG31" i="5"/>
  <c r="AI31" i="5"/>
  <c r="AK31" i="5"/>
  <c r="AM31" i="5"/>
  <c r="AO31" i="5"/>
  <c r="AQ31" i="5"/>
  <c r="AS31" i="5"/>
  <c r="AU31" i="5"/>
  <c r="AW31" i="5"/>
  <c r="AY31" i="5"/>
  <c r="BA31" i="5"/>
  <c r="BC31" i="5"/>
  <c r="BE31" i="5"/>
  <c r="BG31" i="5"/>
  <c r="BN31" i="5"/>
  <c r="CE31" i="5"/>
  <c r="CF31" i="5"/>
  <c r="AG32" i="5"/>
  <c r="AI32" i="5"/>
  <c r="AK32" i="5"/>
  <c r="AM32" i="5"/>
  <c r="AO32" i="5"/>
  <c r="AQ32" i="5"/>
  <c r="AS32" i="5"/>
  <c r="AU32" i="5"/>
  <c r="AW32" i="5"/>
  <c r="AY32" i="5"/>
  <c r="BA32" i="5"/>
  <c r="BC32" i="5"/>
  <c r="BE32" i="5"/>
  <c r="BG32" i="5"/>
  <c r="BN32" i="5"/>
  <c r="BQ32" i="5"/>
  <c r="BW32" i="5" s="1"/>
  <c r="BX32" i="5" s="1"/>
  <c r="BY32" i="5"/>
  <c r="BZ32" i="5" s="1"/>
  <c r="CE32" i="5"/>
  <c r="CF32" i="5" s="1"/>
  <c r="CH32" i="5" s="1"/>
  <c r="CI32" i="5"/>
  <c r="AG33" i="5"/>
  <c r="AI33" i="5"/>
  <c r="AK33" i="5"/>
  <c r="AM33" i="5"/>
  <c r="BQ33" i="5" s="1"/>
  <c r="BW33" i="5" s="1"/>
  <c r="AO33" i="5"/>
  <c r="AQ33" i="5"/>
  <c r="AS33" i="5"/>
  <c r="AU33" i="5"/>
  <c r="AW33" i="5"/>
  <c r="AY33" i="5"/>
  <c r="BA33" i="5"/>
  <c r="BC33" i="5"/>
  <c r="BE33" i="5"/>
  <c r="BG33" i="5"/>
  <c r="BN33" i="5"/>
  <c r="BX33" i="5"/>
  <c r="BY33" i="5"/>
  <c r="BZ33" i="5" s="1"/>
  <c r="CE33" i="5"/>
  <c r="CF33" i="5"/>
  <c r="CH33" i="5"/>
  <c r="AG34" i="5"/>
  <c r="BQ34" i="5" s="1"/>
  <c r="AI34" i="5"/>
  <c r="AK34" i="5"/>
  <c r="AM34" i="5"/>
  <c r="AO34" i="5"/>
  <c r="AQ34" i="5"/>
  <c r="AS34" i="5"/>
  <c r="AU34" i="5"/>
  <c r="AW34" i="5"/>
  <c r="AY34" i="5"/>
  <c r="BA34" i="5"/>
  <c r="BC34" i="5"/>
  <c r="BE34" i="5"/>
  <c r="BG34" i="5"/>
  <c r="BN34" i="5"/>
  <c r="BW34" i="5"/>
  <c r="CE34" i="5"/>
  <c r="CF34" i="5"/>
  <c r="AG35" i="5"/>
  <c r="BQ35" i="5" s="1"/>
  <c r="BW35" i="5" s="1"/>
  <c r="AI35" i="5"/>
  <c r="AK35" i="5"/>
  <c r="AM35" i="5"/>
  <c r="AO35" i="5"/>
  <c r="AQ35" i="5"/>
  <c r="AS35" i="5"/>
  <c r="AU35" i="5"/>
  <c r="AW35" i="5"/>
  <c r="AY35" i="5"/>
  <c r="BA35" i="5"/>
  <c r="BC35" i="5"/>
  <c r="BE35" i="5"/>
  <c r="BG35" i="5"/>
  <c r="BN35" i="5"/>
  <c r="CE35" i="5"/>
  <c r="CF35" i="5" s="1"/>
  <c r="AG36" i="5"/>
  <c r="BQ36" i="5" s="1"/>
  <c r="BW36" i="5" s="1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N36" i="5"/>
  <c r="CE36" i="5"/>
  <c r="CF36" i="5" s="1"/>
  <c r="CH36" i="5"/>
  <c r="CI36" i="5"/>
  <c r="CJ36" i="5"/>
  <c r="AG37" i="5"/>
  <c r="AI37" i="5"/>
  <c r="AK37" i="5"/>
  <c r="AM37" i="5"/>
  <c r="AO37" i="5"/>
  <c r="AQ37" i="5"/>
  <c r="AS37" i="5"/>
  <c r="AU37" i="5"/>
  <c r="AW37" i="5"/>
  <c r="AY37" i="5"/>
  <c r="BA37" i="5"/>
  <c r="BC37" i="5"/>
  <c r="BE37" i="5"/>
  <c r="BG37" i="5"/>
  <c r="BN37" i="5"/>
  <c r="BQ37" i="5"/>
  <c r="BW37" i="5" s="1"/>
  <c r="CE37" i="5"/>
  <c r="CF37" i="5"/>
  <c r="AG38" i="5"/>
  <c r="BQ38" i="5" s="1"/>
  <c r="BW38" i="5" s="1"/>
  <c r="AI38" i="5"/>
  <c r="AK38" i="5"/>
  <c r="AM38" i="5"/>
  <c r="AO38" i="5"/>
  <c r="AQ38" i="5"/>
  <c r="AS38" i="5"/>
  <c r="AU38" i="5"/>
  <c r="AW38" i="5"/>
  <c r="AY38" i="5"/>
  <c r="BA38" i="5"/>
  <c r="BC38" i="5"/>
  <c r="BE38" i="5"/>
  <c r="BG38" i="5"/>
  <c r="BN38" i="5"/>
  <c r="CE38" i="5"/>
  <c r="CF38" i="5"/>
  <c r="AG39" i="5"/>
  <c r="AI39" i="5"/>
  <c r="AK39" i="5"/>
  <c r="AM39" i="5"/>
  <c r="AO39" i="5"/>
  <c r="AQ39" i="5"/>
  <c r="AS39" i="5"/>
  <c r="AU39" i="5"/>
  <c r="AW39" i="5"/>
  <c r="AY39" i="5"/>
  <c r="BA39" i="5"/>
  <c r="BC39" i="5"/>
  <c r="BE39" i="5"/>
  <c r="BG39" i="5"/>
  <c r="BN39" i="5"/>
  <c r="CE39" i="5"/>
  <c r="CF39" i="5" s="1"/>
  <c r="L43" i="5"/>
  <c r="AF43" i="5"/>
  <c r="L44" i="5"/>
  <c r="AF44" i="5"/>
  <c r="L45" i="5"/>
  <c r="AF45" i="5"/>
  <c r="L46" i="5"/>
  <c r="AF46" i="5"/>
  <c r="L47" i="5"/>
  <c r="AF47" i="5"/>
  <c r="L48" i="5"/>
  <c r="AF48" i="5"/>
  <c r="L49" i="5"/>
  <c r="AF49" i="5"/>
  <c r="L50" i="5"/>
  <c r="AF50" i="5"/>
  <c r="L51" i="5"/>
  <c r="AF51" i="5"/>
  <c r="L52" i="5"/>
  <c r="AF52" i="5"/>
  <c r="L53" i="5"/>
  <c r="AF53" i="5"/>
  <c r="L54" i="5"/>
  <c r="AF54" i="5"/>
  <c r="L55" i="5"/>
  <c r="AF55" i="5"/>
  <c r="L56" i="5"/>
  <c r="AF56" i="5"/>
  <c r="L57" i="5"/>
  <c r="AF57" i="5"/>
  <c r="L58" i="5"/>
  <c r="AF58" i="5"/>
  <c r="BA8" i="4"/>
  <c r="BD8" i="4"/>
  <c r="P10" i="4"/>
  <c r="U10" i="4"/>
  <c r="W10" i="4"/>
  <c r="AA10" i="4"/>
  <c r="AC10" i="4"/>
  <c r="AE10" i="4"/>
  <c r="AI10" i="4"/>
  <c r="AM10" i="4"/>
  <c r="AP10" i="4"/>
  <c r="BG10" i="4" s="1"/>
  <c r="BM10" i="4" s="1"/>
  <c r="AR10" i="4"/>
  <c r="AT10" i="4"/>
  <c r="AY10" i="4"/>
  <c r="BB10" i="4"/>
  <c r="BI10" i="4"/>
  <c r="BU10" i="4"/>
  <c r="BV10" i="4" s="1"/>
  <c r="BX10" i="4"/>
  <c r="AA11" i="4"/>
  <c r="AC11" i="4"/>
  <c r="AE11" i="4"/>
  <c r="AI11" i="4"/>
  <c r="AM11" i="4"/>
  <c r="AP11" i="4"/>
  <c r="AR11" i="4"/>
  <c r="AT11" i="4"/>
  <c r="AY11" i="4"/>
  <c r="BB11" i="4"/>
  <c r="BI11" i="4"/>
  <c r="BU11" i="4"/>
  <c r="BV11" i="4" s="1"/>
  <c r="BX11" i="4"/>
  <c r="AA12" i="4"/>
  <c r="AC12" i="4"/>
  <c r="AE12" i="4"/>
  <c r="AI12" i="4"/>
  <c r="AM12" i="4"/>
  <c r="AP12" i="4"/>
  <c r="AR12" i="4"/>
  <c r="AT12" i="4"/>
  <c r="AY12" i="4"/>
  <c r="BB12" i="4"/>
  <c r="BI12" i="4"/>
  <c r="BU12" i="4"/>
  <c r="BV12" i="4" s="1"/>
  <c r="AA13" i="4"/>
  <c r="BG13" i="4" s="1"/>
  <c r="BM13" i="4" s="1"/>
  <c r="AC13" i="4"/>
  <c r="AE13" i="4"/>
  <c r="AI13" i="4"/>
  <c r="AM13" i="4"/>
  <c r="AP13" i="4"/>
  <c r="AR13" i="4"/>
  <c r="AT13" i="4"/>
  <c r="AY13" i="4"/>
  <c r="BB13" i="4"/>
  <c r="BI13" i="4"/>
  <c r="BU13" i="4"/>
  <c r="BV13" i="4" s="1"/>
  <c r="AA14" i="4"/>
  <c r="AC14" i="4"/>
  <c r="BG14" i="4" s="1"/>
  <c r="BM14" i="4" s="1"/>
  <c r="AE14" i="4"/>
  <c r="AI14" i="4"/>
  <c r="AM14" i="4"/>
  <c r="AP14" i="4"/>
  <c r="AR14" i="4"/>
  <c r="AT14" i="4"/>
  <c r="AY14" i="4"/>
  <c r="BB14" i="4"/>
  <c r="BI14" i="4"/>
  <c r="BU14" i="4"/>
  <c r="BV14" i="4"/>
  <c r="AA15" i="4"/>
  <c r="AC15" i="4"/>
  <c r="AE15" i="4"/>
  <c r="AI15" i="4"/>
  <c r="AM15" i="4"/>
  <c r="AP15" i="4"/>
  <c r="AR15" i="4"/>
  <c r="AT15" i="4"/>
  <c r="AY15" i="4"/>
  <c r="BB15" i="4"/>
  <c r="BI15" i="4"/>
  <c r="BK15" i="4"/>
  <c r="BU15" i="4"/>
  <c r="BV15" i="4"/>
  <c r="AA16" i="4"/>
  <c r="AC16" i="4"/>
  <c r="AE16" i="4"/>
  <c r="AI16" i="4"/>
  <c r="AM16" i="4"/>
  <c r="AP16" i="4"/>
  <c r="AR16" i="4"/>
  <c r="AT16" i="4"/>
  <c r="AY16" i="4"/>
  <c r="BB16" i="4"/>
  <c r="BI16" i="4"/>
  <c r="BU16" i="4"/>
  <c r="BV16" i="4" s="1"/>
  <c r="BX16" i="4" s="1"/>
  <c r="BY16" i="4"/>
  <c r="BZ16" i="4"/>
  <c r="X17" i="4"/>
  <c r="AA17" i="4"/>
  <c r="BG17" i="4" s="1"/>
  <c r="BM17" i="4" s="1"/>
  <c r="AC17" i="4"/>
  <c r="AE17" i="4"/>
  <c r="AI17" i="4"/>
  <c r="AM17" i="4"/>
  <c r="AP17" i="4"/>
  <c r="AR17" i="4"/>
  <c r="AT17" i="4"/>
  <c r="AY17" i="4"/>
  <c r="BB17" i="4"/>
  <c r="BI17" i="4"/>
  <c r="BK17" i="4"/>
  <c r="BU17" i="4"/>
  <c r="BV17" i="4" s="1"/>
  <c r="AA18" i="4"/>
  <c r="AC18" i="4"/>
  <c r="AE18" i="4"/>
  <c r="AI18" i="4"/>
  <c r="BG18" i="4" s="1"/>
  <c r="BM18" i="4" s="1"/>
  <c r="AM18" i="4"/>
  <c r="AP18" i="4"/>
  <c r="AR18" i="4"/>
  <c r="AT18" i="4"/>
  <c r="AY18" i="4"/>
  <c r="BB18" i="4"/>
  <c r="BK18" i="4"/>
  <c r="BR18" i="4"/>
  <c r="BU18" i="4" s="1"/>
  <c r="BV18" i="4" s="1"/>
  <c r="BX18" i="4" s="1"/>
  <c r="BY18" i="4"/>
  <c r="AA19" i="4"/>
  <c r="AC19" i="4"/>
  <c r="AE19" i="4"/>
  <c r="AI19" i="4"/>
  <c r="AM19" i="4"/>
  <c r="AP19" i="4"/>
  <c r="AR19" i="4"/>
  <c r="AT19" i="4"/>
  <c r="AY19" i="4"/>
  <c r="BB19" i="4"/>
  <c r="BI19" i="4"/>
  <c r="BK19" i="4"/>
  <c r="BR19" i="4"/>
  <c r="BU19" i="4"/>
  <c r="BV19" i="4" s="1"/>
  <c r="BX19" i="4" s="1"/>
  <c r="BY19" i="4"/>
  <c r="AA20" i="4"/>
  <c r="AC20" i="4"/>
  <c r="AE20" i="4"/>
  <c r="AI20" i="4"/>
  <c r="AM20" i="4"/>
  <c r="AP20" i="4"/>
  <c r="AR20" i="4"/>
  <c r="AT20" i="4"/>
  <c r="AY20" i="4"/>
  <c r="BB20" i="4"/>
  <c r="BI20" i="4"/>
  <c r="BK20" i="4"/>
  <c r="BR20" i="4"/>
  <c r="BU20" i="4" s="1"/>
  <c r="BV20" i="4" s="1"/>
  <c r="BX20" i="4"/>
  <c r="BY20" i="4"/>
  <c r="X21" i="4"/>
  <c r="AC21" i="4"/>
  <c r="AE21" i="4"/>
  <c r="AI21" i="4"/>
  <c r="AM21" i="4"/>
  <c r="AP21" i="4"/>
  <c r="AR21" i="4"/>
  <c r="AT21" i="4"/>
  <c r="AY21" i="4"/>
  <c r="BB21" i="4"/>
  <c r="BI21" i="4"/>
  <c r="BK21" i="4"/>
  <c r="BU21" i="4"/>
  <c r="BV21" i="4" s="1"/>
  <c r="BX21" i="4" s="1"/>
  <c r="BY21" i="4"/>
  <c r="BZ21" i="4"/>
  <c r="CA21" i="4"/>
  <c r="CD21" i="4" s="1"/>
  <c r="X22" i="4"/>
  <c r="AA22" i="4"/>
  <c r="AC22" i="4"/>
  <c r="AE22" i="4"/>
  <c r="AI22" i="4"/>
  <c r="AM22" i="4"/>
  <c r="AP22" i="4"/>
  <c r="AR22" i="4"/>
  <c r="AT22" i="4"/>
  <c r="AY22" i="4"/>
  <c r="BB22" i="4"/>
  <c r="BK22" i="4"/>
  <c r="BR22" i="4"/>
  <c r="BU22" i="4"/>
  <c r="BV22" i="4"/>
  <c r="X23" i="4"/>
  <c r="AA23" i="4" s="1"/>
  <c r="AC23" i="4"/>
  <c r="AE23" i="4"/>
  <c r="BG23" i="4" s="1"/>
  <c r="BM23" i="4" s="1"/>
  <c r="AI23" i="4"/>
  <c r="AM23" i="4"/>
  <c r="AP23" i="4"/>
  <c r="AR23" i="4"/>
  <c r="AT23" i="4"/>
  <c r="AY23" i="4"/>
  <c r="BB23" i="4"/>
  <c r="BU23" i="4"/>
  <c r="BV23" i="4"/>
  <c r="BX23" i="4"/>
  <c r="X24" i="4"/>
  <c r="AA24" i="4"/>
  <c r="AC24" i="4"/>
  <c r="AE24" i="4"/>
  <c r="AI24" i="4"/>
  <c r="AM24" i="4"/>
  <c r="AP24" i="4"/>
  <c r="AR24" i="4"/>
  <c r="BG24" i="4" s="1"/>
  <c r="BM24" i="4" s="1"/>
  <c r="AT24" i="4"/>
  <c r="AY24" i="4"/>
  <c r="BB24" i="4"/>
  <c r="BK24" i="4"/>
  <c r="BU24" i="4"/>
  <c r="BV24" i="4"/>
  <c r="BX24" i="4" s="1"/>
  <c r="X25" i="4"/>
  <c r="AC25" i="4"/>
  <c r="AE25" i="4"/>
  <c r="AI25" i="4"/>
  <c r="AM25" i="4"/>
  <c r="AP25" i="4"/>
  <c r="AR25" i="4"/>
  <c r="AT25" i="4"/>
  <c r="AY25" i="4"/>
  <c r="BB25" i="4"/>
  <c r="BU25" i="4"/>
  <c r="BV25" i="4"/>
  <c r="X26" i="4"/>
  <c r="AC26" i="4"/>
  <c r="AE26" i="4"/>
  <c r="AI26" i="4"/>
  <c r="AM26" i="4"/>
  <c r="AP26" i="4"/>
  <c r="AR26" i="4"/>
  <c r="AT26" i="4"/>
  <c r="AY26" i="4"/>
  <c r="BB26" i="4"/>
  <c r="BU26" i="4"/>
  <c r="BV26" i="4"/>
  <c r="BX26" i="4"/>
  <c r="X27" i="4"/>
  <c r="AA27" i="4"/>
  <c r="AC27" i="4"/>
  <c r="BG27" i="4" s="1"/>
  <c r="BM27" i="4" s="1"/>
  <c r="AE27" i="4"/>
  <c r="AI27" i="4"/>
  <c r="AM27" i="4"/>
  <c r="AP27" i="4"/>
  <c r="AR27" i="4"/>
  <c r="AT27" i="4"/>
  <c r="AY27" i="4"/>
  <c r="BB27" i="4"/>
  <c r="BU27" i="4"/>
  <c r="BV27" i="4"/>
  <c r="BX27" i="4"/>
  <c r="BY27" i="4"/>
  <c r="BZ27" i="4" s="1"/>
  <c r="X28" i="4"/>
  <c r="AC28" i="4"/>
  <c r="AE28" i="4"/>
  <c r="AI28" i="4"/>
  <c r="AM28" i="4"/>
  <c r="AP28" i="4"/>
  <c r="AR28" i="4"/>
  <c r="AT28" i="4"/>
  <c r="AY28" i="4"/>
  <c r="BB28" i="4"/>
  <c r="BU28" i="4"/>
  <c r="BV28" i="4"/>
  <c r="BX28" i="4"/>
  <c r="AA29" i="4"/>
  <c r="AC29" i="4"/>
  <c r="AE29" i="4"/>
  <c r="AI29" i="4"/>
  <c r="AM29" i="4"/>
  <c r="AP29" i="4"/>
  <c r="AR29" i="4"/>
  <c r="AT29" i="4"/>
  <c r="AY29" i="4"/>
  <c r="BB29" i="4"/>
  <c r="BU29" i="4"/>
  <c r="BV29" i="4"/>
  <c r="BX29" i="4"/>
  <c r="BY29" i="4"/>
  <c r="BZ29" i="4" s="1"/>
  <c r="CA29" i="4"/>
  <c r="CD29" i="4" s="1"/>
  <c r="X30" i="4"/>
  <c r="AC30" i="4"/>
  <c r="AE30" i="4"/>
  <c r="AI30" i="4"/>
  <c r="AM30" i="4"/>
  <c r="AP30" i="4"/>
  <c r="AR30" i="4"/>
  <c r="AT30" i="4"/>
  <c r="AY30" i="4"/>
  <c r="BB30" i="4"/>
  <c r="BU30" i="4"/>
  <c r="BV30" i="4" s="1"/>
  <c r="X31" i="4"/>
  <c r="AA31" i="4" s="1"/>
  <c r="AC31" i="4"/>
  <c r="AE31" i="4"/>
  <c r="AI31" i="4"/>
  <c r="AM31" i="4"/>
  <c r="AP31" i="4"/>
  <c r="AR31" i="4"/>
  <c r="BG31" i="4" s="1"/>
  <c r="BM31" i="4" s="1"/>
  <c r="AT31" i="4"/>
  <c r="AY31" i="4"/>
  <c r="BB31" i="4"/>
  <c r="BU31" i="4"/>
  <c r="BV31" i="4"/>
  <c r="BX31" i="4"/>
  <c r="AA32" i="4"/>
  <c r="AC32" i="4"/>
  <c r="AE32" i="4"/>
  <c r="AI32" i="4"/>
  <c r="AM32" i="4"/>
  <c r="AP32" i="4"/>
  <c r="AR32" i="4"/>
  <c r="AT32" i="4"/>
  <c r="AY32" i="4"/>
  <c r="BB32" i="4"/>
  <c r="BG32" i="4"/>
  <c r="BM32" i="4" s="1"/>
  <c r="BU32" i="4"/>
  <c r="BV32" i="4" s="1"/>
  <c r="BX32" i="4" s="1"/>
  <c r="BY32" i="4"/>
  <c r="BZ32" i="4" s="1"/>
  <c r="AA33" i="4"/>
  <c r="AC33" i="4"/>
  <c r="AE33" i="4"/>
  <c r="AI33" i="4"/>
  <c r="AM33" i="4"/>
  <c r="AP33" i="4"/>
  <c r="AR33" i="4"/>
  <c r="AT33" i="4"/>
  <c r="AY33" i="4"/>
  <c r="BB33" i="4"/>
  <c r="BU33" i="4"/>
  <c r="BV33" i="4"/>
  <c r="BY33" i="4" s="1"/>
  <c r="BX33" i="4"/>
  <c r="AA34" i="4"/>
  <c r="AC34" i="4"/>
  <c r="AE34" i="4"/>
  <c r="AI34" i="4"/>
  <c r="BG34" i="4" s="1"/>
  <c r="BM34" i="4" s="1"/>
  <c r="AM34" i="4"/>
  <c r="AP34" i="4"/>
  <c r="AR34" i="4"/>
  <c r="AT34" i="4"/>
  <c r="AY34" i="4"/>
  <c r="BB34" i="4"/>
  <c r="BU34" i="4"/>
  <c r="BV34" i="4" s="1"/>
  <c r="AA35" i="4"/>
  <c r="AC35" i="4"/>
  <c r="AE35" i="4"/>
  <c r="AI35" i="4"/>
  <c r="AM35" i="4"/>
  <c r="AP35" i="4"/>
  <c r="AR35" i="4"/>
  <c r="AT35" i="4"/>
  <c r="AY35" i="4"/>
  <c r="BB35" i="4"/>
  <c r="BH35" i="4"/>
  <c r="BI35" i="4"/>
  <c r="BU35" i="4"/>
  <c r="BV35" i="4" s="1"/>
  <c r="BX35" i="4"/>
  <c r="AA36" i="4"/>
  <c r="BG36" i="4" s="1"/>
  <c r="BM36" i="4" s="1"/>
  <c r="AC36" i="4"/>
  <c r="AE36" i="4"/>
  <c r="AI36" i="4"/>
  <c r="AM36" i="4"/>
  <c r="AP36" i="4"/>
  <c r="AR36" i="4"/>
  <c r="AT36" i="4"/>
  <c r="AY36" i="4"/>
  <c r="BB36" i="4"/>
  <c r="BI36" i="4"/>
  <c r="BU36" i="4"/>
  <c r="BV36" i="4"/>
  <c r="BX36" i="4"/>
  <c r="X37" i="4"/>
  <c r="AA37" i="4" s="1"/>
  <c r="AC37" i="4"/>
  <c r="AE37" i="4"/>
  <c r="BG37" i="4" s="1"/>
  <c r="BM37" i="4" s="1"/>
  <c r="AI37" i="4"/>
  <c r="AM37" i="4"/>
  <c r="AP37" i="4"/>
  <c r="AR37" i="4"/>
  <c r="AT37" i="4"/>
  <c r="AY37" i="4"/>
  <c r="BB37" i="4"/>
  <c r="BH37" i="4"/>
  <c r="BI37" i="4"/>
  <c r="BU37" i="4"/>
  <c r="BV37" i="4"/>
  <c r="BX37" i="4"/>
  <c r="X38" i="4"/>
  <c r="AA38" i="4" s="1"/>
  <c r="AC38" i="4"/>
  <c r="AE38" i="4"/>
  <c r="AI38" i="4"/>
  <c r="AM38" i="4"/>
  <c r="AP38" i="4"/>
  <c r="AR38" i="4"/>
  <c r="AT38" i="4"/>
  <c r="AY38" i="4"/>
  <c r="BB38" i="4"/>
  <c r="BI38" i="4"/>
  <c r="BK38" i="4"/>
  <c r="BU38" i="4"/>
  <c r="BV38" i="4"/>
  <c r="BX38" i="4"/>
  <c r="BY38" i="4"/>
  <c r="BZ38" i="4"/>
  <c r="X39" i="4"/>
  <c r="AC39" i="4"/>
  <c r="AE39" i="4"/>
  <c r="AI39" i="4"/>
  <c r="AM39" i="4"/>
  <c r="AP39" i="4"/>
  <c r="AR39" i="4"/>
  <c r="AT39" i="4"/>
  <c r="AY39" i="4"/>
  <c r="BB39" i="4"/>
  <c r="BI39" i="4"/>
  <c r="BK39" i="4"/>
  <c r="BU39" i="4"/>
  <c r="BV39" i="4"/>
  <c r="BX39" i="4" s="1"/>
  <c r="H42" i="4"/>
  <c r="H43" i="4"/>
  <c r="H44" i="4"/>
  <c r="H45" i="4"/>
  <c r="H46" i="4"/>
  <c r="H47" i="4"/>
  <c r="H48" i="4"/>
  <c r="H49" i="4"/>
  <c r="H50" i="4"/>
  <c r="H51" i="4"/>
  <c r="H52" i="4"/>
  <c r="H53" i="4"/>
  <c r="G54" i="4"/>
  <c r="H54" i="4"/>
  <c r="H55" i="4"/>
  <c r="H56" i="4"/>
  <c r="H57" i="4"/>
  <c r="BN27" i="4" l="1"/>
  <c r="BO27" i="4" s="1"/>
  <c r="BP27" i="4" s="1"/>
  <c r="BX17" i="4"/>
  <c r="BY17" i="4" s="1"/>
  <c r="BN34" i="4"/>
  <c r="BO34" i="4"/>
  <c r="BP34" i="4" s="1"/>
  <c r="BN24" i="4"/>
  <c r="BO24" i="4"/>
  <c r="BP24" i="4" s="1"/>
  <c r="BN37" i="4"/>
  <c r="BO37" i="4" s="1"/>
  <c r="BP37" i="4" s="1"/>
  <c r="BN18" i="4"/>
  <c r="BO18" i="4" s="1"/>
  <c r="BP18" i="4" s="1"/>
  <c r="BX36" i="5"/>
  <c r="BY36" i="5"/>
  <c r="BZ36" i="5" s="1"/>
  <c r="BO36" i="4"/>
  <c r="BP36" i="4" s="1"/>
  <c r="BN36" i="4"/>
  <c r="BN23" i="4"/>
  <c r="BO23" i="4" s="1"/>
  <c r="BP23" i="4" s="1"/>
  <c r="BN10" i="4"/>
  <c r="BO10" i="4" s="1"/>
  <c r="BP10" i="4" s="1"/>
  <c r="BX21" i="5"/>
  <c r="BY21" i="5" s="1"/>
  <c r="BZ21" i="5" s="1"/>
  <c r="CP21" i="5" s="1"/>
  <c r="CS21" i="5" s="1"/>
  <c r="CW21" i="5" s="1"/>
  <c r="BN32" i="4"/>
  <c r="BO32" i="4" s="1"/>
  <c r="BP32" i="4" s="1"/>
  <c r="BX30" i="4"/>
  <c r="BY30" i="4" s="1"/>
  <c r="BO17" i="4"/>
  <c r="BP17" i="4" s="1"/>
  <c r="BN17" i="4"/>
  <c r="BN31" i="4"/>
  <c r="BO31" i="4"/>
  <c r="BP31" i="4" s="1"/>
  <c r="CA33" i="4"/>
  <c r="CD33" i="4" s="1"/>
  <c r="BZ33" i="4"/>
  <c r="BZ20" i="4"/>
  <c r="CA20" i="4" s="1"/>
  <c r="CD20" i="4" s="1"/>
  <c r="CA38" i="4"/>
  <c r="CD38" i="4" s="1"/>
  <c r="AA26" i="4"/>
  <c r="BG26" i="4"/>
  <c r="BM26" i="4" s="1"/>
  <c r="CH17" i="5"/>
  <c r="CI17" i="5"/>
  <c r="BX15" i="5"/>
  <c r="BY15" i="5"/>
  <c r="BZ15" i="5" s="1"/>
  <c r="BY39" i="4"/>
  <c r="BY36" i="4"/>
  <c r="CA32" i="4"/>
  <c r="CD32" i="4" s="1"/>
  <c r="BY28" i="4"/>
  <c r="AA25" i="4"/>
  <c r="BG25" i="4" s="1"/>
  <c r="BM25" i="4" s="1"/>
  <c r="CJ29" i="5"/>
  <c r="CK29" i="5"/>
  <c r="CN29" i="5" s="1"/>
  <c r="CJ14" i="5"/>
  <c r="CK14" i="5" s="1"/>
  <c r="CN14" i="5" s="1"/>
  <c r="CP14" i="5" s="1"/>
  <c r="CS14" i="5" s="1"/>
  <c r="CW14" i="5" s="1"/>
  <c r="BX14" i="5"/>
  <c r="BY14" i="5"/>
  <c r="BZ14" i="5" s="1"/>
  <c r="CJ11" i="5"/>
  <c r="CK11" i="5"/>
  <c r="CN11" i="5" s="1"/>
  <c r="CP11" i="5" s="1"/>
  <c r="CS11" i="5" s="1"/>
  <c r="CW11" i="5" s="1"/>
  <c r="X41" i="4"/>
  <c r="AA39" i="4"/>
  <c r="BG39" i="4" s="1"/>
  <c r="BM39" i="4" s="1"/>
  <c r="BY37" i="4"/>
  <c r="BX34" i="4"/>
  <c r="BY34" i="4"/>
  <c r="CA27" i="4"/>
  <c r="CD27" i="4" s="1"/>
  <c r="CA18" i="4"/>
  <c r="CD18" i="4" s="1"/>
  <c r="BZ18" i="4"/>
  <c r="BN13" i="4"/>
  <c r="BO13" i="4" s="1"/>
  <c r="BP13" i="4" s="1"/>
  <c r="BG21" i="4"/>
  <c r="BM21" i="4" s="1"/>
  <c r="AA21" i="4"/>
  <c r="CH39" i="5"/>
  <c r="CI39" i="5"/>
  <c r="BG35" i="4"/>
  <c r="BM35" i="4" s="1"/>
  <c r="BG29" i="4"/>
  <c r="BM29" i="4" s="1"/>
  <c r="BY26" i="4"/>
  <c r="BX25" i="4"/>
  <c r="BY25" i="4"/>
  <c r="BY23" i="4"/>
  <c r="BX29" i="5"/>
  <c r="BY29" i="5"/>
  <c r="BZ29" i="5" s="1"/>
  <c r="BY26" i="5"/>
  <c r="BZ26" i="5" s="1"/>
  <c r="BY24" i="5"/>
  <c r="BZ24" i="5" s="1"/>
  <c r="BQ22" i="5"/>
  <c r="BW22" i="5" s="1"/>
  <c r="AA30" i="4"/>
  <c r="BG30" i="4" s="1"/>
  <c r="BM30" i="4" s="1"/>
  <c r="CH18" i="5"/>
  <c r="CI18" i="5"/>
  <c r="BN14" i="4"/>
  <c r="BO14" i="4"/>
  <c r="BP14" i="4" s="1"/>
  <c r="BX18" i="5"/>
  <c r="BY18" i="5"/>
  <c r="BZ18" i="5" s="1"/>
  <c r="BY24" i="4"/>
  <c r="BG15" i="4"/>
  <c r="BM15" i="4" s="1"/>
  <c r="CH38" i="5"/>
  <c r="CI38" i="5" s="1"/>
  <c r="BX28" i="5"/>
  <c r="BY28" i="5"/>
  <c r="BZ28" i="5" s="1"/>
  <c r="BX26" i="5"/>
  <c r="BX12" i="5"/>
  <c r="BY12" i="5"/>
  <c r="BZ12" i="5" s="1"/>
  <c r="BY31" i="4"/>
  <c r="BZ19" i="4"/>
  <c r="CA19" i="4"/>
  <c r="CD19" i="4" s="1"/>
  <c r="BG38" i="4"/>
  <c r="BM38" i="4" s="1"/>
  <c r="BX15" i="4"/>
  <c r="BY15" i="4"/>
  <c r="BG33" i="4"/>
  <c r="BM33" i="4" s="1"/>
  <c r="BX22" i="4"/>
  <c r="BY22" i="4" s="1"/>
  <c r="BG22" i="4"/>
  <c r="BM22" i="4" s="1"/>
  <c r="BX38" i="5"/>
  <c r="BY38" i="5" s="1"/>
  <c r="BZ38" i="5" s="1"/>
  <c r="BX35" i="5"/>
  <c r="BY35" i="5" s="1"/>
  <c r="BZ35" i="5" s="1"/>
  <c r="CH28" i="5"/>
  <c r="CI28" i="5"/>
  <c r="BY35" i="4"/>
  <c r="AA28" i="4"/>
  <c r="BG28" i="4" s="1"/>
  <c r="BM28" i="4" s="1"/>
  <c r="BG20" i="4"/>
  <c r="BM20" i="4" s="1"/>
  <c r="CH37" i="5"/>
  <c r="CI37" i="5" s="1"/>
  <c r="CH35" i="5"/>
  <c r="CI35" i="5"/>
  <c r="CH34" i="5"/>
  <c r="CI34" i="5"/>
  <c r="CJ32" i="5"/>
  <c r="CK32" i="5"/>
  <c r="CN32" i="5" s="1"/>
  <c r="CP32" i="5" s="1"/>
  <c r="CS32" i="5" s="1"/>
  <c r="CW32" i="5" s="1"/>
  <c r="CJ27" i="5"/>
  <c r="CK27" i="5"/>
  <c r="CN27" i="5" s="1"/>
  <c r="CP27" i="5" s="1"/>
  <c r="CS27" i="5" s="1"/>
  <c r="CW27" i="5" s="1"/>
  <c r="CJ25" i="5"/>
  <c r="CK25" i="5"/>
  <c r="CN25" i="5" s="1"/>
  <c r="CP25" i="5" s="1"/>
  <c r="CS25" i="5" s="1"/>
  <c r="CW25" i="5" s="1"/>
  <c r="BG12" i="4"/>
  <c r="BM12" i="4" s="1"/>
  <c r="BG11" i="4"/>
  <c r="BM11" i="4" s="1"/>
  <c r="BX37" i="5"/>
  <c r="BY37" i="5"/>
  <c r="BZ37" i="5" s="1"/>
  <c r="BX34" i="5"/>
  <c r="BY34" i="5"/>
  <c r="BZ34" i="5" s="1"/>
  <c r="CH26" i="5"/>
  <c r="CI26" i="5"/>
  <c r="CI22" i="5"/>
  <c r="CI15" i="5"/>
  <c r="CH12" i="5"/>
  <c r="CI12" i="5"/>
  <c r="BG16" i="4"/>
  <c r="BM16" i="4" s="1"/>
  <c r="BX14" i="4"/>
  <c r="BY14" i="4" s="1"/>
  <c r="CH23" i="5"/>
  <c r="CI23" i="5" s="1"/>
  <c r="BX13" i="4"/>
  <c r="BY13" i="4"/>
  <c r="BX12" i="4"/>
  <c r="BY12" i="4" s="1"/>
  <c r="CK36" i="5"/>
  <c r="CN36" i="5" s="1"/>
  <c r="CP36" i="5" s="1"/>
  <c r="CS36" i="5" s="1"/>
  <c r="CW36" i="5" s="1"/>
  <c r="BQ31" i="5"/>
  <c r="BW31" i="5" s="1"/>
  <c r="CJ24" i="5"/>
  <c r="CK24" i="5" s="1"/>
  <c r="CN24" i="5" s="1"/>
  <c r="CP24" i="5" s="1"/>
  <c r="CS24" i="5" s="1"/>
  <c r="CW24" i="5" s="1"/>
  <c r="BY19" i="5"/>
  <c r="BZ19" i="5" s="1"/>
  <c r="BG19" i="4"/>
  <c r="BM19" i="4" s="1"/>
  <c r="CI33" i="5"/>
  <c r="CJ19" i="5"/>
  <c r="CK19" i="5"/>
  <c r="CN19" i="5" s="1"/>
  <c r="CP19" i="5" s="1"/>
  <c r="CS19" i="5" s="1"/>
  <c r="CW19" i="5" s="1"/>
  <c r="CI16" i="5"/>
  <c r="BY16" i="5"/>
  <c r="BZ16" i="5" s="1"/>
  <c r="BX16" i="5"/>
  <c r="CH13" i="5"/>
  <c r="CI13" i="5"/>
  <c r="BY13" i="5"/>
  <c r="BZ13" i="5" s="1"/>
  <c r="CJ10" i="5"/>
  <c r="CK10" i="5"/>
  <c r="CN10" i="5" s="1"/>
  <c r="CP10" i="5" s="1"/>
  <c r="CS10" i="5" s="1"/>
  <c r="CW10" i="5" s="1"/>
  <c r="CA16" i="4"/>
  <c r="CD16" i="4" s="1"/>
  <c r="BY11" i="4"/>
  <c r="BY27" i="5"/>
  <c r="BZ27" i="5" s="1"/>
  <c r="BX13" i="5"/>
  <c r="BQ39" i="5"/>
  <c r="BW39" i="5" s="1"/>
  <c r="BQ17" i="5"/>
  <c r="BW17" i="5" s="1"/>
  <c r="CH31" i="5"/>
  <c r="CI31" i="5"/>
  <c r="CI30" i="5"/>
  <c r="BX23" i="5"/>
  <c r="BY23" i="5" s="1"/>
  <c r="BZ23" i="5" s="1"/>
  <c r="BY10" i="4"/>
  <c r="BY30" i="5"/>
  <c r="BZ30" i="5" s="1"/>
  <c r="CH20" i="5"/>
  <c r="CI20" i="5" s="1"/>
  <c r="CJ23" i="5" l="1"/>
  <c r="CK23" i="5" s="1"/>
  <c r="CN23" i="5" s="1"/>
  <c r="CP23" i="5" s="1"/>
  <c r="CS23" i="5" s="1"/>
  <c r="CW23" i="5" s="1"/>
  <c r="BZ12" i="4"/>
  <c r="CA12" i="4" s="1"/>
  <c r="CD12" i="4" s="1"/>
  <c r="CF12" i="4" s="1"/>
  <c r="CI12" i="4" s="1"/>
  <c r="CM12" i="4" s="1"/>
  <c r="CT14" i="5"/>
  <c r="CT21" i="5"/>
  <c r="CJ38" i="5"/>
  <c r="CK38" i="5"/>
  <c r="CN38" i="5" s="1"/>
  <c r="CP38" i="5" s="1"/>
  <c r="CS38" i="5" s="1"/>
  <c r="CW38" i="5" s="1"/>
  <c r="BN39" i="4"/>
  <c r="BO39" i="4" s="1"/>
  <c r="BP39" i="4" s="1"/>
  <c r="CJ20" i="5"/>
  <c r="CK20" i="5"/>
  <c r="CN20" i="5" s="1"/>
  <c r="CP20" i="5" s="1"/>
  <c r="CS20" i="5" s="1"/>
  <c r="CW20" i="5" s="1"/>
  <c r="BO30" i="4"/>
  <c r="BP30" i="4" s="1"/>
  <c r="BN30" i="4"/>
  <c r="BN25" i="4"/>
  <c r="BO25" i="4" s="1"/>
  <c r="BP25" i="4" s="1"/>
  <c r="BZ14" i="4"/>
  <c r="CA14" i="4" s="1"/>
  <c r="CD14" i="4" s="1"/>
  <c r="CF14" i="4" s="1"/>
  <c r="CI14" i="4" s="1"/>
  <c r="CM14" i="4" s="1"/>
  <c r="CJ37" i="5"/>
  <c r="CK37" i="5"/>
  <c r="CN37" i="5" s="1"/>
  <c r="CP37" i="5" s="1"/>
  <c r="CS37" i="5" s="1"/>
  <c r="CW37" i="5" s="1"/>
  <c r="CT24" i="5"/>
  <c r="BZ22" i="4"/>
  <c r="CA22" i="4"/>
  <c r="CD22" i="4" s="1"/>
  <c r="BZ17" i="4"/>
  <c r="CA17" i="4" s="1"/>
  <c r="CD17" i="4" s="1"/>
  <c r="CF17" i="4" s="1"/>
  <c r="CI17" i="4" s="1"/>
  <c r="CM17" i="4" s="1"/>
  <c r="BN28" i="4"/>
  <c r="BO28" i="4"/>
  <c r="BP28" i="4" s="1"/>
  <c r="BZ30" i="4"/>
  <c r="CA30" i="4" s="1"/>
  <c r="CD30" i="4" s="1"/>
  <c r="CF30" i="4" s="1"/>
  <c r="CI30" i="4" s="1"/>
  <c r="CM30" i="4" s="1"/>
  <c r="BX17" i="5"/>
  <c r="BY17" i="5"/>
  <c r="BZ17" i="5" s="1"/>
  <c r="CJ33" i="5"/>
  <c r="CK33" i="5" s="1"/>
  <c r="CN33" i="5" s="1"/>
  <c r="CP33" i="5" s="1"/>
  <c r="CS33" i="5" s="1"/>
  <c r="CW33" i="5" s="1"/>
  <c r="BN38" i="4"/>
  <c r="BO38" i="4"/>
  <c r="BP38" i="4" s="1"/>
  <c r="CF38" i="4" s="1"/>
  <c r="CI38" i="4" s="1"/>
  <c r="CM38" i="4" s="1"/>
  <c r="CX11" i="5"/>
  <c r="CT11" i="5"/>
  <c r="CJ13" i="5"/>
  <c r="CK13" i="5"/>
  <c r="CN13" i="5" s="1"/>
  <c r="CP13" i="5" s="1"/>
  <c r="CS13" i="5" s="1"/>
  <c r="CW13" i="5" s="1"/>
  <c r="CF27" i="4"/>
  <c r="CI27" i="4" s="1"/>
  <c r="CM27" i="4" s="1"/>
  <c r="BZ10" i="4"/>
  <c r="CA10" i="4"/>
  <c r="CD10" i="4" s="1"/>
  <c r="CF10" i="4" s="1"/>
  <c r="CI10" i="4" s="1"/>
  <c r="CM10" i="4" s="1"/>
  <c r="CJ15" i="5"/>
  <c r="CK15" i="5" s="1"/>
  <c r="CN15" i="5" s="1"/>
  <c r="CP15" i="5" s="1"/>
  <c r="CS15" i="5" s="1"/>
  <c r="CW15" i="5" s="1"/>
  <c r="BN11" i="4"/>
  <c r="BO11" i="4" s="1"/>
  <c r="BP11" i="4" s="1"/>
  <c r="CJ34" i="5"/>
  <c r="CK34" i="5" s="1"/>
  <c r="CN34" i="5" s="1"/>
  <c r="CP34" i="5" s="1"/>
  <c r="CS34" i="5" s="1"/>
  <c r="CW34" i="5" s="1"/>
  <c r="BN22" i="4"/>
  <c r="BO22" i="4" s="1"/>
  <c r="BP22" i="4" s="1"/>
  <c r="CJ18" i="5"/>
  <c r="CK18" i="5" s="1"/>
  <c r="CN18" i="5" s="1"/>
  <c r="CP18" i="5" s="1"/>
  <c r="CS18" i="5" s="1"/>
  <c r="CW18" i="5" s="1"/>
  <c r="BZ34" i="4"/>
  <c r="CA34" i="4" s="1"/>
  <c r="CD34" i="4" s="1"/>
  <c r="CF34" i="4" s="1"/>
  <c r="CI34" i="4" s="1"/>
  <c r="CM34" i="4" s="1"/>
  <c r="BZ28" i="4"/>
  <c r="CA28" i="4" s="1"/>
  <c r="CD28" i="4" s="1"/>
  <c r="CF28" i="4" s="1"/>
  <c r="CI28" i="4" s="1"/>
  <c r="CM28" i="4" s="1"/>
  <c r="BN26" i="4"/>
  <c r="BO26" i="4"/>
  <c r="BP26" i="4" s="1"/>
  <c r="CJ22" i="5"/>
  <c r="CK22" i="5" s="1"/>
  <c r="CN22" i="5" s="1"/>
  <c r="CP22" i="5" s="1"/>
  <c r="CS22" i="5" s="1"/>
  <c r="CW22" i="5" s="1"/>
  <c r="BN12" i="4"/>
  <c r="BO12" i="4" s="1"/>
  <c r="BP12" i="4" s="1"/>
  <c r="CA35" i="4"/>
  <c r="CD35" i="4" s="1"/>
  <c r="CF35" i="4" s="1"/>
  <c r="CI35" i="4" s="1"/>
  <c r="CM35" i="4" s="1"/>
  <c r="BZ35" i="4"/>
  <c r="BZ31" i="4"/>
  <c r="CA31" i="4" s="1"/>
  <c r="CD31" i="4" s="1"/>
  <c r="CF31" i="4" s="1"/>
  <c r="CI31" i="4" s="1"/>
  <c r="CM31" i="4" s="1"/>
  <c r="CA23" i="4"/>
  <c r="CD23" i="4" s="1"/>
  <c r="CF23" i="4" s="1"/>
  <c r="CI23" i="4" s="1"/>
  <c r="CM23" i="4" s="1"/>
  <c r="BZ23" i="4"/>
  <c r="CF32" i="4"/>
  <c r="CI32" i="4" s="1"/>
  <c r="CM32" i="4" s="1"/>
  <c r="CT32" i="5"/>
  <c r="BN35" i="4"/>
  <c r="BO35" i="4"/>
  <c r="BP35" i="4" s="1"/>
  <c r="CJ17" i="5"/>
  <c r="CK17" i="5" s="1"/>
  <c r="CN17" i="5" s="1"/>
  <c r="CP17" i="5" s="1"/>
  <c r="CS17" i="5" s="1"/>
  <c r="CW17" i="5" s="1"/>
  <c r="BZ13" i="4"/>
  <c r="CA13" i="4"/>
  <c r="CD13" i="4" s="1"/>
  <c r="CF13" i="4" s="1"/>
  <c r="CI13" i="4" s="1"/>
  <c r="CM13" i="4" s="1"/>
  <c r="CF19" i="4"/>
  <c r="CI19" i="4" s="1"/>
  <c r="CM19" i="4" s="1"/>
  <c r="CK39" i="5"/>
  <c r="CN39" i="5" s="1"/>
  <c r="CP39" i="5" s="1"/>
  <c r="CS39" i="5" s="1"/>
  <c r="CW39" i="5" s="1"/>
  <c r="CJ39" i="5"/>
  <c r="BZ11" i="4"/>
  <c r="CA11" i="4"/>
  <c r="CD11" i="4" s="1"/>
  <c r="CK26" i="5"/>
  <c r="CN26" i="5" s="1"/>
  <c r="CP26" i="5" s="1"/>
  <c r="CS26" i="5" s="1"/>
  <c r="CW26" i="5" s="1"/>
  <c r="CJ26" i="5"/>
  <c r="CJ35" i="5"/>
  <c r="CK35" i="5"/>
  <c r="CN35" i="5" s="1"/>
  <c r="CP35" i="5" s="1"/>
  <c r="CS35" i="5" s="1"/>
  <c r="CW35" i="5" s="1"/>
  <c r="BO21" i="4"/>
  <c r="BP21" i="4" s="1"/>
  <c r="CF21" i="4" s="1"/>
  <c r="CI21" i="4" s="1"/>
  <c r="CM21" i="4" s="1"/>
  <c r="BN21" i="4"/>
  <c r="BZ37" i="4"/>
  <c r="CA37" i="4" s="1"/>
  <c r="CD37" i="4" s="1"/>
  <c r="CF37" i="4" s="1"/>
  <c r="CI37" i="4" s="1"/>
  <c r="CM37" i="4" s="1"/>
  <c r="BZ36" i="4"/>
  <c r="CA36" i="4" s="1"/>
  <c r="CD36" i="4" s="1"/>
  <c r="CF36" i="4" s="1"/>
  <c r="CI36" i="4" s="1"/>
  <c r="CM36" i="4" s="1"/>
  <c r="CJ30" i="5"/>
  <c r="CK30" i="5"/>
  <c r="CN30" i="5" s="1"/>
  <c r="CP30" i="5" s="1"/>
  <c r="CS30" i="5" s="1"/>
  <c r="CW30" i="5" s="1"/>
  <c r="CJ16" i="5"/>
  <c r="CK16" i="5"/>
  <c r="CN16" i="5" s="1"/>
  <c r="CP16" i="5" s="1"/>
  <c r="CS16" i="5" s="1"/>
  <c r="CW16" i="5" s="1"/>
  <c r="BX31" i="5"/>
  <c r="BY31" i="5" s="1"/>
  <c r="BZ31" i="5" s="1"/>
  <c r="BN33" i="4"/>
  <c r="BO33" i="4"/>
  <c r="BP33" i="4" s="1"/>
  <c r="CF33" i="4" s="1"/>
  <c r="CI33" i="4" s="1"/>
  <c r="CM33" i="4" s="1"/>
  <c r="BZ24" i="4"/>
  <c r="CA24" i="4" s="1"/>
  <c r="CD24" i="4" s="1"/>
  <c r="CF24" i="4" s="1"/>
  <c r="CI24" i="4" s="1"/>
  <c r="CM24" i="4" s="1"/>
  <c r="BZ39" i="4"/>
  <c r="CA39" i="4"/>
  <c r="CD39" i="4" s="1"/>
  <c r="BN20" i="4"/>
  <c r="BO20" i="4" s="1"/>
  <c r="BP20" i="4" s="1"/>
  <c r="CF20" i="4" s="1"/>
  <c r="CI20" i="4" s="1"/>
  <c r="CM20" i="4" s="1"/>
  <c r="BX39" i="5"/>
  <c r="BY39" i="5"/>
  <c r="BZ39" i="5" s="1"/>
  <c r="CT19" i="5"/>
  <c r="CJ12" i="5"/>
  <c r="CK12" i="5"/>
  <c r="CN12" i="5" s="1"/>
  <c r="CP12" i="5" s="1"/>
  <c r="CS12" i="5" s="1"/>
  <c r="CW12" i="5" s="1"/>
  <c r="CF18" i="4"/>
  <c r="CI18" i="4" s="1"/>
  <c r="CM18" i="4" s="1"/>
  <c r="BN19" i="4"/>
  <c r="BO19" i="4"/>
  <c r="BP19" i="4" s="1"/>
  <c r="CT25" i="5"/>
  <c r="CJ28" i="5"/>
  <c r="CK28" i="5" s="1"/>
  <c r="CN28" i="5" s="1"/>
  <c r="CP28" i="5" s="1"/>
  <c r="CS28" i="5" s="1"/>
  <c r="CW28" i="5" s="1"/>
  <c r="BN15" i="4"/>
  <c r="BO15" i="4" s="1"/>
  <c r="BP15" i="4" s="1"/>
  <c r="BZ25" i="4"/>
  <c r="CA25" i="4"/>
  <c r="CD25" i="4" s="1"/>
  <c r="CJ31" i="5"/>
  <c r="CK31" i="5" s="1"/>
  <c r="CN31" i="5" s="1"/>
  <c r="CP31" i="5" s="1"/>
  <c r="CS31" i="5" s="1"/>
  <c r="CW31" i="5" s="1"/>
  <c r="CX10" i="5"/>
  <c r="CT10" i="5"/>
  <c r="CU10" i="5" s="1"/>
  <c r="CT36" i="5"/>
  <c r="CT27" i="5"/>
  <c r="BZ15" i="4"/>
  <c r="CA15" i="4"/>
  <c r="CD15" i="4" s="1"/>
  <c r="BX22" i="5"/>
  <c r="BY22" i="5"/>
  <c r="BZ22" i="5" s="1"/>
  <c r="BZ26" i="4"/>
  <c r="CA26" i="4" s="1"/>
  <c r="CD26" i="4" s="1"/>
  <c r="CF26" i="4" s="1"/>
  <c r="CI26" i="4" s="1"/>
  <c r="CM26" i="4" s="1"/>
  <c r="CP29" i="5"/>
  <c r="CS29" i="5" s="1"/>
  <c r="CW29" i="5" s="1"/>
  <c r="BN16" i="4"/>
  <c r="BO16" i="4"/>
  <c r="BP16" i="4" s="1"/>
  <c r="CF16" i="4" s="1"/>
  <c r="CI16" i="4" s="1"/>
  <c r="CM16" i="4" s="1"/>
  <c r="BO29" i="4"/>
  <c r="BP29" i="4" s="1"/>
  <c r="CF29" i="4" s="1"/>
  <c r="CI29" i="4" s="1"/>
  <c r="CM29" i="4" s="1"/>
  <c r="BN29" i="4"/>
  <c r="CJ31" i="4" l="1"/>
  <c r="CT31" i="5"/>
  <c r="CT17" i="5"/>
  <c r="CT18" i="5"/>
  <c r="CJ24" i="4"/>
  <c r="CJ36" i="4"/>
  <c r="CJ30" i="4"/>
  <c r="CJ33" i="4"/>
  <c r="CJ37" i="4"/>
  <c r="CT34" i="5"/>
  <c r="CJ14" i="4"/>
  <c r="CJ26" i="4"/>
  <c r="CJ34" i="4"/>
  <c r="CT22" i="5"/>
  <c r="CJ16" i="4"/>
  <c r="CT28" i="5"/>
  <c r="CT15" i="5"/>
  <c r="CJ38" i="4"/>
  <c r="BG42" i="4"/>
  <c r="CJ17" i="4"/>
  <c r="CJ12" i="4"/>
  <c r="CJ20" i="4"/>
  <c r="CJ28" i="4"/>
  <c r="CT33" i="5"/>
  <c r="CT23" i="5"/>
  <c r="CF39" i="4"/>
  <c r="CI39" i="4" s="1"/>
  <c r="CM39" i="4" s="1"/>
  <c r="CN10" i="4"/>
  <c r="CJ10" i="4"/>
  <c r="CK10" i="4" s="1"/>
  <c r="CT37" i="5"/>
  <c r="CT20" i="5"/>
  <c r="CJ27" i="4"/>
  <c r="CJ23" i="4"/>
  <c r="CT16" i="5"/>
  <c r="CT30" i="5"/>
  <c r="CT13" i="5"/>
  <c r="CJ18" i="4"/>
  <c r="CF11" i="4"/>
  <c r="CI11" i="4" s="1"/>
  <c r="CM11" i="4" s="1"/>
  <c r="CF15" i="4"/>
  <c r="CI15" i="4" s="1"/>
  <c r="CM15" i="4" s="1"/>
  <c r="CT39" i="5"/>
  <c r="CT26" i="5"/>
  <c r="CX12" i="5"/>
  <c r="CX13" i="5" s="1"/>
  <c r="CX14" i="5" s="1"/>
  <c r="CX15" i="5" s="1"/>
  <c r="CX16" i="5" s="1"/>
  <c r="CX17" i="5" s="1"/>
  <c r="CX18" i="5" s="1"/>
  <c r="CX19" i="5" s="1"/>
  <c r="CX20" i="5" s="1"/>
  <c r="CX21" i="5" s="1"/>
  <c r="CX22" i="5" s="1"/>
  <c r="CX23" i="5" s="1"/>
  <c r="CX24" i="5" s="1"/>
  <c r="CX25" i="5" s="1"/>
  <c r="CX26" i="5" s="1"/>
  <c r="CX27" i="5" s="1"/>
  <c r="CX28" i="5" s="1"/>
  <c r="CX29" i="5" s="1"/>
  <c r="CX30" i="5" s="1"/>
  <c r="CX31" i="5" s="1"/>
  <c r="CX32" i="5" s="1"/>
  <c r="CX33" i="5" s="1"/>
  <c r="CX34" i="5" s="1"/>
  <c r="CX35" i="5" s="1"/>
  <c r="CX36" i="5" s="1"/>
  <c r="CX37" i="5" s="1"/>
  <c r="CX38" i="5" s="1"/>
  <c r="CX39" i="5" s="1"/>
  <c r="CT12" i="5"/>
  <c r="CJ29" i="4"/>
  <c r="CJ21" i="4"/>
  <c r="CJ35" i="4"/>
  <c r="CT35" i="5"/>
  <c r="CJ19" i="4"/>
  <c r="CF22" i="4"/>
  <c r="CI22" i="4" s="1"/>
  <c r="CM22" i="4" s="1"/>
  <c r="CT38" i="5"/>
  <c r="CF25" i="4"/>
  <c r="CI25" i="4" s="1"/>
  <c r="CM25" i="4" s="1"/>
  <c r="CJ13" i="4"/>
  <c r="CJ32" i="4"/>
  <c r="CT29" i="5"/>
  <c r="CU11" i="5"/>
  <c r="CJ25" i="4" l="1"/>
  <c r="CK12" i="4"/>
  <c r="CK13" i="4" s="1"/>
  <c r="CK14" i="4" s="1"/>
  <c r="CJ22" i="4"/>
  <c r="CJ39" i="4"/>
  <c r="BG43" i="4"/>
  <c r="CJ15" i="4"/>
  <c r="CN15" i="4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U12" i="5"/>
  <c r="CU13" i="5" s="1"/>
  <c r="CU14" i="5" s="1"/>
  <c r="CU15" i="5" s="1"/>
  <c r="CU16" i="5" s="1"/>
  <c r="CU17" i="5" s="1"/>
  <c r="CU18" i="5" s="1"/>
  <c r="CU19" i="5" s="1"/>
  <c r="CU20" i="5" s="1"/>
  <c r="CU21" i="5" s="1"/>
  <c r="CU22" i="5" s="1"/>
  <c r="CU23" i="5" s="1"/>
  <c r="CU24" i="5" s="1"/>
  <c r="CU25" i="5" s="1"/>
  <c r="CU26" i="5" s="1"/>
  <c r="CU27" i="5" s="1"/>
  <c r="CU28" i="5" s="1"/>
  <c r="CU29" i="5" s="1"/>
  <c r="CU30" i="5" s="1"/>
  <c r="CU31" i="5" s="1"/>
  <c r="CU32" i="5" s="1"/>
  <c r="CU33" i="5" s="1"/>
  <c r="CU34" i="5" s="1"/>
  <c r="CU35" i="5" s="1"/>
  <c r="CU36" i="5" s="1"/>
  <c r="CU37" i="5" s="1"/>
  <c r="CU38" i="5" s="1"/>
  <c r="CU39" i="5" s="1"/>
  <c r="CN11" i="4"/>
  <c r="CN12" i="4" s="1"/>
  <c r="CN13" i="4" s="1"/>
  <c r="CN14" i="4" s="1"/>
  <c r="CJ11" i="4"/>
  <c r="CK11" i="4" s="1"/>
  <c r="CK15" i="4" l="1"/>
  <c r="CK16" i="4" s="1"/>
  <c r="CK17" i="4" s="1"/>
  <c r="CK18" i="4" s="1"/>
  <c r="CK19" i="4" s="1"/>
  <c r="CK20" i="4" s="1"/>
  <c r="CK21" i="4" s="1"/>
  <c r="CK22" i="4"/>
  <c r="CK23" i="4" s="1"/>
  <c r="CK24" i="4" s="1"/>
  <c r="CK25" i="4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</calcChain>
</file>

<file path=xl/comments1.xml><?xml version="1.0" encoding="utf-8"?>
<comments xmlns="http://schemas.openxmlformats.org/spreadsheetml/2006/main">
  <authors>
    <author>mschrab</author>
    <author>rcabrer</author>
    <author>lisa kinsey</author>
  </authors>
  <commentList>
    <comment ref="BR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36049 max in April</t>
        </r>
      </text>
    </comment>
    <comment ref="AN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positive number.   If we are taking out of park, it should be negative
</t>
        </r>
      </text>
    </comment>
    <comment ref="AZ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A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C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D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I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these three should equal the injection at St.Clair in Unify</t>
        </r>
      </text>
    </comment>
    <comment ref="BK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central
</t>
        </r>
      </text>
    </comment>
    <comment ref="CN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Reminder!
Insert this from the previous month ending balance   441470 is Bal for May</t>
        </r>
      </text>
    </comment>
    <comment ref="AN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cut by hios idiots 1241</t>
        </r>
      </text>
    </comment>
    <comment ref="AN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C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result of hios cut</t>
        </r>
      </text>
    </comment>
    <comment ref="BH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3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40,734 from ANR Alliance to Farwell
</t>
        </r>
      </text>
    </comment>
    <comment ref="AN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4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30,000 FROM ALLIANCE POINT DELIVERING 29,649 @ FARWELL</t>
        </r>
      </text>
    </comment>
    <comment ref="AN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
Dynegy cut us at farwell for 16th only</t>
        </r>
      </text>
    </comment>
    <comment ref="AN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6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7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</commentList>
</comments>
</file>

<file path=xl/comments2.xml><?xml version="1.0" encoding="utf-8"?>
<comments xmlns="http://schemas.openxmlformats.org/spreadsheetml/2006/main">
  <authors>
    <author>mschrab</author>
    <author>rcabrer</author>
    <author>lisa kinsey</author>
  </authors>
  <commentList>
    <comment ref="BN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</text>
    </comment>
    <comment ref="K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64992
</t>
        </r>
      </text>
    </comment>
    <comment ref="BQ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add this to sithe tran. Sp. Sheet delivery and give to rhonda </t>
        </r>
      </text>
    </comment>
    <comment ref="K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negative is a park</t>
        </r>
      </text>
    </comment>
    <comment ref="BO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P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K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16058 confirmed at Emmerson for the 1st b/c of the farwell 10000 cut</t>
        </r>
      </text>
    </comment>
    <comment ref="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2564
 Rec.</t>
        </r>
      </text>
    </comment>
    <comment ref="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Rec. 29578
</t>
        </r>
      </text>
    </comment>
    <comment ref="Z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Rec.12122
</t>
        </r>
      </text>
    </comment>
    <comment ref="AF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BS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it cut for 9/16-9/18
IT not flowing ojibway
 to Dawn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</commentList>
</comments>
</file>

<file path=xl/comments3.xml><?xml version="1.0" encoding="utf-8"?>
<comments xmlns="http://schemas.openxmlformats.org/spreadsheetml/2006/main">
  <authors>
    <author>rcabrer</author>
  </authors>
  <commentList>
    <comment ref="B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>Beware, formula here.</t>
        </r>
      </text>
    </comment>
  </commentList>
</comments>
</file>

<file path=xl/sharedStrings.xml><?xml version="1.0" encoding="utf-8"?>
<sst xmlns="http://schemas.openxmlformats.org/spreadsheetml/2006/main" count="799" uniqueCount="195">
  <si>
    <t xml:space="preserve"> </t>
  </si>
  <si>
    <t>From Sithe spreadsheet</t>
  </si>
  <si>
    <t>for central</t>
  </si>
  <si>
    <t>Campare with</t>
  </si>
  <si>
    <t>we tran. rhonda</t>
  </si>
  <si>
    <t>Jeff Davis</t>
  </si>
  <si>
    <t>PEPL</t>
  </si>
  <si>
    <t>Rhonda</t>
  </si>
  <si>
    <t>Sale to Sithe</t>
  </si>
  <si>
    <t>Sale</t>
  </si>
  <si>
    <t>GLGT</t>
  </si>
  <si>
    <t>TCPL</t>
  </si>
  <si>
    <t xml:space="preserve">Payback </t>
  </si>
  <si>
    <t>PEPL @</t>
  </si>
  <si>
    <t>Union @</t>
  </si>
  <si>
    <t>TCPL @</t>
  </si>
  <si>
    <t>ENGAGE</t>
  </si>
  <si>
    <t>GreatLakes</t>
  </si>
  <si>
    <t>GLGT @</t>
  </si>
  <si>
    <t>GLGT fuel</t>
  </si>
  <si>
    <t>Payback</t>
  </si>
  <si>
    <t>Park</t>
  </si>
  <si>
    <t>CXY</t>
  </si>
  <si>
    <t>GKLS @</t>
  </si>
  <si>
    <t>Great Lakes</t>
  </si>
  <si>
    <t>Purchases</t>
  </si>
  <si>
    <t>Sells</t>
  </si>
  <si>
    <t>Backed</t>
  </si>
  <si>
    <t>in GJ</t>
  </si>
  <si>
    <t>minus fuel</t>
  </si>
  <si>
    <t xml:space="preserve">at </t>
  </si>
  <si>
    <t>Empire</t>
  </si>
  <si>
    <t>Ojibway</t>
  </si>
  <si>
    <t xml:space="preserve">PEPL </t>
  </si>
  <si>
    <t>Dawn</t>
  </si>
  <si>
    <t>Kirkwall</t>
  </si>
  <si>
    <t>Chippawa</t>
  </si>
  <si>
    <t>Canadian @</t>
  </si>
  <si>
    <t xml:space="preserve">Total </t>
  </si>
  <si>
    <t>ECT Sales</t>
  </si>
  <si>
    <t>Sithe</t>
  </si>
  <si>
    <t>Position</t>
  </si>
  <si>
    <t>Storage @</t>
  </si>
  <si>
    <t>Cumulative</t>
  </si>
  <si>
    <t xml:space="preserve">Storage </t>
  </si>
  <si>
    <t>Unutilized</t>
  </si>
  <si>
    <t>ANR @</t>
  </si>
  <si>
    <t>Loan</t>
  </si>
  <si>
    <t>Emerson</t>
  </si>
  <si>
    <t>Emerson to</t>
  </si>
  <si>
    <t>Farwell</t>
  </si>
  <si>
    <t>Crystal F.</t>
  </si>
  <si>
    <t>Crystal Fall</t>
  </si>
  <si>
    <t>GKLS</t>
  </si>
  <si>
    <t>Bell River</t>
  </si>
  <si>
    <t>Belle to</t>
  </si>
  <si>
    <t>St. Clair</t>
  </si>
  <si>
    <t>from Canada</t>
  </si>
  <si>
    <t>to Ontario</t>
  </si>
  <si>
    <t>to Sithe</t>
  </si>
  <si>
    <t>off Farwell</t>
  </si>
  <si>
    <t>"-" = gas from</t>
  </si>
  <si>
    <t xml:space="preserve">Supply </t>
  </si>
  <si>
    <t>Storage</t>
  </si>
  <si>
    <t>payback</t>
  </si>
  <si>
    <t>fuel to</t>
  </si>
  <si>
    <t>receipt</t>
  </si>
  <si>
    <t>delivery in</t>
  </si>
  <si>
    <t>at</t>
  </si>
  <si>
    <t>At</t>
  </si>
  <si>
    <t>Requirements</t>
  </si>
  <si>
    <t>PARK</t>
  </si>
  <si>
    <t>Union</t>
  </si>
  <si>
    <t>Capacity</t>
  </si>
  <si>
    <t>@ Farwell</t>
  </si>
  <si>
    <t>@ Emerson</t>
  </si>
  <si>
    <t>St Clair</t>
  </si>
  <si>
    <t>to Carlton</t>
  </si>
  <si>
    <t>to Farwell</t>
  </si>
  <si>
    <t>Emer FT0324</t>
  </si>
  <si>
    <t>to St. Clair</t>
  </si>
  <si>
    <t>@ St Clair</t>
  </si>
  <si>
    <t>(mmbtu)</t>
  </si>
  <si>
    <t xml:space="preserve"> @ St. Clair</t>
  </si>
  <si>
    <t>to Chip</t>
  </si>
  <si>
    <t>gj</t>
  </si>
  <si>
    <t xml:space="preserve"> (mmbtu's)</t>
  </si>
  <si>
    <t>"+" = gas to</t>
  </si>
  <si>
    <t xml:space="preserve"> (mmbtu)</t>
  </si>
  <si>
    <t>Withdrawl</t>
  </si>
  <si>
    <t>@ Ojibway</t>
  </si>
  <si>
    <t>mmbtu's</t>
  </si>
  <si>
    <t>Supply</t>
  </si>
  <si>
    <t>@ Chippawa</t>
  </si>
  <si>
    <t>See Keith</t>
  </si>
  <si>
    <t>mmbtu</t>
  </si>
  <si>
    <t>SE</t>
  </si>
  <si>
    <t>SW</t>
  </si>
  <si>
    <t>"-"</t>
  </si>
  <si>
    <t>FT0324</t>
  </si>
  <si>
    <t>@Farwell</t>
  </si>
  <si>
    <t>Belle River</t>
  </si>
  <si>
    <t>St.Clair</t>
  </si>
  <si>
    <t>Parked</t>
  </si>
  <si>
    <t>"+"</t>
  </si>
  <si>
    <t>Fuel Ratios</t>
  </si>
  <si>
    <r>
      <t>ANR</t>
    </r>
    <r>
      <rPr>
        <sz val="8"/>
        <rFont val="Arial"/>
        <family val="2"/>
      </rPr>
      <t>-S.W. Field to Farwell</t>
    </r>
  </si>
  <si>
    <r>
      <t>ANR</t>
    </r>
    <r>
      <rPr>
        <sz val="8"/>
        <rFont val="Arial"/>
        <family val="2"/>
      </rPr>
      <t>-S.E. Field to Farwell</t>
    </r>
  </si>
  <si>
    <r>
      <t>PEPL</t>
    </r>
    <r>
      <rPr>
        <sz val="8"/>
        <rFont val="Arial"/>
        <family val="2"/>
      </rPr>
      <t>-Field to Ojibway</t>
    </r>
  </si>
  <si>
    <r>
      <t>GLGT</t>
    </r>
    <r>
      <rPr>
        <sz val="8"/>
        <rFont val="Arial"/>
        <family val="2"/>
      </rPr>
      <t>-Farwell to St.Clair</t>
    </r>
  </si>
  <si>
    <r>
      <t>TCPL</t>
    </r>
    <r>
      <rPr>
        <sz val="8"/>
        <rFont val="Arial"/>
        <family val="2"/>
      </rPr>
      <t>-St. Clair to Chippawa</t>
    </r>
  </si>
  <si>
    <r>
      <t>Union</t>
    </r>
    <r>
      <rPr>
        <sz val="8"/>
        <rFont val="Arial"/>
        <family val="2"/>
      </rPr>
      <t>-Ojibway to Dawn</t>
    </r>
  </si>
  <si>
    <r>
      <t>Union</t>
    </r>
    <r>
      <rPr>
        <sz val="8"/>
        <rFont val="Arial"/>
        <family val="2"/>
      </rPr>
      <t>-Dawn to Kirkwall</t>
    </r>
  </si>
  <si>
    <r>
      <t>TCPL</t>
    </r>
    <r>
      <rPr>
        <sz val="8"/>
        <rFont val="Arial"/>
        <family val="2"/>
      </rPr>
      <t>-Kirkwall to Chippawa</t>
    </r>
  </si>
  <si>
    <r>
      <t>NiMo</t>
    </r>
    <r>
      <rPr>
        <sz val="8"/>
        <rFont val="Arial"/>
        <family val="2"/>
      </rPr>
      <t>-Empire to Plant Gate</t>
    </r>
  </si>
  <si>
    <t>TCPL - Empress to Chippawa</t>
  </si>
  <si>
    <t>GLGT - Emerson to St. Clair</t>
  </si>
  <si>
    <t>GLGT - Crystal Falls to St. Clair</t>
  </si>
  <si>
    <t>GLGT - Bell River to St. Clair</t>
  </si>
  <si>
    <t>GLGT - Emerson to Carlton</t>
  </si>
  <si>
    <t>GLGT - Emerson to Consumer</t>
  </si>
  <si>
    <t>GLGT - Emerson to Farwell</t>
  </si>
  <si>
    <t>deliveries</t>
  </si>
  <si>
    <t>15189/day from Tenaska</t>
  </si>
  <si>
    <t>Transport to Central</t>
  </si>
  <si>
    <t>"look at Central"</t>
  </si>
  <si>
    <t>Sell of Transport</t>
  </si>
  <si>
    <t>ML5</t>
  </si>
  <si>
    <t>ML6</t>
  </si>
  <si>
    <t>Coenergy</t>
  </si>
  <si>
    <t>Duke</t>
  </si>
  <si>
    <t>Ft James</t>
  </si>
  <si>
    <t>SE MRKT</t>
  </si>
  <si>
    <t>3rd Party</t>
  </si>
  <si>
    <t>Total</t>
  </si>
  <si>
    <t>Loan/unpark</t>
  </si>
  <si>
    <t>Farwell to</t>
  </si>
  <si>
    <t>from Central</t>
  </si>
  <si>
    <t>to Canada</t>
  </si>
  <si>
    <t>to Central</t>
  </si>
  <si>
    <t>Diversions</t>
  </si>
  <si>
    <t>@ Belle R</t>
  </si>
  <si>
    <t>market ctr</t>
  </si>
  <si>
    <t>FT0089</t>
  </si>
  <si>
    <t>MC0039</t>
  </si>
  <si>
    <t>Updated</t>
  </si>
  <si>
    <t>GLGT - Emerson to St. Clair/Belle River</t>
  </si>
  <si>
    <t>POOL</t>
  </si>
  <si>
    <t>balance goes to Mich on MC0039</t>
  </si>
  <si>
    <t>per engage</t>
  </si>
  <si>
    <t>delivered to St. C to Rhonda</t>
  </si>
  <si>
    <t>Em to ST. Clair</t>
  </si>
  <si>
    <t>Delivered</t>
  </si>
  <si>
    <t>Fuel</t>
  </si>
  <si>
    <t>Receipt</t>
  </si>
  <si>
    <t>Farwell to St. Clair</t>
  </si>
  <si>
    <t>Belle RIver to St. Clair</t>
  </si>
  <si>
    <t>fuel</t>
  </si>
  <si>
    <t>Chippew</t>
  </si>
  <si>
    <t>FT1007</t>
  </si>
  <si>
    <t>mdq15000</t>
  </si>
  <si>
    <t>Central Desk</t>
  </si>
  <si>
    <t>Ft0089</t>
  </si>
  <si>
    <t xml:space="preserve">Purchases </t>
  </si>
  <si>
    <t>from Ontario</t>
  </si>
  <si>
    <t>Buy/sell</t>
  </si>
  <si>
    <t>third party</t>
  </si>
  <si>
    <t>"0"</t>
  </si>
  <si>
    <t>Test</t>
  </si>
  <si>
    <t>mdq 5000</t>
  </si>
  <si>
    <t>FT1020</t>
  </si>
  <si>
    <t>mdq 5390</t>
  </si>
  <si>
    <t>"Chipp"</t>
  </si>
  <si>
    <t>GLGT - Crystal Falls( Fortune Lake) to St. Clair</t>
  </si>
  <si>
    <t>GLGT - Emerson to Carlton(Consumers)</t>
  </si>
  <si>
    <t>GLGT - Emerson to Consumer (Chipp)</t>
  </si>
  <si>
    <t>SITHE</t>
  </si>
  <si>
    <t>Chippewa</t>
  </si>
  <si>
    <r>
      <t>FT 0004-</t>
    </r>
    <r>
      <rPr>
        <b/>
        <i/>
        <sz val="10"/>
        <color indexed="20"/>
        <rFont val="Arial"/>
        <family val="2"/>
      </rPr>
      <t>1372</t>
    </r>
  </si>
  <si>
    <t>mdq28530</t>
  </si>
  <si>
    <t>Excel: Sithe Aug 00-.xls</t>
  </si>
  <si>
    <t xml:space="preserve">  </t>
  </si>
  <si>
    <t>REC. 26,390/day</t>
  </si>
  <si>
    <t>mdq 11662</t>
  </si>
  <si>
    <t>FT0004-1380</t>
  </si>
  <si>
    <t>Enhanced Capacity</t>
  </si>
  <si>
    <t>FT 0004-1382</t>
  </si>
  <si>
    <t>mdq 28530</t>
  </si>
  <si>
    <t>mm</t>
  </si>
  <si>
    <t>To Darrenator</t>
  </si>
  <si>
    <t>Wes Dempsey</t>
  </si>
  <si>
    <t>Cap=119740</t>
  </si>
  <si>
    <t>GLGT - Consumer(Chipp) to St. Clair</t>
  </si>
  <si>
    <t>St C</t>
  </si>
  <si>
    <t>St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</si>
</sst>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3" formatCode="_(* #,##0.00_);_(* \(#,##0.00\);_(* &quot;-&quot;??_);_(@_)"/>
    <numFmt numFmtId="164" formatCode="0_);[Red]\(0\)"/>
    <numFmt numFmtId="165" formatCode="#,##0.0_);[Red]\(#,##0.0\)"/>
    <numFmt numFmtId="166" formatCode="_(* #,##0_);_(* \(#,##0\);_(* &quot;-&quot;??_);_(@_)"/>
    <numFmt numFmtId="167" formatCode="0.00#%"/>
    <numFmt numFmtId="168" formatCode="0.000"/>
    <numFmt numFmtId="169" formatCode="0.0000000%"/>
    <numFmt numFmtId="170" formatCode="0.00000000"/>
    <numFmt numFmtId="171" formatCode="0.00000%"/>
    <numFmt numFmtId="172" formatCode="0.0000%"/>
    <numFmt numFmtId="173" formatCode="0.00000"/>
    <numFmt numFmtId="174" formatCode="0.0000000"/>
    <numFmt numFmtId="175" formatCode="#,##0.0000_);[Red]\(#,##0.0000\)"/>
    <numFmt numFmtId="176" formatCode="#&quot;\&quot;&quot;\&quot;&quot;\&quot;&quot;\&quot;\ ??/??"/>
    <numFmt numFmtId="177" formatCode="yy&quot;\&quot;&quot;\&quot;&quot;\&quot;\-mm&quot;\&quot;&quot;\&quot;&quot;\&quot;\-dd&quot;\&quot;&quot;\&quot;&quot;\&quot;&quot;\&quot;\ h:mm"/>
    <numFmt numFmtId="182" formatCode="#,##0.000000_);[Red]\(#,##0.000000\)"/>
  </numFmts>
  <fonts count="63">
    <font>
      <sz val="10"/>
      <name val="Arial"/>
    </font>
    <font>
      <sz val="10"/>
      <name val="Arial"/>
    </font>
    <font>
      <sz val="9"/>
      <name val="Arial"/>
    </font>
    <font>
      <b/>
      <u/>
      <sz val="8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21"/>
      <name val="Arial"/>
      <family val="2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0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b/>
      <i/>
      <sz val="10"/>
      <name val="Arial"/>
    </font>
    <font>
      <sz val="10"/>
      <color indexed="21"/>
      <name val="Arial"/>
      <family val="2"/>
    </font>
    <font>
      <sz val="10"/>
      <color indexed="17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</font>
    <font>
      <b/>
      <sz val="10"/>
      <color indexed="17"/>
      <name val="Arial"/>
      <family val="2"/>
    </font>
    <font>
      <b/>
      <sz val="11"/>
      <color indexed="10"/>
      <name val="Arial"/>
      <family val="2"/>
    </font>
    <font>
      <sz val="10"/>
      <color indexed="50"/>
      <name val="Arial"/>
    </font>
    <font>
      <b/>
      <sz val="10"/>
      <color indexed="21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b/>
      <sz val="10"/>
      <color indexed="17"/>
      <name val="Arial"/>
    </font>
    <font>
      <b/>
      <sz val="10"/>
      <color indexed="21"/>
      <name val="Arial"/>
    </font>
    <font>
      <b/>
      <sz val="10"/>
      <color indexed="5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</font>
    <font>
      <sz val="9"/>
      <color indexed="61"/>
      <name val="Arial"/>
      <family val="2"/>
    </font>
    <font>
      <sz val="9"/>
      <color indexed="12"/>
      <name val="Arial"/>
      <family val="2"/>
    </font>
    <font>
      <sz val="9"/>
      <color indexed="38"/>
      <name val="Arial"/>
    </font>
    <font>
      <sz val="9"/>
      <name val="Arial"/>
      <family val="2"/>
    </font>
    <font>
      <b/>
      <sz val="8"/>
      <name val="Arial"/>
    </font>
    <font>
      <b/>
      <sz val="10"/>
      <color indexed="10"/>
      <name val="Arial"/>
    </font>
    <font>
      <b/>
      <sz val="9"/>
      <color indexed="61"/>
      <name val="Arial"/>
      <family val="2"/>
    </font>
    <font>
      <b/>
      <sz val="16"/>
      <name val="Arial"/>
      <family val="2"/>
    </font>
    <font>
      <sz val="14"/>
      <color indexed="81"/>
      <name val="Tahoma"/>
      <family val="2"/>
    </font>
    <font>
      <sz val="10"/>
      <color indexed="17"/>
      <name val="Arial"/>
      <family val="2"/>
    </font>
    <font>
      <b/>
      <i/>
      <sz val="10"/>
      <color indexed="14"/>
      <name val="Arial"/>
      <family val="2"/>
    </font>
    <font>
      <sz val="10"/>
      <color indexed="14"/>
      <name val="Arial"/>
      <family val="2"/>
    </font>
    <font>
      <b/>
      <i/>
      <sz val="10"/>
      <color indexed="17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color indexed="10"/>
      <name val="Arial"/>
      <family val="2"/>
    </font>
    <font>
      <b/>
      <sz val="10"/>
      <color indexed="52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6"/>
      <name val="Arial"/>
      <family val="2"/>
    </font>
    <font>
      <b/>
      <sz val="10"/>
      <color indexed="14"/>
      <name val="Arial"/>
      <family val="2"/>
    </font>
    <font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b/>
      <i/>
      <sz val="10"/>
      <color indexed="20"/>
      <name val="Arial"/>
      <family val="2"/>
    </font>
    <font>
      <b/>
      <sz val="10"/>
      <color indexed="5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11" fillId="0" borderId="0">
      <protection locked="0"/>
    </xf>
    <xf numFmtId="177" fontId="1" fillId="0" borderId="0">
      <protection locked="0"/>
    </xf>
    <xf numFmtId="0" fontId="13" fillId="0" borderId="0" applyNumberFormat="0" applyFill="0" applyBorder="0" applyAlignment="0" applyProtection="0"/>
    <xf numFmtId="177" fontId="11" fillId="0" borderId="0">
      <protection locked="0"/>
    </xf>
    <xf numFmtId="177" fontId="11" fillId="0" borderId="0">
      <protection locked="0"/>
    </xf>
    <xf numFmtId="0" fontId="14" fillId="0" borderId="1" applyNumberFormat="0" applyFill="0" applyAlignment="0" applyProtection="0"/>
    <xf numFmtId="176" fontId="11" fillId="0" borderId="0"/>
    <xf numFmtId="0" fontId="2" fillId="0" borderId="0"/>
    <xf numFmtId="177" fontId="11" fillId="0" borderId="2">
      <protection locked="0"/>
    </xf>
    <xf numFmtId="37" fontId="4" fillId="2" borderId="0" applyNumberFormat="0" applyBorder="0" applyAlignment="0" applyProtection="0"/>
    <xf numFmtId="37" fontId="15" fillId="0" borderId="0"/>
    <xf numFmtId="3" fontId="8" fillId="0" borderId="1" applyProtection="0"/>
  </cellStyleXfs>
  <cellXfs count="305">
    <xf numFmtId="0" fontId="0" fillId="0" borderId="0" xfId="0"/>
    <xf numFmtId="38" fontId="3" fillId="0" borderId="3" xfId="9" applyNumberFormat="1" applyFont="1" applyBorder="1" applyAlignment="1">
      <alignment horizontal="left"/>
    </xf>
    <xf numFmtId="0" fontId="3" fillId="0" borderId="0" xfId="9" applyFont="1" applyAlignment="1">
      <alignment horizontal="left"/>
    </xf>
    <xf numFmtId="38" fontId="4" fillId="0" borderId="0" xfId="9" applyNumberFormat="1" applyFont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Border="1"/>
    <xf numFmtId="38" fontId="9" fillId="0" borderId="0" xfId="0" applyNumberFormat="1" applyFont="1"/>
    <xf numFmtId="0" fontId="4" fillId="0" borderId="0" xfId="0" applyFont="1" applyBorder="1" applyAlignment="1">
      <alignment horizontal="center"/>
    </xf>
    <xf numFmtId="38" fontId="4" fillId="0" borderId="0" xfId="0" applyNumberFormat="1" applyFont="1"/>
    <xf numFmtId="38" fontId="8" fillId="0" borderId="0" xfId="0" applyNumberFormat="1" applyFont="1"/>
    <xf numFmtId="38" fontId="7" fillId="0" borderId="0" xfId="0" applyNumberFormat="1" applyFont="1"/>
    <xf numFmtId="38" fontId="7" fillId="0" borderId="3" xfId="9" applyNumberFormat="1" applyFont="1" applyBorder="1" applyAlignment="1">
      <alignment horizontal="left"/>
    </xf>
    <xf numFmtId="167" fontId="7" fillId="0" borderId="0" xfId="9" applyNumberFormat="1" applyFont="1"/>
    <xf numFmtId="38" fontId="7" fillId="0" borderId="0" xfId="9" applyNumberFormat="1" applyFont="1" applyBorder="1" applyAlignment="1">
      <alignment horizontal="left"/>
    </xf>
    <xf numFmtId="168" fontId="7" fillId="0" borderId="0" xfId="9" applyNumberFormat="1" applyFont="1"/>
    <xf numFmtId="169" fontId="7" fillId="0" borderId="0" xfId="9" applyNumberFormat="1" applyFont="1"/>
    <xf numFmtId="170" fontId="7" fillId="0" borderId="0" xfId="9" applyNumberFormat="1" applyFont="1"/>
    <xf numFmtId="0" fontId="16" fillId="0" borderId="3" xfId="0" applyFont="1" applyBorder="1"/>
    <xf numFmtId="0" fontId="16" fillId="0" borderId="0" xfId="0" applyFont="1" applyBorder="1"/>
    <xf numFmtId="0" fontId="0" fillId="0" borderId="3" xfId="0" applyBorder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7" fillId="0" borderId="0" xfId="0" applyFont="1"/>
    <xf numFmtId="0" fontId="0" fillId="3" borderId="0" xfId="0" applyFill="1"/>
    <xf numFmtId="0" fontId="20" fillId="3" borderId="0" xfId="0" applyFont="1" applyFill="1"/>
    <xf numFmtId="0" fontId="14" fillId="0" borderId="0" xfId="0" applyFont="1"/>
    <xf numFmtId="0" fontId="20" fillId="0" borderId="0" xfId="0" applyFont="1" applyFill="1"/>
    <xf numFmtId="0" fontId="0" fillId="0" borderId="5" xfId="0" applyBorder="1"/>
    <xf numFmtId="0" fontId="21" fillId="0" borderId="0" xfId="0" applyFont="1"/>
    <xf numFmtId="17" fontId="19" fillId="0" borderId="3" xfId="0" applyNumberFormat="1" applyFont="1" applyBorder="1"/>
    <xf numFmtId="17" fontId="16" fillId="0" borderId="0" xfId="0" applyNumberFormat="1" applyFont="1" applyBorder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0" fillId="0" borderId="4" xfId="0" applyBorder="1"/>
    <xf numFmtId="17" fontId="16" fillId="0" borderId="3" xfId="0" applyNumberFormat="1" applyFont="1" applyBorder="1"/>
    <xf numFmtId="0" fontId="0" fillId="0" borderId="3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2" fillId="2" borderId="6" xfId="0" applyFont="1" applyFill="1" applyBorder="1"/>
    <xf numFmtId="0" fontId="22" fillId="2" borderId="7" xfId="0" applyFont="1" applyFill="1" applyBorder="1"/>
    <xf numFmtId="0" fontId="23" fillId="0" borderId="4" xfId="0" applyFont="1" applyBorder="1"/>
    <xf numFmtId="0" fontId="0" fillId="0" borderId="0" xfId="0" applyBorder="1"/>
    <xf numFmtId="38" fontId="24" fillId="0" borderId="0" xfId="0" applyNumberFormat="1" applyFont="1"/>
    <xf numFmtId="0" fontId="25" fillId="2" borderId="8" xfId="0" applyFont="1" applyFill="1" applyBorder="1"/>
    <xf numFmtId="0" fontId="25" fillId="2" borderId="9" xfId="0" applyFont="1" applyFill="1" applyBorder="1"/>
    <xf numFmtId="0" fontId="17" fillId="0" borderId="10" xfId="0" applyFont="1" applyBorder="1"/>
    <xf numFmtId="0" fontId="21" fillId="0" borderId="0" xfId="0" applyFont="1" applyAlignment="1">
      <alignment horizontal="left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8" fontId="17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/>
    <xf numFmtId="0" fontId="27" fillId="0" borderId="0" xfId="0" applyFont="1"/>
    <xf numFmtId="0" fontId="2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19" fillId="5" borderId="0" xfId="0" applyFont="1" applyFill="1"/>
    <xf numFmtId="0" fontId="32" fillId="0" borderId="0" xfId="0" applyFont="1"/>
    <xf numFmtId="0" fontId="21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6" fillId="0" borderId="3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2" fillId="0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quotePrefix="1" applyFont="1" applyAlignment="1">
      <alignment horizontal="left"/>
    </xf>
    <xf numFmtId="0" fontId="25" fillId="0" borderId="0" xfId="0" quotePrefix="1" applyFont="1"/>
    <xf numFmtId="0" fontId="35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38" fontId="33" fillId="0" borderId="0" xfId="0" applyNumberFormat="1" applyFont="1"/>
    <xf numFmtId="0" fontId="28" fillId="0" borderId="0" xfId="0" applyFont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3" xfId="0" applyNumberFormat="1" applyBorder="1"/>
    <xf numFmtId="38" fontId="0" fillId="0" borderId="0" xfId="0" applyNumberFormat="1" applyBorder="1"/>
    <xf numFmtId="38" fontId="1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38" fontId="12" fillId="0" borderId="0" xfId="0" applyNumberFormat="1" applyFont="1" applyFill="1"/>
    <xf numFmtId="38" fontId="12" fillId="0" borderId="3" xfId="0" applyNumberFormat="1" applyFont="1" applyFill="1" applyBorder="1"/>
    <xf numFmtId="38" fontId="12" fillId="0" borderId="0" xfId="0" applyNumberFormat="1" applyFont="1"/>
    <xf numFmtId="38" fontId="0" fillId="0" borderId="0" xfId="0" applyNumberFormat="1"/>
    <xf numFmtId="38" fontId="36" fillId="0" borderId="0" xfId="9" applyNumberFormat="1" applyFont="1"/>
    <xf numFmtId="38" fontId="37" fillId="0" borderId="0" xfId="9" applyNumberFormat="1" applyFont="1"/>
    <xf numFmtId="38" fontId="30" fillId="0" borderId="0" xfId="0" applyNumberFormat="1" applyFont="1"/>
    <xf numFmtId="38" fontId="0" fillId="5" borderId="0" xfId="0" applyNumberFormat="1" applyFill="1"/>
    <xf numFmtId="3" fontId="25" fillId="0" borderId="0" xfId="0" applyNumberFormat="1" applyFont="1" applyBorder="1" applyAlignment="1">
      <alignment horizontal="center"/>
    </xf>
    <xf numFmtId="165" fontId="14" fillId="0" borderId="0" xfId="0" applyNumberFormat="1" applyFont="1"/>
    <xf numFmtId="165" fontId="37" fillId="0" borderId="0" xfId="9" applyNumberFormat="1" applyFont="1"/>
    <xf numFmtId="38" fontId="25" fillId="0" borderId="0" xfId="0" applyNumberFormat="1" applyFont="1"/>
    <xf numFmtId="38" fontId="38" fillId="0" borderId="0" xfId="9" applyNumberFormat="1" applyFont="1"/>
    <xf numFmtId="38" fontId="14" fillId="0" borderId="0" xfId="0" applyNumberFormat="1" applyFont="1"/>
    <xf numFmtId="38" fontId="39" fillId="0" borderId="0" xfId="9" applyNumberFormat="1" applyFont="1"/>
    <xf numFmtId="38" fontId="39" fillId="0" borderId="0" xfId="9" applyNumberFormat="1" applyFont="1" applyAlignment="1">
      <alignment horizontal="right"/>
    </xf>
    <xf numFmtId="38" fontId="0" fillId="0" borderId="4" xfId="0" applyNumberFormat="1" applyBorder="1"/>
    <xf numFmtId="38" fontId="21" fillId="0" borderId="0" xfId="0" applyNumberFormat="1" applyFont="1" applyAlignment="1">
      <alignment horizontal="center"/>
    </xf>
    <xf numFmtId="38" fontId="0" fillId="0" borderId="0" xfId="0" applyNumberFormat="1" applyFill="1"/>
    <xf numFmtId="166" fontId="1" fillId="0" borderId="0" xfId="1" applyNumberFormat="1" applyFont="1"/>
    <xf numFmtId="38" fontId="0" fillId="0" borderId="3" xfId="0" applyNumberFormat="1" applyBorder="1"/>
    <xf numFmtId="38" fontId="19" fillId="0" borderId="0" xfId="0" applyNumberFormat="1" applyFont="1"/>
    <xf numFmtId="38" fontId="3" fillId="0" borderId="0" xfId="9" applyNumberFormat="1" applyFont="1" applyBorder="1" applyAlignment="1">
      <alignment horizontal="left"/>
    </xf>
    <xf numFmtId="38" fontId="40" fillId="0" borderId="0" xfId="9" applyNumberFormat="1" applyFont="1" applyBorder="1" applyAlignment="1">
      <alignment horizontal="left"/>
    </xf>
    <xf numFmtId="0" fontId="41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38" fontId="7" fillId="0" borderId="0" xfId="9" applyNumberFormat="1" applyFont="1" applyBorder="1" applyAlignment="1">
      <alignment horizontal="center"/>
    </xf>
    <xf numFmtId="38" fontId="4" fillId="0" borderId="3" xfId="0" applyNumberFormat="1" applyFont="1" applyBorder="1"/>
    <xf numFmtId="38" fontId="9" fillId="0" borderId="3" xfId="0" applyNumberFormat="1" applyFont="1" applyBorder="1"/>
    <xf numFmtId="0" fontId="22" fillId="0" borderId="0" xfId="0" applyFont="1" applyFill="1" applyBorder="1"/>
    <xf numFmtId="0" fontId="0" fillId="0" borderId="0" xfId="0" applyAlignment="1">
      <alignment horizontal="left"/>
    </xf>
    <xf numFmtId="0" fontId="25" fillId="0" borderId="0" xfId="0" applyFont="1" applyFill="1" applyBorder="1"/>
    <xf numFmtId="0" fontId="29" fillId="7" borderId="11" xfId="0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0" fontId="29" fillId="0" borderId="0" xfId="0" quotePrefix="1" applyFont="1" applyBorder="1" applyAlignment="1">
      <alignment horizontal="center"/>
    </xf>
    <xf numFmtId="38" fontId="40" fillId="0" borderId="3" xfId="9" applyNumberFormat="1" applyFont="1" applyBorder="1" applyAlignment="1">
      <alignment horizontal="left"/>
    </xf>
    <xf numFmtId="168" fontId="40" fillId="0" borderId="0" xfId="9" applyNumberFormat="1" applyFont="1"/>
    <xf numFmtId="170" fontId="40" fillId="0" borderId="0" xfId="9" applyNumberFormat="1" applyFont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43" fillId="0" borderId="0" xfId="0" applyFont="1"/>
    <xf numFmtId="0" fontId="25" fillId="8" borderId="0" xfId="0" applyFont="1" applyFill="1" applyAlignment="1">
      <alignment horizontal="center"/>
    </xf>
    <xf numFmtId="166" fontId="0" fillId="0" borderId="0" xfId="1" applyNumberFormat="1" applyFont="1"/>
    <xf numFmtId="175" fontId="17" fillId="0" borderId="0" xfId="0" applyNumberFormat="1" applyFont="1"/>
    <xf numFmtId="166" fontId="0" fillId="0" borderId="0" xfId="0" applyNumberFormat="1"/>
    <xf numFmtId="169" fontId="0" fillId="0" borderId="0" xfId="0" applyNumberFormat="1"/>
    <xf numFmtId="173" fontId="0" fillId="0" borderId="0" xfId="0" applyNumberFormat="1"/>
    <xf numFmtId="174" fontId="7" fillId="0" borderId="0" xfId="9" applyNumberFormat="1" applyFont="1"/>
    <xf numFmtId="0" fontId="45" fillId="0" borderId="0" xfId="0" applyFont="1" applyFill="1"/>
    <xf numFmtId="38" fontId="45" fillId="0" borderId="0" xfId="0" applyNumberFormat="1" applyFont="1" applyFill="1"/>
    <xf numFmtId="0" fontId="47" fillId="8" borderId="0" xfId="0" applyFont="1" applyFill="1" applyAlignment="1">
      <alignment horizontal="center"/>
    </xf>
    <xf numFmtId="0" fontId="17" fillId="0" borderId="0" xfId="0" applyFont="1" applyBorder="1"/>
    <xf numFmtId="0" fontId="18" fillId="3" borderId="0" xfId="0" applyFont="1" applyFill="1" applyBorder="1"/>
    <xf numFmtId="0" fontId="18" fillId="0" borderId="0" xfId="0" applyFont="1" applyBorder="1"/>
    <xf numFmtId="38" fontId="33" fillId="0" borderId="0" xfId="0" applyNumberFormat="1" applyFont="1" applyBorder="1"/>
    <xf numFmtId="38" fontId="37" fillId="0" borderId="0" xfId="9" applyNumberFormat="1" applyFont="1" applyBorder="1"/>
    <xf numFmtId="38" fontId="17" fillId="0" borderId="0" xfId="0" applyNumberFormat="1" applyFont="1" applyBorder="1"/>
    <xf numFmtId="38" fontId="17" fillId="0" borderId="0" xfId="0" applyNumberFormat="1" applyFont="1" applyFill="1"/>
    <xf numFmtId="0" fontId="33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38" fontId="45" fillId="0" borderId="0" xfId="0" applyNumberFormat="1" applyFont="1"/>
    <xf numFmtId="172" fontId="7" fillId="0" borderId="0" xfId="9" applyNumberFormat="1" applyFont="1"/>
    <xf numFmtId="171" fontId="4" fillId="0" borderId="0" xfId="0" applyNumberFormat="1" applyFont="1" applyBorder="1"/>
    <xf numFmtId="171" fontId="7" fillId="0" borderId="0" xfId="9" applyNumberFormat="1" applyFont="1"/>
    <xf numFmtId="1" fontId="0" fillId="0" borderId="3" xfId="0" applyNumberFormat="1" applyBorder="1"/>
    <xf numFmtId="0" fontId="18" fillId="0" borderId="0" xfId="0" applyFont="1" applyFill="1"/>
    <xf numFmtId="38" fontId="17" fillId="0" borderId="0" xfId="0" applyNumberFormat="1" applyFont="1" applyAlignment="1">
      <alignment horizontal="center"/>
    </xf>
    <xf numFmtId="0" fontId="49" fillId="9" borderId="0" xfId="0" applyFont="1" applyFill="1" applyAlignment="1">
      <alignment horizontal="center"/>
    </xf>
    <xf numFmtId="175" fontId="17" fillId="0" borderId="0" xfId="0" applyNumberFormat="1" applyFont="1" applyFill="1"/>
    <xf numFmtId="38" fontId="50" fillId="0" borderId="11" xfId="0" applyNumberFormat="1" applyFont="1" applyFill="1" applyBorder="1" applyAlignment="1">
      <alignment horizontal="center"/>
    </xf>
    <xf numFmtId="0" fontId="18" fillId="10" borderId="0" xfId="0" applyFont="1" applyFill="1"/>
    <xf numFmtId="0" fontId="18" fillId="9" borderId="0" xfId="0" applyFont="1" applyFill="1"/>
    <xf numFmtId="0" fontId="18" fillId="8" borderId="0" xfId="0" applyFont="1" applyFill="1"/>
    <xf numFmtId="38" fontId="51" fillId="0" borderId="0" xfId="9" applyNumberFormat="1" applyFont="1"/>
    <xf numFmtId="0" fontId="0" fillId="3" borderId="0" xfId="0" applyFill="1" applyBorder="1"/>
    <xf numFmtId="0" fontId="21" fillId="6" borderId="0" xfId="0" applyFont="1" applyFill="1" applyBorder="1" applyAlignment="1">
      <alignment horizontal="center"/>
    </xf>
    <xf numFmtId="0" fontId="21" fillId="0" borderId="0" xfId="0" quotePrefix="1" applyFont="1" applyBorder="1" applyAlignment="1">
      <alignment horizontal="center"/>
    </xf>
    <xf numFmtId="38" fontId="4" fillId="0" borderId="0" xfId="0" applyNumberFormat="1" applyFont="1" applyBorder="1"/>
    <xf numFmtId="38" fontId="9" fillId="0" borderId="0" xfId="0" applyNumberFormat="1" applyFont="1" applyBorder="1"/>
    <xf numFmtId="38" fontId="26" fillId="0" borderId="0" xfId="0" applyNumberFormat="1" applyFont="1"/>
    <xf numFmtId="38" fontId="50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 applyAlignment="1">
      <alignment horizontal="center"/>
    </xf>
    <xf numFmtId="38" fontId="21" fillId="0" borderId="0" xfId="0" applyNumberFormat="1" applyFont="1" applyFill="1" applyAlignment="1">
      <alignment horizontal="center"/>
    </xf>
    <xf numFmtId="38" fontId="0" fillId="0" borderId="0" xfId="0" applyNumberFormat="1" applyFill="1" applyBorder="1"/>
    <xf numFmtId="38" fontId="12" fillId="0" borderId="0" xfId="0" applyNumberFormat="1" applyFont="1" applyFill="1" applyBorder="1" applyAlignment="1">
      <alignment horizontal="center"/>
    </xf>
    <xf numFmtId="38" fontId="51" fillId="0" borderId="0" xfId="9" applyNumberFormat="1" applyFont="1" applyFill="1"/>
    <xf numFmtId="166" fontId="1" fillId="0" borderId="0" xfId="1" applyNumberFormat="1" applyFont="1" applyFill="1"/>
    <xf numFmtId="0" fontId="0" fillId="0" borderId="0" xfId="0" applyFill="1"/>
    <xf numFmtId="0" fontId="2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4" fillId="0" borderId="3" xfId="0" applyFont="1" applyBorder="1"/>
    <xf numFmtId="0" fontId="26" fillId="0" borderId="0" xfId="0" applyFont="1"/>
    <xf numFmtId="0" fontId="26" fillId="0" borderId="0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38" fontId="19" fillId="0" borderId="0" xfId="0" applyNumberFormat="1" applyFont="1" applyFill="1"/>
    <xf numFmtId="38" fontId="53" fillId="0" borderId="0" xfId="9" applyNumberFormat="1" applyFont="1"/>
    <xf numFmtId="38" fontId="53" fillId="0" borderId="0" xfId="9" applyNumberFormat="1" applyFont="1" applyFill="1"/>
    <xf numFmtId="38" fontId="49" fillId="0" borderId="0" xfId="0" applyNumberFormat="1" applyFont="1"/>
    <xf numFmtId="3" fontId="34" fillId="0" borderId="0" xfId="0" applyNumberFormat="1" applyFont="1"/>
    <xf numFmtId="38" fontId="54" fillId="0" borderId="0" xfId="9" applyNumberFormat="1" applyFont="1"/>
    <xf numFmtId="38" fontId="54" fillId="0" borderId="0" xfId="9" applyNumberFormat="1" applyFont="1" applyFill="1"/>
    <xf numFmtId="0" fontId="55" fillId="0" borderId="0" xfId="0" applyFont="1" applyFill="1" applyBorder="1" applyAlignment="1">
      <alignment horizontal="center"/>
    </xf>
    <xf numFmtId="38" fontId="19" fillId="8" borderId="0" xfId="0" applyNumberFormat="1" applyFont="1" applyFill="1"/>
    <xf numFmtId="0" fontId="57" fillId="8" borderId="0" xfId="0" applyFont="1" applyFill="1" applyAlignment="1">
      <alignment horizontal="center"/>
    </xf>
    <xf numFmtId="38" fontId="7" fillId="0" borderId="14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center"/>
    </xf>
    <xf numFmtId="167" fontId="7" fillId="0" borderId="15" xfId="9" applyNumberFormat="1" applyFont="1" applyBorder="1"/>
    <xf numFmtId="0" fontId="58" fillId="0" borderId="0" xfId="0" applyFont="1" applyFill="1"/>
    <xf numFmtId="0" fontId="22" fillId="0" borderId="0" xfId="0" applyFont="1" applyFill="1" applyAlignment="1">
      <alignment horizontal="left"/>
    </xf>
    <xf numFmtId="0" fontId="18" fillId="11" borderId="0" xfId="0" applyFont="1" applyFill="1"/>
    <xf numFmtId="167" fontId="7" fillId="0" borderId="0" xfId="9" applyNumberFormat="1" applyFont="1" applyFill="1"/>
    <xf numFmtId="0" fontId="28" fillId="0" borderId="0" xfId="0" applyFont="1" applyFill="1" applyAlignment="1">
      <alignment horizontal="center"/>
    </xf>
    <xf numFmtId="38" fontId="19" fillId="0" borderId="3" xfId="0" applyNumberFormat="1" applyFont="1" applyBorder="1"/>
    <xf numFmtId="38" fontId="42" fillId="0" borderId="0" xfId="9" applyNumberFormat="1" applyFont="1"/>
    <xf numFmtId="0" fontId="17" fillId="0" borderId="3" xfId="0" applyFont="1" applyBorder="1"/>
    <xf numFmtId="0" fontId="18" fillId="3" borderId="3" xfId="0" applyFont="1" applyFill="1" applyBorder="1"/>
    <xf numFmtId="0" fontId="56" fillId="10" borderId="3" xfId="0" applyFont="1" applyFill="1" applyBorder="1"/>
    <xf numFmtId="38" fontId="55" fillId="0" borderId="16" xfId="0" applyNumberFormat="1" applyFont="1" applyFill="1" applyBorder="1" applyAlignment="1">
      <alignment horizontal="center"/>
    </xf>
    <xf numFmtId="0" fontId="18" fillId="0" borderId="3" xfId="0" applyFont="1" applyBorder="1"/>
    <xf numFmtId="0" fontId="29" fillId="0" borderId="3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5" fillId="0" borderId="3" xfId="0" applyFont="1" applyFill="1" applyBorder="1" applyAlignment="1">
      <alignment horizontal="center"/>
    </xf>
    <xf numFmtId="38" fontId="19" fillId="8" borderId="3" xfId="0" applyNumberFormat="1" applyFont="1" applyFill="1" applyBorder="1"/>
    <xf numFmtId="38" fontId="17" fillId="0" borderId="3" xfId="0" applyNumberFormat="1" applyFont="1" applyBorder="1"/>
    <xf numFmtId="38" fontId="17" fillId="0" borderId="3" xfId="0" applyNumberFormat="1" applyFont="1" applyBorder="1" applyAlignment="1">
      <alignment horizontal="center"/>
    </xf>
    <xf numFmtId="175" fontId="40" fillId="0" borderId="3" xfId="9" applyNumberFormat="1" applyFont="1" applyBorder="1" applyAlignment="1">
      <alignment horizontal="left"/>
    </xf>
    <xf numFmtId="0" fontId="34" fillId="9" borderId="3" xfId="0" applyFont="1" applyFill="1" applyBorder="1" applyAlignment="1">
      <alignment horizontal="center"/>
    </xf>
    <xf numFmtId="38" fontId="50" fillId="0" borderId="16" xfId="0" applyNumberFormat="1" applyFont="1" applyFill="1" applyBorder="1" applyAlignment="1">
      <alignment horizontal="center"/>
    </xf>
    <xf numFmtId="175" fontId="17" fillId="0" borderId="3" xfId="0" applyNumberFormat="1" applyFont="1" applyBorder="1"/>
    <xf numFmtId="0" fontId="33" fillId="0" borderId="3" xfId="0" applyFont="1" applyBorder="1" applyAlignment="1">
      <alignment horizontal="center"/>
    </xf>
    <xf numFmtId="38" fontId="4" fillId="0" borderId="3" xfId="9" applyNumberFormat="1" applyFont="1" applyBorder="1" applyAlignment="1">
      <alignment horizontal="left"/>
    </xf>
    <xf numFmtId="168" fontId="40" fillId="0" borderId="3" xfId="9" applyNumberFormat="1" applyFont="1" applyBorder="1"/>
    <xf numFmtId="170" fontId="40" fillId="0" borderId="3" xfId="9" applyNumberFormat="1" applyFont="1" applyBorder="1"/>
    <xf numFmtId="38" fontId="50" fillId="0" borderId="17" xfId="0" applyNumberFormat="1" applyFont="1" applyFill="1" applyBorder="1" applyAlignment="1">
      <alignment horizontal="center"/>
    </xf>
    <xf numFmtId="0" fontId="18" fillId="8" borderId="3" xfId="0" applyFont="1" applyFill="1" applyBorder="1"/>
    <xf numFmtId="38" fontId="24" fillId="0" borderId="3" xfId="0" applyNumberFormat="1" applyFont="1" applyBorder="1"/>
    <xf numFmtId="0" fontId="19" fillId="8" borderId="3" xfId="0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38" fontId="53" fillId="0" borderId="3" xfId="9" applyNumberFormat="1" applyFont="1" applyBorder="1"/>
    <xf numFmtId="0" fontId="18" fillId="0" borderId="3" xfId="0" applyFont="1" applyFill="1" applyBorder="1"/>
    <xf numFmtId="0" fontId="25" fillId="0" borderId="3" xfId="0" applyFont="1" applyBorder="1"/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38" fontId="12" fillId="0" borderId="3" xfId="0" applyNumberFormat="1" applyFont="1" applyBorder="1"/>
    <xf numFmtId="0" fontId="59" fillId="11" borderId="3" xfId="0" applyFont="1" applyFill="1" applyBorder="1"/>
    <xf numFmtId="0" fontId="28" fillId="0" borderId="3" xfId="0" applyFont="1" applyFill="1" applyBorder="1" applyAlignment="1">
      <alignment horizontal="center"/>
    </xf>
    <xf numFmtId="167" fontId="7" fillId="0" borderId="3" xfId="9" applyNumberFormat="1" applyFont="1" applyBorder="1"/>
    <xf numFmtId="169" fontId="7" fillId="0" borderId="3" xfId="9" applyNumberFormat="1" applyFont="1" applyBorder="1"/>
    <xf numFmtId="172" fontId="7" fillId="0" borderId="3" xfId="9" applyNumberFormat="1" applyFont="1" applyBorder="1"/>
    <xf numFmtId="174" fontId="7" fillId="0" borderId="3" xfId="9" applyNumberFormat="1" applyFont="1" applyBorder="1"/>
    <xf numFmtId="171" fontId="4" fillId="0" borderId="3" xfId="0" applyNumberFormat="1" applyFont="1" applyBorder="1"/>
    <xf numFmtId="171" fontId="7" fillId="0" borderId="3" xfId="9" applyNumberFormat="1" applyFont="1" applyBorder="1"/>
    <xf numFmtId="38" fontId="17" fillId="0" borderId="0" xfId="0" applyNumberFormat="1" applyFont="1" applyAlignment="1">
      <alignment horizontal="left" indent="2"/>
    </xf>
    <xf numFmtId="0" fontId="59" fillId="12" borderId="3" xfId="0" applyFont="1" applyFill="1" applyBorder="1"/>
    <xf numFmtId="0" fontId="18" fillId="12" borderId="0" xfId="0" applyFont="1" applyFill="1"/>
    <xf numFmtId="38" fontId="46" fillId="0" borderId="11" xfId="0" applyNumberFormat="1" applyFont="1" applyFill="1" applyBorder="1" applyAlignment="1">
      <alignment horizontal="center"/>
    </xf>
    <xf numFmtId="38" fontId="19" fillId="8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38" fontId="62" fillId="0" borderId="16" xfId="0" applyNumberFormat="1" applyFont="1" applyFill="1" applyBorder="1" applyAlignment="1">
      <alignment horizontal="center"/>
    </xf>
    <xf numFmtId="38" fontId="55" fillId="0" borderId="18" xfId="0" applyNumberFormat="1" applyFont="1" applyFill="1" applyBorder="1" applyAlignment="1">
      <alignment horizontal="center"/>
    </xf>
    <xf numFmtId="0" fontId="59" fillId="12" borderId="0" xfId="0" applyFont="1" applyFill="1" applyBorder="1"/>
    <xf numFmtId="38" fontId="55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167" fontId="7" fillId="0" borderId="0" xfId="9" applyNumberFormat="1" applyFont="1" applyBorder="1"/>
    <xf numFmtId="169" fontId="7" fillId="0" borderId="0" xfId="9" applyNumberFormat="1" applyFont="1" applyBorder="1"/>
    <xf numFmtId="172" fontId="7" fillId="0" borderId="0" xfId="9" applyNumberFormat="1" applyFont="1" applyBorder="1"/>
    <xf numFmtId="174" fontId="7" fillId="0" borderId="0" xfId="9" applyNumberFormat="1" applyFont="1" applyBorder="1"/>
    <xf numFmtId="171" fontId="7" fillId="0" borderId="0" xfId="9" applyNumberFormat="1" applyFont="1" applyBorder="1"/>
    <xf numFmtId="0" fontId="28" fillId="0" borderId="13" xfId="0" applyFont="1" applyFill="1" applyBorder="1" applyAlignment="1">
      <alignment horizontal="center"/>
    </xf>
    <xf numFmtId="38" fontId="55" fillId="0" borderId="19" xfId="0" applyNumberFormat="1" applyFont="1" applyFill="1" applyBorder="1" applyAlignment="1">
      <alignment horizontal="center"/>
    </xf>
    <xf numFmtId="0" fontId="18" fillId="12" borderId="3" xfId="0" applyFont="1" applyFill="1" applyBorder="1"/>
    <xf numFmtId="38" fontId="54" fillId="0" borderId="3" xfId="9" applyNumberFormat="1" applyFont="1" applyBorder="1"/>
    <xf numFmtId="0" fontId="28" fillId="0" borderId="20" xfId="0" applyFont="1" applyFill="1" applyBorder="1" applyAlignment="1">
      <alignment horizontal="center"/>
    </xf>
    <xf numFmtId="38" fontId="55" fillId="0" borderId="21" xfId="0" applyNumberFormat="1" applyFont="1" applyFill="1" applyBorder="1" applyAlignment="1">
      <alignment horizontal="center"/>
    </xf>
    <xf numFmtId="37" fontId="53" fillId="0" borderId="0" xfId="9" applyNumberFormat="1" applyFont="1" applyFill="1"/>
    <xf numFmtId="38" fontId="17" fillId="0" borderId="0" xfId="0" applyNumberFormat="1" applyFont="1" applyFill="1" applyAlignment="1">
      <alignment horizontal="center"/>
    </xf>
    <xf numFmtId="0" fontId="20" fillId="11" borderId="0" xfId="0" applyFont="1" applyFill="1"/>
    <xf numFmtId="15" fontId="0" fillId="0" borderId="0" xfId="0" applyNumberFormat="1" applyBorder="1"/>
    <xf numFmtId="1" fontId="0" fillId="0" borderId="0" xfId="0" applyNumberFormat="1" applyBorder="1"/>
    <xf numFmtId="38" fontId="0" fillId="8" borderId="0" xfId="0" applyNumberFormat="1" applyFill="1"/>
    <xf numFmtId="38" fontId="19" fillId="0" borderId="0" xfId="0" applyNumberFormat="1" applyFont="1" applyBorder="1"/>
    <xf numFmtId="0" fontId="18" fillId="13" borderId="0" xfId="0" applyFont="1" applyFill="1"/>
    <xf numFmtId="0" fontId="20" fillId="12" borderId="0" xfId="0" applyFont="1" applyFill="1"/>
    <xf numFmtId="38" fontId="40" fillId="0" borderId="14" xfId="9" applyNumberFormat="1" applyFont="1" applyBorder="1" applyAlignment="1">
      <alignment horizontal="left"/>
    </xf>
    <xf numFmtId="182" fontId="3" fillId="0" borderId="0" xfId="9" applyNumberFormat="1" applyFont="1" applyBorder="1" applyAlignment="1">
      <alignment horizontal="left"/>
    </xf>
    <xf numFmtId="182" fontId="7" fillId="0" borderId="0" xfId="9" applyNumberFormat="1" applyFont="1" applyBorder="1" applyAlignment="1">
      <alignment horizontal="left"/>
    </xf>
    <xf numFmtId="0" fontId="17" fillId="8" borderId="10" xfId="0" applyFont="1" applyFill="1" applyBorder="1"/>
    <xf numFmtId="0" fontId="17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0" quotePrefix="1" applyFont="1" applyFill="1"/>
    <xf numFmtId="0" fontId="22" fillId="8" borderId="0" xfId="0" applyFont="1" applyFill="1" applyBorder="1" applyAlignment="1">
      <alignment horizontal="center"/>
    </xf>
    <xf numFmtId="0" fontId="19" fillId="8" borderId="0" xfId="0" applyFont="1" applyFill="1"/>
    <xf numFmtId="0" fontId="33" fillId="8" borderId="0" xfId="0" applyFont="1" applyFill="1" applyAlignment="1">
      <alignment horizontal="center"/>
    </xf>
    <xf numFmtId="0" fontId="31" fillId="8" borderId="0" xfId="0" applyFont="1" applyFill="1" applyAlignment="1">
      <alignment horizontal="center"/>
    </xf>
    <xf numFmtId="0" fontId="19" fillId="8" borderId="6" xfId="0" applyFont="1" applyFill="1" applyBorder="1"/>
    <xf numFmtId="0" fontId="21" fillId="8" borderId="22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Apr96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38100</xdr:colOff>
      <xdr:row>6</xdr:row>
      <xdr:rowOff>38100</xdr:rowOff>
    </xdr:from>
    <xdr:to>
      <xdr:col>16</xdr:col>
      <xdr:colOff>38100</xdr:colOff>
      <xdr:row>51</xdr:row>
      <xdr:rowOff>66675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0965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0</xdr:colOff>
      <xdr:row>45</xdr:row>
      <xdr:rowOff>28575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5072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122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17</xdr:col>
      <xdr:colOff>0</xdr:colOff>
      <xdr:row>43</xdr:row>
      <xdr:rowOff>66675</xdr:rowOff>
    </xdr:to>
    <xdr:pic>
      <xdr:nvPicPr>
        <xdr:cNvPr id="122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753600" cy="702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1"/>
  <dimension ref="A1:CR176"/>
  <sheetViews>
    <sheetView tabSelected="1" zoomScale="90" workbookViewId="0">
      <pane xSplit="1" ySplit="9" topLeftCell="CF16" activePane="bottomRight" state="frozen"/>
      <selection pane="topRight" activeCell="B1" sqref="B1"/>
      <selection pane="bottomLeft" activeCell="A10" sqref="A10"/>
      <selection pane="bottomRight" activeCell="CH39" sqref="CH39"/>
    </sheetView>
  </sheetViews>
  <sheetFormatPr defaultColWidth="13.7109375" defaultRowHeight="12.75"/>
  <cols>
    <col min="1" max="1" width="31.140625" style="22" customWidth="1"/>
    <col min="2" max="2" width="0.28515625" style="46" customWidth="1"/>
    <col min="3" max="16" width="15.7109375" style="46" hidden="1" customWidth="1"/>
    <col min="17" max="19" width="15.7109375" hidden="1" customWidth="1"/>
    <col min="20" max="20" width="12.42578125" style="26" customWidth="1"/>
    <col min="21" max="21" width="11.42578125" style="26" customWidth="1"/>
    <col min="22" max="22" width="9.140625" style="36" customWidth="1"/>
    <col min="23" max="23" width="0.140625" style="26" customWidth="1"/>
    <col min="24" max="24" width="14.85546875" style="36" bestFit="1" customWidth="1"/>
    <col min="25" max="26" width="11.5703125" style="26" bestFit="1" customWidth="1"/>
    <col min="27" max="27" width="10.7109375" style="26" bestFit="1" customWidth="1"/>
    <col min="28" max="28" width="9.140625" style="26" customWidth="1"/>
    <col min="29" max="29" width="11.42578125" style="26" customWidth="1"/>
    <col min="30" max="30" width="9.42578125" style="26" customWidth="1"/>
    <col min="31" max="40" width="10.5703125" style="26" customWidth="1"/>
    <col min="41" max="41" width="10.140625" style="26" customWidth="1"/>
    <col min="42" max="42" width="10.140625" style="26" bestFit="1" customWidth="1"/>
    <col min="43" max="46" width="10.5703125" style="26" customWidth="1"/>
    <col min="47" max="47" width="11.5703125" style="26" customWidth="1"/>
    <col min="48" max="48" width="9.85546875" style="26" customWidth="1"/>
    <col min="49" max="49" width="8.5703125" style="26" customWidth="1"/>
    <col min="50" max="50" width="12.140625" style="26" customWidth="1"/>
    <col min="51" max="51" width="10.5703125" style="26" customWidth="1"/>
    <col min="52" max="52" width="11.5703125" customWidth="1"/>
    <col min="53" max="53" width="12.140625" customWidth="1"/>
    <col min="54" max="54" width="10.140625" customWidth="1"/>
    <col min="55" max="55" width="11.5703125" style="46" bestFit="1" customWidth="1"/>
    <col min="56" max="56" width="12" bestFit="1" customWidth="1"/>
    <col min="57" max="57" width="12" customWidth="1"/>
    <col min="58" max="58" width="12.7109375" bestFit="1" customWidth="1"/>
    <col min="59" max="59" width="14.28515625" bestFit="1" customWidth="1"/>
    <col min="60" max="60" width="13.5703125" bestFit="1" customWidth="1"/>
    <col min="61" max="61" width="12.7109375" customWidth="1"/>
    <col min="62" max="62" width="11.28515625" bestFit="1" customWidth="1"/>
    <col min="63" max="63" width="10.85546875" customWidth="1"/>
    <col min="64" max="64" width="15.7109375" customWidth="1"/>
    <col min="65" max="65" width="10.42578125" style="29" bestFit="1" customWidth="1"/>
    <col min="66" max="66" width="11.7109375" style="29" customWidth="1"/>
    <col min="67" max="67" width="10.140625" style="29" customWidth="1"/>
    <col min="68" max="68" width="11.28515625" customWidth="1"/>
    <col min="69" max="69" width="12.5703125" customWidth="1"/>
    <col min="70" max="71" width="10.5703125" style="26" customWidth="1"/>
    <col min="72" max="72" width="14" style="26" customWidth="1"/>
    <col min="73" max="73" width="10.5703125" style="26" customWidth="1"/>
    <col min="74" max="77" width="10.5703125" style="29" customWidth="1"/>
    <col min="78" max="78" width="13.28515625" style="29" customWidth="1"/>
    <col min="79" max="79" width="10.5703125" style="29" customWidth="1"/>
    <col min="80" max="80" width="9.85546875" style="29" customWidth="1"/>
    <col min="81" max="82" width="10.5703125" style="29" customWidth="1"/>
    <col min="83" max="83" width="12.28515625" customWidth="1"/>
    <col min="84" max="84" width="10.5703125" customWidth="1"/>
    <col min="85" max="85" width="11.7109375" customWidth="1"/>
    <col min="86" max="86" width="13.7109375" style="26" customWidth="1"/>
    <col min="87" max="87" width="10.140625" bestFit="1" customWidth="1"/>
    <col min="88" max="88" width="10.5703125" bestFit="1" customWidth="1"/>
    <col min="89" max="89" width="11.28515625" bestFit="1" customWidth="1"/>
    <col min="90" max="90" width="12.7109375" customWidth="1"/>
    <col min="91" max="91" width="13.140625" style="38" customWidth="1"/>
    <col min="92" max="92" width="11.28515625" bestFit="1" customWidth="1"/>
    <col min="93" max="94" width="13.7109375" customWidth="1"/>
    <col min="95" max="95" width="13.7109375" style="32" customWidth="1"/>
  </cols>
  <sheetData>
    <row r="1" spans="1:96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T1" s="23"/>
      <c r="U1" s="24"/>
      <c r="V1" s="25"/>
      <c r="W1" s="24"/>
      <c r="X1" s="25"/>
      <c r="Y1" s="23"/>
      <c r="Z1" s="23"/>
      <c r="AA1" s="23"/>
      <c r="AB1" s="23"/>
      <c r="AC1" s="23"/>
      <c r="AD1" s="23"/>
      <c r="AE1" s="23"/>
      <c r="AF1" s="23"/>
      <c r="AG1" s="23"/>
      <c r="AH1" s="23"/>
      <c r="AJ1" s="23"/>
      <c r="AK1" s="23"/>
      <c r="AL1" s="23"/>
      <c r="AN1" s="24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7"/>
      <c r="BA1" s="27"/>
      <c r="BB1" s="27"/>
      <c r="BC1" s="175"/>
      <c r="BD1" s="27"/>
      <c r="BE1" s="27"/>
      <c r="BF1" s="27"/>
      <c r="BG1" s="27"/>
      <c r="BH1" s="28" t="s">
        <v>122</v>
      </c>
      <c r="BI1" s="28" t="s">
        <v>122</v>
      </c>
      <c r="BJ1" s="27"/>
      <c r="BK1" s="27"/>
      <c r="BL1" s="27"/>
      <c r="BQ1" s="30"/>
      <c r="BR1" s="28"/>
      <c r="BS1" s="30"/>
      <c r="BT1" s="30"/>
      <c r="BU1" s="30"/>
      <c r="BV1" s="29" t="s">
        <v>0</v>
      </c>
      <c r="BX1" s="29" t="s">
        <v>0</v>
      </c>
      <c r="BY1" s="29" t="s">
        <v>0</v>
      </c>
      <c r="BZ1" s="29" t="s">
        <v>0</v>
      </c>
      <c r="CA1" s="29" t="s">
        <v>0</v>
      </c>
      <c r="CD1" s="29" t="s">
        <v>0</v>
      </c>
      <c r="CH1" s="149"/>
      <c r="CI1" t="s">
        <v>0</v>
      </c>
      <c r="CJ1" t="s">
        <v>0</v>
      </c>
      <c r="CL1" t="s">
        <v>0</v>
      </c>
      <c r="CM1" s="31" t="s">
        <v>0</v>
      </c>
    </row>
    <row r="2" spans="1:96" ht="13.5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22"/>
      <c r="T2" s="35"/>
      <c r="U2" s="35"/>
      <c r="W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24"/>
      <c r="AJ2" s="35"/>
      <c r="AK2" s="35"/>
      <c r="AL2" s="35"/>
      <c r="AM2" s="24"/>
      <c r="AN2" s="166"/>
      <c r="AO2" s="35" t="s">
        <v>123</v>
      </c>
      <c r="AP2" s="35"/>
      <c r="AQ2" s="166"/>
      <c r="AR2" s="166"/>
      <c r="AS2" s="166"/>
      <c r="AT2" s="166"/>
      <c r="AU2" s="35"/>
      <c r="AV2" s="35"/>
      <c r="AW2" s="35"/>
      <c r="AX2" s="35"/>
      <c r="AY2" s="35"/>
      <c r="BG2" t="s">
        <v>0</v>
      </c>
      <c r="BM2" s="29" t="s">
        <v>0</v>
      </c>
      <c r="BN2" s="29" t="s">
        <v>0</v>
      </c>
      <c r="BO2" s="29" t="s">
        <v>0</v>
      </c>
      <c r="BP2" t="s">
        <v>0</v>
      </c>
      <c r="BQ2" s="30"/>
      <c r="BR2" s="30"/>
      <c r="BS2" s="30"/>
      <c r="BT2" s="30"/>
      <c r="BU2" s="30"/>
      <c r="CE2" t="s">
        <v>0</v>
      </c>
      <c r="CH2" s="212" t="s">
        <v>180</v>
      </c>
      <c r="CQ2"/>
    </row>
    <row r="3" spans="1:96" ht="15">
      <c r="A3" s="39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40"/>
      <c r="R3" s="41"/>
      <c r="S3" s="42"/>
      <c r="T3" s="35"/>
      <c r="U3" s="35"/>
      <c r="W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 t="s">
        <v>148</v>
      </c>
      <c r="AP3" s="35"/>
      <c r="AQ3" s="35"/>
      <c r="AR3" s="35"/>
      <c r="AS3" s="35"/>
      <c r="AT3" s="35"/>
      <c r="AU3" s="35"/>
      <c r="AV3" s="35"/>
      <c r="AW3" s="35"/>
      <c r="AX3" s="35"/>
      <c r="AY3" s="35"/>
      <c r="BG3" s="42"/>
      <c r="BI3" t="s">
        <v>189</v>
      </c>
      <c r="BL3" s="43" t="s">
        <v>124</v>
      </c>
      <c r="BM3" s="44"/>
      <c r="CH3" s="149"/>
      <c r="CM3" s="45" t="s">
        <v>3</v>
      </c>
      <c r="CQ3"/>
    </row>
    <row r="4" spans="1:96" ht="19.5" customHeight="1" thickBot="1">
      <c r="Q4" s="22"/>
      <c r="R4" s="42"/>
      <c r="S4" s="42"/>
      <c r="T4" s="35"/>
      <c r="U4" s="35"/>
      <c r="V4" s="36" t="s">
        <v>176</v>
      </c>
      <c r="W4" s="35"/>
      <c r="Y4" s="35"/>
      <c r="Z4" s="35"/>
      <c r="AA4" s="35"/>
      <c r="AB4" s="47"/>
      <c r="AC4" s="35"/>
      <c r="AD4" s="47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47"/>
      <c r="AR4" s="35"/>
      <c r="AS4" s="35"/>
      <c r="AT4" s="35"/>
      <c r="AU4" s="35"/>
      <c r="AV4" s="35"/>
      <c r="AW4" s="35"/>
      <c r="AX4" s="35"/>
      <c r="AY4" s="35"/>
      <c r="BG4" s="141" t="s">
        <v>147</v>
      </c>
      <c r="BI4" t="s">
        <v>125</v>
      </c>
      <c r="BL4" s="48" t="s">
        <v>40</v>
      </c>
      <c r="BM4" s="49"/>
      <c r="BR4" s="290" t="s">
        <v>190</v>
      </c>
      <c r="BW4" s="29" t="s">
        <v>6</v>
      </c>
      <c r="BX4" s="29" t="s">
        <v>6</v>
      </c>
      <c r="BY4" s="29" t="s">
        <v>6</v>
      </c>
      <c r="BZ4" s="29" t="s">
        <v>6</v>
      </c>
      <c r="CA4" s="29" t="s">
        <v>6</v>
      </c>
      <c r="CD4" s="29" t="s">
        <v>6</v>
      </c>
      <c r="CH4" s="149"/>
      <c r="CM4" s="45" t="s">
        <v>7</v>
      </c>
      <c r="CO4" s="51"/>
    </row>
    <row r="5" spans="1:96" ht="15.75" thickBot="1">
      <c r="Q5" s="52"/>
      <c r="R5" s="53"/>
      <c r="S5" s="53"/>
      <c r="T5" s="54"/>
      <c r="U5" s="55"/>
      <c r="V5" s="54"/>
      <c r="W5" s="55"/>
      <c r="X5" s="54" t="s">
        <v>191</v>
      </c>
      <c r="Y5" s="54"/>
      <c r="Z5" s="54"/>
      <c r="AA5" s="18">
        <v>8.0389999999999993E-3</v>
      </c>
      <c r="AB5" s="35"/>
      <c r="AD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U5" s="56"/>
      <c r="AV5" s="56"/>
      <c r="AW5" s="56"/>
      <c r="AX5" s="56" t="s">
        <v>22</v>
      </c>
      <c r="BE5" s="36" t="s">
        <v>163</v>
      </c>
      <c r="BF5" s="36" t="s">
        <v>163</v>
      </c>
      <c r="BG5" s="57"/>
      <c r="BH5" s="57"/>
      <c r="BI5" s="57"/>
      <c r="BJ5" s="57"/>
      <c r="BK5" s="57"/>
      <c r="BL5" s="57"/>
      <c r="BM5" s="58" t="s">
        <v>10</v>
      </c>
      <c r="BN5" s="58" t="s">
        <v>11</v>
      </c>
      <c r="BO5" s="58" t="s">
        <v>11</v>
      </c>
      <c r="BP5" t="s">
        <v>0</v>
      </c>
      <c r="BQ5" s="53" t="s">
        <v>12</v>
      </c>
      <c r="BR5" s="142" t="s">
        <v>13</v>
      </c>
      <c r="BS5" s="60"/>
      <c r="BT5" s="60"/>
      <c r="BW5" s="29" t="s">
        <v>14</v>
      </c>
      <c r="BX5" s="58" t="s">
        <v>14</v>
      </c>
      <c r="BY5" s="61" t="s">
        <v>15</v>
      </c>
      <c r="BZ5" s="58" t="s">
        <v>15</v>
      </c>
      <c r="CA5" s="61" t="s">
        <v>15</v>
      </c>
      <c r="CC5" s="61"/>
      <c r="CD5" s="61" t="s">
        <v>15</v>
      </c>
      <c r="CH5" s="149"/>
      <c r="CM5" s="45" t="s">
        <v>16</v>
      </c>
    </row>
    <row r="6" spans="1:96">
      <c r="E6" s="62"/>
      <c r="F6" s="62"/>
      <c r="G6" s="62"/>
      <c r="H6" s="62"/>
      <c r="I6" s="63"/>
      <c r="J6" s="63"/>
      <c r="K6" s="63"/>
      <c r="L6" s="63"/>
      <c r="M6" s="63"/>
      <c r="N6" s="63"/>
      <c r="O6" s="64" t="s">
        <v>25</v>
      </c>
      <c r="Q6" s="52"/>
      <c r="R6" s="53"/>
      <c r="S6" s="53"/>
      <c r="T6" s="53" t="s">
        <v>17</v>
      </c>
      <c r="U6" s="57" t="s">
        <v>19</v>
      </c>
      <c r="W6" s="57" t="s">
        <v>19</v>
      </c>
      <c r="X6" s="295"/>
      <c r="Y6" s="53" t="s">
        <v>17</v>
      </c>
      <c r="Z6" s="53" t="s">
        <v>17</v>
      </c>
      <c r="AA6" s="192" t="s">
        <v>19</v>
      </c>
      <c r="AB6" s="66" t="s">
        <v>18</v>
      </c>
      <c r="AC6" s="66" t="s">
        <v>19</v>
      </c>
      <c r="AD6" s="66" t="s">
        <v>18</v>
      </c>
      <c r="AE6" s="66" t="s">
        <v>19</v>
      </c>
      <c r="AF6" s="67"/>
      <c r="AG6" s="67"/>
      <c r="AI6" s="65" t="s">
        <v>19</v>
      </c>
      <c r="AJ6" s="67"/>
      <c r="AK6" s="67"/>
      <c r="AM6" s="65" t="s">
        <v>19</v>
      </c>
      <c r="AN6" s="53" t="s">
        <v>24</v>
      </c>
      <c r="AO6" s="68" t="s">
        <v>23</v>
      </c>
      <c r="AP6" s="192" t="s">
        <v>19</v>
      </c>
      <c r="AQ6" s="159" t="s">
        <v>18</v>
      </c>
      <c r="AR6" s="62" t="s">
        <v>19</v>
      </c>
      <c r="AS6" s="159" t="s">
        <v>18</v>
      </c>
      <c r="AT6" s="62" t="s">
        <v>19</v>
      </c>
      <c r="AU6" s="53" t="s">
        <v>17</v>
      </c>
      <c r="AV6" s="68" t="s">
        <v>23</v>
      </c>
      <c r="AW6" s="68" t="s">
        <v>23</v>
      </c>
      <c r="AX6" s="68" t="s">
        <v>23</v>
      </c>
      <c r="AY6" s="61" t="s">
        <v>19</v>
      </c>
      <c r="AZ6" s="53" t="s">
        <v>17</v>
      </c>
      <c r="BA6" s="53" t="s">
        <v>24</v>
      </c>
      <c r="BB6" s="61" t="s">
        <v>19</v>
      </c>
      <c r="BC6" s="91" t="s">
        <v>17</v>
      </c>
      <c r="BD6" s="53" t="s">
        <v>24</v>
      </c>
      <c r="BE6" s="53" t="s">
        <v>57</v>
      </c>
      <c r="BF6" s="53" t="s">
        <v>57</v>
      </c>
      <c r="BG6" s="298" t="s">
        <v>10</v>
      </c>
      <c r="BH6" s="189" t="s">
        <v>25</v>
      </c>
      <c r="BI6" s="301" t="s">
        <v>25</v>
      </c>
      <c r="BJ6" s="59" t="s">
        <v>27</v>
      </c>
      <c r="BK6" s="142" t="s">
        <v>26</v>
      </c>
      <c r="BL6" s="59" t="s">
        <v>126</v>
      </c>
      <c r="BM6" s="65" t="s">
        <v>28</v>
      </c>
      <c r="BN6" s="61" t="s">
        <v>29</v>
      </c>
      <c r="BO6" s="58" t="s">
        <v>30</v>
      </c>
      <c r="BP6" s="53" t="s">
        <v>15</v>
      </c>
      <c r="BQ6" s="53" t="s">
        <v>31</v>
      </c>
      <c r="BR6" s="142" t="s">
        <v>32</v>
      </c>
      <c r="BS6" s="70" t="s">
        <v>33</v>
      </c>
      <c r="BT6" s="70" t="s">
        <v>25</v>
      </c>
      <c r="BU6" s="59" t="s">
        <v>13</v>
      </c>
      <c r="BV6" s="65" t="s">
        <v>13</v>
      </c>
      <c r="BW6" s="65" t="s">
        <v>34</v>
      </c>
      <c r="BX6" s="58" t="s">
        <v>34</v>
      </c>
      <c r="BY6" s="61" t="s">
        <v>35</v>
      </c>
      <c r="BZ6" s="58" t="s">
        <v>35</v>
      </c>
      <c r="CA6" s="61" t="s">
        <v>36</v>
      </c>
      <c r="CC6" s="61"/>
      <c r="CD6" s="61" t="s">
        <v>36</v>
      </c>
      <c r="CE6" s="36" t="s">
        <v>37</v>
      </c>
      <c r="CF6" s="53" t="s">
        <v>38</v>
      </c>
      <c r="CG6" s="32" t="s">
        <v>39</v>
      </c>
      <c r="CH6" s="292" t="s">
        <v>40</v>
      </c>
      <c r="CI6" s="53" t="s">
        <v>41</v>
      </c>
      <c r="CJ6" s="53" t="s">
        <v>42</v>
      </c>
      <c r="CK6" s="53" t="s">
        <v>43</v>
      </c>
      <c r="CL6" s="53" t="s">
        <v>44</v>
      </c>
      <c r="CM6" s="71" t="s">
        <v>42</v>
      </c>
      <c r="CN6" s="53" t="s">
        <v>43</v>
      </c>
      <c r="CO6" s="53"/>
      <c r="CP6" s="53"/>
      <c r="CQ6" s="53"/>
      <c r="CR6" s="53"/>
    </row>
    <row r="7" spans="1:96">
      <c r="B7" s="72"/>
      <c r="C7" s="73" t="s">
        <v>127</v>
      </c>
      <c r="D7" s="73" t="s">
        <v>128</v>
      </c>
      <c r="E7" s="73"/>
      <c r="F7" s="73" t="s">
        <v>129</v>
      </c>
      <c r="G7" s="73" t="s">
        <v>130</v>
      </c>
      <c r="H7" s="73" t="s">
        <v>131</v>
      </c>
      <c r="I7" s="53" t="s">
        <v>132</v>
      </c>
      <c r="J7" s="53"/>
      <c r="K7" s="53"/>
      <c r="L7" s="53"/>
      <c r="M7" s="53"/>
      <c r="N7" s="53"/>
      <c r="O7" s="53" t="s">
        <v>133</v>
      </c>
      <c r="P7" s="57" t="s">
        <v>134</v>
      </c>
      <c r="Q7" s="74" t="s">
        <v>134</v>
      </c>
      <c r="R7" s="53" t="s">
        <v>45</v>
      </c>
      <c r="S7" s="53" t="s">
        <v>45</v>
      </c>
      <c r="T7" s="75" t="s">
        <v>135</v>
      </c>
      <c r="U7" s="66" t="s">
        <v>49</v>
      </c>
      <c r="V7" s="76"/>
      <c r="W7" s="66" t="s">
        <v>49</v>
      </c>
      <c r="X7" s="296" t="s">
        <v>46</v>
      </c>
      <c r="Y7" s="75" t="s">
        <v>47</v>
      </c>
      <c r="Z7" s="75" t="s">
        <v>21</v>
      </c>
      <c r="AA7" s="65" t="s">
        <v>136</v>
      </c>
      <c r="AB7" s="66" t="s">
        <v>48</v>
      </c>
      <c r="AC7" s="66" t="s">
        <v>49</v>
      </c>
      <c r="AD7" s="66" t="s">
        <v>51</v>
      </c>
      <c r="AE7" s="66" t="s">
        <v>52</v>
      </c>
      <c r="AF7" s="66" t="s">
        <v>23</v>
      </c>
      <c r="AG7" s="66" t="s">
        <v>23</v>
      </c>
      <c r="AH7" s="66" t="s">
        <v>23</v>
      </c>
      <c r="AI7" s="66" t="s">
        <v>48</v>
      </c>
      <c r="AJ7" s="66" t="s">
        <v>23</v>
      </c>
      <c r="AK7" s="66" t="s">
        <v>23</v>
      </c>
      <c r="AL7" s="66" t="s">
        <v>23</v>
      </c>
      <c r="AM7" s="66" t="s">
        <v>48</v>
      </c>
      <c r="AN7" s="75" t="s">
        <v>21</v>
      </c>
      <c r="AO7" s="68" t="s">
        <v>54</v>
      </c>
      <c r="AP7" s="53" t="s">
        <v>55</v>
      </c>
      <c r="AQ7" s="159" t="s">
        <v>158</v>
      </c>
      <c r="AR7" s="159" t="s">
        <v>158</v>
      </c>
      <c r="AS7" s="159" t="s">
        <v>158</v>
      </c>
      <c r="AT7" s="159" t="s">
        <v>158</v>
      </c>
      <c r="AU7" s="75" t="s">
        <v>135</v>
      </c>
      <c r="AV7" s="68" t="s">
        <v>54</v>
      </c>
      <c r="AW7" s="68" t="s">
        <v>56</v>
      </c>
      <c r="AX7" s="68" t="s">
        <v>54</v>
      </c>
      <c r="AY7" s="53" t="s">
        <v>55</v>
      </c>
      <c r="AZ7" s="75" t="s">
        <v>47</v>
      </c>
      <c r="BA7" s="75" t="s">
        <v>21</v>
      </c>
      <c r="BB7" s="53" t="s">
        <v>55</v>
      </c>
      <c r="BC7" s="176" t="s">
        <v>47</v>
      </c>
      <c r="BD7" s="75" t="s">
        <v>21</v>
      </c>
      <c r="BE7" s="75" t="s">
        <v>102</v>
      </c>
      <c r="BF7" s="75" t="s">
        <v>102</v>
      </c>
      <c r="BG7" s="299" t="s">
        <v>56</v>
      </c>
      <c r="BH7" s="93" t="s">
        <v>57</v>
      </c>
      <c r="BI7" s="302" t="s">
        <v>137</v>
      </c>
      <c r="BJ7" s="59" t="s">
        <v>60</v>
      </c>
      <c r="BK7" s="142" t="s">
        <v>138</v>
      </c>
      <c r="BL7" s="59" t="s">
        <v>139</v>
      </c>
      <c r="BM7" s="65" t="s">
        <v>30</v>
      </c>
      <c r="BN7" s="65" t="s">
        <v>56</v>
      </c>
      <c r="BO7" s="65" t="s">
        <v>36</v>
      </c>
      <c r="BP7" s="53" t="s">
        <v>36</v>
      </c>
      <c r="BQ7" t="s">
        <v>61</v>
      </c>
      <c r="BR7" s="291" t="s">
        <v>62</v>
      </c>
      <c r="BS7" s="70" t="s">
        <v>63</v>
      </c>
      <c r="BT7" s="70" t="s">
        <v>57</v>
      </c>
      <c r="BU7" s="59" t="s">
        <v>32</v>
      </c>
      <c r="BV7" s="65" t="s">
        <v>32</v>
      </c>
      <c r="BW7" s="65" t="s">
        <v>64</v>
      </c>
      <c r="BX7" s="65" t="s">
        <v>65</v>
      </c>
      <c r="BY7" s="65" t="s">
        <v>66</v>
      </c>
      <c r="BZ7" s="65" t="s">
        <v>65</v>
      </c>
      <c r="CA7" s="79" t="s">
        <v>67</v>
      </c>
      <c r="CC7" s="79"/>
      <c r="CD7" s="79" t="s">
        <v>67</v>
      </c>
      <c r="CE7" s="53" t="s">
        <v>36</v>
      </c>
      <c r="CF7" s="53" t="s">
        <v>68</v>
      </c>
      <c r="CG7" s="53" t="s">
        <v>69</v>
      </c>
      <c r="CH7" s="292" t="s">
        <v>70</v>
      </c>
      <c r="CI7" s="53" t="s">
        <v>68</v>
      </c>
      <c r="CJ7" s="53" t="s">
        <v>34</v>
      </c>
      <c r="CK7" s="53" t="s">
        <v>63</v>
      </c>
      <c r="CL7" s="53" t="s">
        <v>71</v>
      </c>
      <c r="CM7" s="71" t="s">
        <v>72</v>
      </c>
      <c r="CN7" s="53" t="s">
        <v>63</v>
      </c>
      <c r="CO7" s="53"/>
      <c r="CP7" s="53"/>
      <c r="CQ7" s="53"/>
      <c r="CR7" s="53"/>
    </row>
    <row r="8" spans="1:96">
      <c r="B8" s="72"/>
      <c r="C8" s="80">
        <v>19630</v>
      </c>
      <c r="D8" s="80">
        <v>19630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57" t="s">
        <v>140</v>
      </c>
      <c r="Q8" s="74" t="s">
        <v>140</v>
      </c>
      <c r="R8" s="53" t="s">
        <v>73</v>
      </c>
      <c r="S8" s="53" t="s">
        <v>73</v>
      </c>
      <c r="T8" s="82" t="s">
        <v>75</v>
      </c>
      <c r="U8" s="66" t="s">
        <v>76</v>
      </c>
      <c r="V8" s="76" t="s">
        <v>48</v>
      </c>
      <c r="W8" s="66" t="s">
        <v>76</v>
      </c>
      <c r="X8" s="296" t="s">
        <v>50</v>
      </c>
      <c r="Y8" s="82" t="s">
        <v>74</v>
      </c>
      <c r="Z8" s="82" t="s">
        <v>74</v>
      </c>
      <c r="AA8" s="65" t="s">
        <v>56</v>
      </c>
      <c r="AB8" s="66"/>
      <c r="AC8" s="66" t="s">
        <v>76</v>
      </c>
      <c r="AD8" s="66"/>
      <c r="AE8" s="66" t="s">
        <v>76</v>
      </c>
      <c r="AF8" s="66" t="s">
        <v>48</v>
      </c>
      <c r="AG8" s="66" t="s">
        <v>48</v>
      </c>
      <c r="AH8" s="66" t="s">
        <v>48</v>
      </c>
      <c r="AI8" s="66" t="s">
        <v>50</v>
      </c>
      <c r="AJ8" s="66" t="s">
        <v>48</v>
      </c>
      <c r="AK8" s="66" t="s">
        <v>48</v>
      </c>
      <c r="AL8" s="66" t="s">
        <v>48</v>
      </c>
      <c r="AM8" s="66" t="s">
        <v>101</v>
      </c>
      <c r="AN8" s="53" t="s">
        <v>54</v>
      </c>
      <c r="AO8" s="56" t="s">
        <v>80</v>
      </c>
      <c r="AP8" s="53" t="s">
        <v>76</v>
      </c>
      <c r="AQ8" s="159" t="s">
        <v>193</v>
      </c>
      <c r="AR8" s="159" t="s">
        <v>194</v>
      </c>
      <c r="AS8" s="159" t="s">
        <v>193</v>
      </c>
      <c r="AT8" s="159" t="s">
        <v>193</v>
      </c>
      <c r="AU8" s="82" t="s">
        <v>74</v>
      </c>
      <c r="AV8" s="68" t="s">
        <v>50</v>
      </c>
      <c r="AW8" s="68" t="s">
        <v>50</v>
      </c>
      <c r="AX8" s="68" t="s">
        <v>80</v>
      </c>
      <c r="AY8" s="53" t="s">
        <v>76</v>
      </c>
      <c r="AZ8" s="82" t="s">
        <v>141</v>
      </c>
      <c r="BA8" s="82" t="str">
        <f>AZ8 $AD8:$BC8</f>
        <v>@ Belle R</v>
      </c>
      <c r="BB8" s="53" t="s">
        <v>76</v>
      </c>
      <c r="BC8" s="177" t="s">
        <v>81</v>
      </c>
      <c r="BD8" s="82" t="str">
        <f>BB8 $AD8:$BC8</f>
        <v>St Clair</v>
      </c>
      <c r="BE8" s="53" t="s">
        <v>177</v>
      </c>
      <c r="BF8" s="53" t="s">
        <v>101</v>
      </c>
      <c r="BG8" s="299" t="s">
        <v>82</v>
      </c>
      <c r="BH8" s="93" t="s">
        <v>83</v>
      </c>
      <c r="BI8" s="302" t="s">
        <v>83</v>
      </c>
      <c r="BJ8" s="59" t="s">
        <v>83</v>
      </c>
      <c r="BK8" s="142" t="s">
        <v>83</v>
      </c>
      <c r="BL8" s="59" t="s">
        <v>83</v>
      </c>
      <c r="BM8" s="65" t="s">
        <v>56</v>
      </c>
      <c r="BN8" s="65" t="s">
        <v>84</v>
      </c>
      <c r="BO8" s="65" t="s">
        <v>85</v>
      </c>
      <c r="BP8" s="42" t="s">
        <v>86</v>
      </c>
      <c r="BQ8" t="s">
        <v>87</v>
      </c>
      <c r="BR8" s="291" t="s">
        <v>88</v>
      </c>
      <c r="BS8" s="83" t="s">
        <v>89</v>
      </c>
      <c r="BT8" s="84" t="s">
        <v>90</v>
      </c>
      <c r="BU8" s="78" t="s">
        <v>88</v>
      </c>
      <c r="BV8" s="65" t="s">
        <v>85</v>
      </c>
      <c r="BW8" s="65"/>
      <c r="BX8" s="65" t="s">
        <v>35</v>
      </c>
      <c r="BY8" s="65" t="s">
        <v>85</v>
      </c>
      <c r="BZ8" s="65" t="s">
        <v>36</v>
      </c>
      <c r="CA8" s="65" t="s">
        <v>85</v>
      </c>
      <c r="CC8" s="65"/>
      <c r="CD8" s="65" t="s">
        <v>91</v>
      </c>
      <c r="CE8" s="53" t="s">
        <v>92</v>
      </c>
      <c r="CF8" s="53" t="s">
        <v>36</v>
      </c>
      <c r="CG8" s="53" t="s">
        <v>36</v>
      </c>
      <c r="CH8" s="293" t="s">
        <v>93</v>
      </c>
      <c r="CI8" s="53" t="s">
        <v>36</v>
      </c>
      <c r="CJ8" s="53" t="s">
        <v>85</v>
      </c>
      <c r="CK8" s="53" t="s">
        <v>85</v>
      </c>
      <c r="CL8" s="53" t="s">
        <v>94</v>
      </c>
      <c r="CM8" s="71" t="s">
        <v>34</v>
      </c>
      <c r="CN8" s="53" t="s">
        <v>95</v>
      </c>
      <c r="CO8" s="53"/>
      <c r="CP8" s="53"/>
      <c r="CQ8" s="53"/>
      <c r="CR8" s="53"/>
    </row>
    <row r="9" spans="1:96" ht="13.5" thickBot="1">
      <c r="B9" s="72"/>
      <c r="C9" s="54"/>
      <c r="D9" s="54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57"/>
      <c r="Q9" s="74"/>
      <c r="R9" s="53" t="s">
        <v>96</v>
      </c>
      <c r="S9" s="53" t="s">
        <v>97</v>
      </c>
      <c r="T9" s="86" t="s">
        <v>142</v>
      </c>
      <c r="U9" s="68" t="s">
        <v>143</v>
      </c>
      <c r="V9" s="68" t="s">
        <v>143</v>
      </c>
      <c r="W9" s="87" t="s">
        <v>143</v>
      </c>
      <c r="X9" s="297" t="s">
        <v>143</v>
      </c>
      <c r="Y9" s="86" t="s">
        <v>142</v>
      </c>
      <c r="Z9" s="54" t="s">
        <v>98</v>
      </c>
      <c r="AA9" s="54" t="s">
        <v>104</v>
      </c>
      <c r="AB9" s="87" t="s">
        <v>99</v>
      </c>
      <c r="AC9" s="87" t="s">
        <v>99</v>
      </c>
      <c r="AD9" s="87" t="s">
        <v>99</v>
      </c>
      <c r="AE9" s="87" t="s">
        <v>99</v>
      </c>
      <c r="AF9" s="87" t="s">
        <v>50</v>
      </c>
      <c r="AG9" s="87" t="s">
        <v>101</v>
      </c>
      <c r="AH9" s="87" t="s">
        <v>103</v>
      </c>
      <c r="AI9" s="87" t="s">
        <v>99</v>
      </c>
      <c r="AJ9" s="87" t="s">
        <v>101</v>
      </c>
      <c r="AK9" s="87" t="s">
        <v>101</v>
      </c>
      <c r="AL9" s="87" t="s">
        <v>103</v>
      </c>
      <c r="AM9" s="87" t="s">
        <v>99</v>
      </c>
      <c r="AN9" s="89" t="s">
        <v>144</v>
      </c>
      <c r="AO9" s="56" t="s">
        <v>143</v>
      </c>
      <c r="AP9" s="56" t="s">
        <v>143</v>
      </c>
      <c r="AQ9" s="160" t="s">
        <v>159</v>
      </c>
      <c r="AR9" s="160" t="s">
        <v>159</v>
      </c>
      <c r="AS9" s="160" t="s">
        <v>159</v>
      </c>
      <c r="AT9" s="160" t="s">
        <v>159</v>
      </c>
      <c r="AU9" s="88" t="s">
        <v>144</v>
      </c>
      <c r="AV9" s="68" t="s">
        <v>143</v>
      </c>
      <c r="AW9" s="68" t="s">
        <v>143</v>
      </c>
      <c r="AX9" s="68" t="s">
        <v>143</v>
      </c>
      <c r="AY9" s="68" t="s">
        <v>143</v>
      </c>
      <c r="AZ9" s="86"/>
      <c r="BA9" s="89"/>
      <c r="BB9" s="68" t="s">
        <v>143</v>
      </c>
      <c r="BC9" s="86"/>
      <c r="BD9" s="89" t="s">
        <v>144</v>
      </c>
      <c r="BE9" s="89" t="s">
        <v>162</v>
      </c>
      <c r="BF9" s="89" t="s">
        <v>162</v>
      </c>
      <c r="BG9" s="300" t="s">
        <v>98</v>
      </c>
      <c r="BH9" s="190"/>
      <c r="BI9" s="303"/>
      <c r="BJ9" s="54"/>
      <c r="BK9" s="304"/>
      <c r="BL9" s="91"/>
      <c r="BM9" s="54" t="s">
        <v>104</v>
      </c>
      <c r="BN9" s="54" t="s">
        <v>98</v>
      </c>
      <c r="BO9" s="89"/>
      <c r="BP9" s="89"/>
      <c r="BQ9" s="89"/>
      <c r="BR9" s="142"/>
      <c r="BS9" s="92"/>
      <c r="BT9" s="92"/>
      <c r="BV9" s="65"/>
      <c r="BW9" s="65"/>
      <c r="BX9" s="65"/>
      <c r="BY9" s="89"/>
      <c r="BZ9" s="89"/>
      <c r="CA9" s="89"/>
      <c r="CB9" s="89"/>
      <c r="CC9" s="89"/>
      <c r="CD9" s="89"/>
      <c r="CE9" s="89"/>
      <c r="CF9" s="89"/>
      <c r="CG9" s="91"/>
      <c r="CH9" s="294"/>
      <c r="CI9" s="91"/>
      <c r="CJ9" s="93"/>
      <c r="CK9" s="94">
        <v>203803</v>
      </c>
      <c r="CL9" s="91" t="s">
        <v>95</v>
      </c>
      <c r="CM9" s="71" t="s">
        <v>95</v>
      </c>
      <c r="CN9" s="94">
        <v>193168</v>
      </c>
      <c r="CO9" t="s">
        <v>149</v>
      </c>
      <c r="CP9" s="104"/>
      <c r="CQ9" s="95"/>
      <c r="CR9" s="46"/>
    </row>
    <row r="10" spans="1:96">
      <c r="A10" s="96">
        <v>36770</v>
      </c>
      <c r="B10" s="97"/>
      <c r="C10" s="98"/>
      <c r="D10" s="98"/>
      <c r="E10" s="98"/>
      <c r="F10" s="98">
        <v>0</v>
      </c>
      <c r="G10" s="98">
        <v>0</v>
      </c>
      <c r="H10" s="98">
        <v>0</v>
      </c>
      <c r="I10" s="98"/>
      <c r="J10" s="99">
        <v>0</v>
      </c>
      <c r="K10" s="100">
        <v>0</v>
      </c>
      <c r="L10" s="99">
        <v>0</v>
      </c>
      <c r="M10" s="99">
        <v>0</v>
      </c>
      <c r="N10" s="99">
        <v>0</v>
      </c>
      <c r="O10" s="99"/>
      <c r="P10" s="101">
        <f>SUM(B10:O10)</f>
        <v>0</v>
      </c>
      <c r="Q10" s="102">
        <v>0</v>
      </c>
      <c r="R10" s="103"/>
      <c r="S10" s="103"/>
      <c r="T10" s="161">
        <v>0</v>
      </c>
      <c r="U10" s="186">
        <f>(T10)*(1-$E$52)-(T10)</f>
        <v>0</v>
      </c>
      <c r="V10" s="140">
        <v>0</v>
      </c>
      <c r="W10" s="105">
        <f>(V10)*(1-$E$52)-(V10)</f>
        <v>0</v>
      </c>
      <c r="X10" s="140">
        <v>10000</v>
      </c>
      <c r="Y10" s="104">
        <v>0</v>
      </c>
      <c r="Z10" s="104">
        <v>0</v>
      </c>
      <c r="AA10" s="174">
        <f t="shared" ref="AA10:AA15" si="0">SUM(X10+AL10+Y10+Z10)*(1-FARSTCL)-(X10+Y10+Z10)</f>
        <v>-61.918999999999869</v>
      </c>
      <c r="AB10" s="107"/>
      <c r="AC10" s="105">
        <f t="shared" ref="AC10:AC39" si="1">(AB10)*(1-$E$52)-(AB10)</f>
        <v>0</v>
      </c>
      <c r="AD10" s="107"/>
      <c r="AE10" s="105">
        <f t="shared" ref="AE10:AE39" si="2">(AD10)*(1-$E$53)-(AD10)</f>
        <v>0</v>
      </c>
      <c r="AF10" s="107">
        <v>0</v>
      </c>
      <c r="AG10" s="107">
        <v>0</v>
      </c>
      <c r="AH10" s="107">
        <v>0</v>
      </c>
      <c r="AI10" s="105">
        <f t="shared" ref="AI10:AI15" si="3">(AF10)*(1-$E$56)-(AF10)</f>
        <v>0</v>
      </c>
      <c r="AJ10" s="107">
        <v>0</v>
      </c>
      <c r="AK10" s="107">
        <v>0</v>
      </c>
      <c r="AL10" s="107">
        <v>0</v>
      </c>
      <c r="AM10" s="105">
        <f t="shared" ref="AM10:AM15" si="4">(AJ10)*(1-$E$52)-(AJ10)</f>
        <v>0</v>
      </c>
      <c r="AN10" s="105">
        <v>0</v>
      </c>
      <c r="AO10" s="201">
        <v>0</v>
      </c>
      <c r="AP10" s="180">
        <f t="shared" ref="AP10:AP39" si="5">-AO10*$E$54</f>
        <v>0</v>
      </c>
      <c r="AQ10" s="200">
        <v>0</v>
      </c>
      <c r="AR10" s="105">
        <f t="shared" ref="AR10:AR28" si="6">-AQ10*E56</f>
        <v>0</v>
      </c>
      <c r="AS10" s="200">
        <v>0</v>
      </c>
      <c r="AT10" s="105">
        <f>-AS10*E56</f>
        <v>0</v>
      </c>
      <c r="AU10" s="56">
        <v>0</v>
      </c>
      <c r="AV10" s="56">
        <v>0</v>
      </c>
      <c r="AW10" s="56">
        <v>0</v>
      </c>
      <c r="AX10" s="56">
        <v>0</v>
      </c>
      <c r="AY10" s="106">
        <f t="shared" ref="AY10:AY39" si="7">(AX10)*(1-$E$54)-(AX10)</f>
        <v>0</v>
      </c>
      <c r="AZ10" s="104">
        <v>0</v>
      </c>
      <c r="BA10" s="104">
        <v>0</v>
      </c>
      <c r="BB10" s="106">
        <f t="shared" ref="BB10:BB39" si="8">(BA10)*(1-$E$54)-(BA10)</f>
        <v>0</v>
      </c>
      <c r="BC10" s="97">
        <v>0</v>
      </c>
      <c r="BD10" s="104">
        <v>0</v>
      </c>
      <c r="BE10" s="104">
        <v>0</v>
      </c>
      <c r="BF10" s="104">
        <v>0</v>
      </c>
      <c r="BG10" s="108">
        <f>SUM(U10:BD10)-AN10+35000+105581</f>
        <v>150519.08100000001</v>
      </c>
      <c r="BH10" s="109"/>
      <c r="BI10" s="109">
        <f>'Central sept'!BU10*-1</f>
        <v>0</v>
      </c>
      <c r="BJ10" s="109">
        <v>0</v>
      </c>
      <c r="BK10" s="109">
        <v>-6530</v>
      </c>
      <c r="BL10" s="109">
        <v>0</v>
      </c>
      <c r="BM10" s="110">
        <f t="shared" ref="BM10:BM15" si="9">(BG10+BH10+BI10+BJ10+BK10+BL10)*M</f>
        <v>151916.543843536</v>
      </c>
      <c r="BN10" s="111">
        <f t="shared" ref="BN10:BN39" si="10">(BM10/(1+STCLAIRCHIP))-(BM10)</f>
        <v>-1786.5469628798019</v>
      </c>
      <c r="BO10" s="111">
        <f t="shared" ref="BO10:BO15" si="11">BM10+BN10</f>
        <v>150129.9968806562</v>
      </c>
      <c r="BP10" s="104">
        <f t="shared" ref="BP10:BP39" si="12">(BO10)/M</f>
        <v>142295.76143887735</v>
      </c>
      <c r="BQ10" s="104">
        <v>-685</v>
      </c>
      <c r="BR10" s="112">
        <v>0</v>
      </c>
      <c r="BS10" s="113">
        <v>0</v>
      </c>
      <c r="BT10" s="113">
        <v>0</v>
      </c>
      <c r="BU10" s="113">
        <f t="shared" ref="BU10:BU15" si="13">SUM(BR10+BS10+BT10)</f>
        <v>0</v>
      </c>
      <c r="BV10" s="114">
        <f t="shared" ref="BV10:BV39" si="14">(BU10)*M</f>
        <v>0</v>
      </c>
      <c r="BW10" s="114"/>
      <c r="BX10" s="115">
        <f t="shared" ref="BX10:BX15" si="15">((BV10)/(1+DAWNKIRK))-(BV10)</f>
        <v>0</v>
      </c>
      <c r="BY10" s="106">
        <f t="shared" ref="BY10:BY15" si="16">ROUND(BV10+BX10,1)</f>
        <v>0</v>
      </c>
      <c r="BZ10" s="115">
        <f t="shared" ref="BZ10:BZ39" si="17">((BY10)/(1+KIRKCHIP))-(BY10)</f>
        <v>0</v>
      </c>
      <c r="CA10" s="115">
        <f t="shared" ref="CA10:CA15" si="18">BY10+BZ10</f>
        <v>0</v>
      </c>
      <c r="CD10" s="116">
        <f t="shared" ref="CD10:CD15" si="19">CA10/M</f>
        <v>0</v>
      </c>
      <c r="CE10" s="104">
        <v>28400</v>
      </c>
      <c r="CF10" s="104">
        <f t="shared" ref="CF10:CF15" si="20">CE10+CD10+BP10</f>
        <v>170695.76143887735</v>
      </c>
      <c r="CG10" s="104">
        <v>0</v>
      </c>
      <c r="CH10" s="150">
        <v>171381</v>
      </c>
      <c r="CI10" s="104">
        <f t="shared" ref="CI10:CI15" si="21">+CF10+CG10-BQ10-CH10</f>
        <v>-0.23856112264911644</v>
      </c>
      <c r="CJ10" s="104">
        <f t="shared" ref="CJ10:CJ15" si="22">CM10*M</f>
        <v>-0.25469051840911666</v>
      </c>
      <c r="CK10" s="104">
        <f t="shared" ref="CK10:CK15" si="23">+CJ10+CK9</f>
        <v>203802.7453094816</v>
      </c>
      <c r="CL10" s="104">
        <v>0</v>
      </c>
      <c r="CM10" s="117">
        <f t="shared" ref="CM10:CM15" si="24">CI10+CI10*STCLAIRCHIP-CL10</f>
        <v>-0.24140000000864092</v>
      </c>
      <c r="CN10" s="183">
        <f t="shared" ref="CN10:CN15" si="25">CM10+CN9</f>
        <v>193167.7586</v>
      </c>
      <c r="CO10" s="119"/>
      <c r="CP10" s="104"/>
      <c r="CQ10" s="120"/>
      <c r="CR10" s="118"/>
    </row>
    <row r="11" spans="1:96" s="188" customFormat="1">
      <c r="A11" s="96">
        <v>36771</v>
      </c>
      <c r="B11" s="184"/>
      <c r="C11" s="185"/>
      <c r="D11" s="185"/>
      <c r="E11" s="185"/>
      <c r="F11" s="185"/>
      <c r="G11" s="185"/>
      <c r="H11" s="185"/>
      <c r="I11" s="185"/>
      <c r="J11" s="100"/>
      <c r="K11" s="100"/>
      <c r="L11" s="100"/>
      <c r="M11" s="100"/>
      <c r="N11" s="100"/>
      <c r="O11" s="100"/>
      <c r="P11" s="101"/>
      <c r="Q11" s="102"/>
      <c r="R11" s="103"/>
      <c r="S11" s="103"/>
      <c r="T11" s="161"/>
      <c r="U11" s="186"/>
      <c r="V11" s="140"/>
      <c r="W11" s="105"/>
      <c r="X11" s="140">
        <v>0</v>
      </c>
      <c r="Y11" s="104">
        <v>0</v>
      </c>
      <c r="Z11" s="104">
        <v>0</v>
      </c>
      <c r="AA11" s="174">
        <f t="shared" si="0"/>
        <v>0</v>
      </c>
      <c r="AB11" s="107"/>
      <c r="AC11" s="105">
        <f t="shared" si="1"/>
        <v>0</v>
      </c>
      <c r="AD11" s="107"/>
      <c r="AE11" s="105">
        <f t="shared" si="2"/>
        <v>0</v>
      </c>
      <c r="AF11" s="107">
        <v>0</v>
      </c>
      <c r="AG11" s="107">
        <v>0</v>
      </c>
      <c r="AH11" s="107">
        <v>0</v>
      </c>
      <c r="AI11" s="105">
        <f t="shared" si="3"/>
        <v>0</v>
      </c>
      <c r="AJ11" s="107">
        <v>0</v>
      </c>
      <c r="AK11" s="107">
        <v>0</v>
      </c>
      <c r="AL11" s="107">
        <v>0</v>
      </c>
      <c r="AM11" s="105">
        <f t="shared" si="4"/>
        <v>0</v>
      </c>
      <c r="AN11" s="105">
        <v>0</v>
      </c>
      <c r="AO11" s="201">
        <v>0</v>
      </c>
      <c r="AP11" s="180">
        <f t="shared" si="5"/>
        <v>0</v>
      </c>
      <c r="AQ11" s="200">
        <v>0</v>
      </c>
      <c r="AR11" s="105">
        <f t="shared" si="6"/>
        <v>0</v>
      </c>
      <c r="AS11" s="200">
        <v>0</v>
      </c>
      <c r="AT11" s="105">
        <f t="shared" ref="AT11:AT28" si="26">-AS11*G57</f>
        <v>0</v>
      </c>
      <c r="AU11" s="56">
        <v>0</v>
      </c>
      <c r="AV11" s="56">
        <v>0</v>
      </c>
      <c r="AW11" s="56">
        <v>0</v>
      </c>
      <c r="AX11" s="56">
        <v>0</v>
      </c>
      <c r="AY11" s="106">
        <f t="shared" si="7"/>
        <v>0</v>
      </c>
      <c r="AZ11" s="104">
        <v>0</v>
      </c>
      <c r="BA11" s="104">
        <v>0</v>
      </c>
      <c r="BB11" s="106">
        <f t="shared" si="8"/>
        <v>0</v>
      </c>
      <c r="BC11" s="97">
        <v>0</v>
      </c>
      <c r="BD11" s="104">
        <v>0</v>
      </c>
      <c r="BE11" s="104">
        <v>0</v>
      </c>
      <c r="BF11" s="104">
        <v>0</v>
      </c>
      <c r="BG11" s="108">
        <f>SUM(U11:BD11)-AN11+35000+110700</f>
        <v>145700</v>
      </c>
      <c r="BH11" s="109"/>
      <c r="BI11" s="109">
        <f>'Central sept'!BU11*-1</f>
        <v>25390</v>
      </c>
      <c r="BJ11" s="109">
        <v>0</v>
      </c>
      <c r="BK11" s="109">
        <v>-25390</v>
      </c>
      <c r="BL11" s="109">
        <v>0</v>
      </c>
      <c r="BM11" s="110">
        <f t="shared" si="9"/>
        <v>153721.65919999999</v>
      </c>
      <c r="BN11" s="111">
        <f t="shared" si="10"/>
        <v>-1807.7752193695051</v>
      </c>
      <c r="BO11" s="111">
        <f t="shared" si="11"/>
        <v>151913.88398063049</v>
      </c>
      <c r="BP11" s="104">
        <f t="shared" si="12"/>
        <v>143986.55993675263</v>
      </c>
      <c r="BQ11" s="104">
        <v>-685</v>
      </c>
      <c r="BR11" s="112">
        <v>0</v>
      </c>
      <c r="BS11" s="113">
        <v>0</v>
      </c>
      <c r="BT11" s="113">
        <v>0</v>
      </c>
      <c r="BU11" s="113">
        <f t="shared" si="13"/>
        <v>0</v>
      </c>
      <c r="BV11" s="114">
        <f t="shared" si="14"/>
        <v>0</v>
      </c>
      <c r="BW11" s="114"/>
      <c r="BX11" s="115">
        <f t="shared" si="15"/>
        <v>0</v>
      </c>
      <c r="BY11" s="106">
        <f t="shared" si="16"/>
        <v>0</v>
      </c>
      <c r="BZ11" s="115">
        <f t="shared" si="17"/>
        <v>0</v>
      </c>
      <c r="CA11" s="115">
        <f t="shared" si="18"/>
        <v>0</v>
      </c>
      <c r="CB11" s="29"/>
      <c r="CC11" s="29"/>
      <c r="CD11" s="116">
        <f t="shared" si="19"/>
        <v>0</v>
      </c>
      <c r="CE11" s="104">
        <v>28400</v>
      </c>
      <c r="CF11" s="104">
        <f t="shared" si="20"/>
        <v>172386.55993675263</v>
      </c>
      <c r="CG11" s="104">
        <v>0</v>
      </c>
      <c r="CH11" s="150">
        <v>173041</v>
      </c>
      <c r="CI11" s="104">
        <f t="shared" si="21"/>
        <v>30.559936752630165</v>
      </c>
      <c r="CJ11" s="104">
        <f t="shared" si="22"/>
        <v>32.62612972158572</v>
      </c>
      <c r="CK11" s="104">
        <f t="shared" si="23"/>
        <v>203835.37143920318</v>
      </c>
      <c r="CL11" s="104">
        <v>0</v>
      </c>
      <c r="CM11" s="117">
        <f t="shared" si="24"/>
        <v>30.923599999986465</v>
      </c>
      <c r="CN11" s="183">
        <f t="shared" si="25"/>
        <v>193198.68219999998</v>
      </c>
      <c r="CO11" s="119"/>
      <c r="CP11" s="119"/>
      <c r="CQ11" s="187"/>
      <c r="CR11" s="183"/>
    </row>
    <row r="12" spans="1:96" s="188" customFormat="1">
      <c r="A12" s="96">
        <v>36772</v>
      </c>
      <c r="B12" s="184"/>
      <c r="C12" s="185"/>
      <c r="D12" s="185"/>
      <c r="E12" s="185"/>
      <c r="F12" s="185"/>
      <c r="G12" s="185"/>
      <c r="H12" s="185"/>
      <c r="I12" s="185"/>
      <c r="J12" s="100"/>
      <c r="K12" s="100"/>
      <c r="L12" s="100"/>
      <c r="M12" s="100"/>
      <c r="N12" s="100"/>
      <c r="O12" s="100"/>
      <c r="P12" s="101"/>
      <c r="Q12" s="102"/>
      <c r="R12" s="103"/>
      <c r="S12" s="103"/>
      <c r="T12" s="161"/>
      <c r="U12" s="186"/>
      <c r="V12" s="140"/>
      <c r="W12" s="105"/>
      <c r="X12" s="140">
        <v>0</v>
      </c>
      <c r="Y12" s="104">
        <v>0</v>
      </c>
      <c r="Z12" s="104">
        <v>0</v>
      </c>
      <c r="AA12" s="174">
        <f t="shared" si="0"/>
        <v>0</v>
      </c>
      <c r="AB12" s="107"/>
      <c r="AC12" s="105">
        <f t="shared" si="1"/>
        <v>0</v>
      </c>
      <c r="AD12" s="107"/>
      <c r="AE12" s="105">
        <f t="shared" si="2"/>
        <v>0</v>
      </c>
      <c r="AF12" s="107">
        <v>0</v>
      </c>
      <c r="AG12" s="107">
        <v>0</v>
      </c>
      <c r="AH12" s="107">
        <v>0</v>
      </c>
      <c r="AI12" s="105">
        <f t="shared" si="3"/>
        <v>0</v>
      </c>
      <c r="AJ12" s="107">
        <v>0</v>
      </c>
      <c r="AK12" s="107">
        <v>0</v>
      </c>
      <c r="AL12" s="107">
        <v>0</v>
      </c>
      <c r="AM12" s="105">
        <f t="shared" si="4"/>
        <v>0</v>
      </c>
      <c r="AN12" s="105">
        <v>0</v>
      </c>
      <c r="AO12" s="201">
        <v>0</v>
      </c>
      <c r="AP12" s="180">
        <f t="shared" si="5"/>
        <v>0</v>
      </c>
      <c r="AQ12" s="200">
        <v>0</v>
      </c>
      <c r="AR12" s="105">
        <f t="shared" si="6"/>
        <v>0</v>
      </c>
      <c r="AS12" s="200">
        <v>0</v>
      </c>
      <c r="AT12" s="105">
        <f t="shared" si="26"/>
        <v>0</v>
      </c>
      <c r="AU12" s="56">
        <v>0</v>
      </c>
      <c r="AV12" s="56">
        <v>0</v>
      </c>
      <c r="AW12" s="56">
        <v>0</v>
      </c>
      <c r="AX12" s="56">
        <v>0</v>
      </c>
      <c r="AY12" s="106">
        <f t="shared" si="7"/>
        <v>0</v>
      </c>
      <c r="AZ12" s="104">
        <v>0</v>
      </c>
      <c r="BA12" s="104">
        <v>0</v>
      </c>
      <c r="BB12" s="106">
        <f t="shared" si="8"/>
        <v>0</v>
      </c>
      <c r="BC12" s="97">
        <v>0</v>
      </c>
      <c r="BD12" s="104">
        <v>0</v>
      </c>
      <c r="BE12" s="104">
        <v>0</v>
      </c>
      <c r="BF12" s="104">
        <v>0</v>
      </c>
      <c r="BG12" s="108">
        <f>SUM(U12:BD12)-AN12+35000+110700</f>
        <v>145700</v>
      </c>
      <c r="BH12" s="109"/>
      <c r="BI12" s="109">
        <f>'Central sept'!BU12*-1</f>
        <v>25390</v>
      </c>
      <c r="BJ12" s="109">
        <v>0</v>
      </c>
      <c r="BK12" s="109">
        <v>-25390</v>
      </c>
      <c r="BL12" s="109">
        <v>0</v>
      </c>
      <c r="BM12" s="110">
        <f t="shared" si="9"/>
        <v>153721.65919999999</v>
      </c>
      <c r="BN12" s="111">
        <f t="shared" si="10"/>
        <v>-1807.7752193695051</v>
      </c>
      <c r="BO12" s="111">
        <f t="shared" si="11"/>
        <v>151913.88398063049</v>
      </c>
      <c r="BP12" s="104">
        <f t="shared" si="12"/>
        <v>143986.55993675263</v>
      </c>
      <c r="BQ12" s="104">
        <v>-685</v>
      </c>
      <c r="BR12" s="112">
        <v>0</v>
      </c>
      <c r="BS12" s="113">
        <v>0</v>
      </c>
      <c r="BT12" s="113">
        <v>0</v>
      </c>
      <c r="BU12" s="113">
        <f t="shared" si="13"/>
        <v>0</v>
      </c>
      <c r="BV12" s="114">
        <f t="shared" si="14"/>
        <v>0</v>
      </c>
      <c r="BW12" s="114"/>
      <c r="BX12" s="115">
        <f t="shared" si="15"/>
        <v>0</v>
      </c>
      <c r="BY12" s="106">
        <f t="shared" si="16"/>
        <v>0</v>
      </c>
      <c r="BZ12" s="115">
        <f t="shared" si="17"/>
        <v>0</v>
      </c>
      <c r="CA12" s="115">
        <f t="shared" si="18"/>
        <v>0</v>
      </c>
      <c r="CB12" s="29"/>
      <c r="CC12" s="29"/>
      <c r="CD12" s="116">
        <f t="shared" si="19"/>
        <v>0</v>
      </c>
      <c r="CE12" s="104">
        <v>28400</v>
      </c>
      <c r="CF12" s="104">
        <f t="shared" si="20"/>
        <v>172386.55993675263</v>
      </c>
      <c r="CG12" s="104">
        <v>0</v>
      </c>
      <c r="CH12" s="150">
        <v>172893</v>
      </c>
      <c r="CI12" s="104">
        <f t="shared" si="21"/>
        <v>178.55993675263016</v>
      </c>
      <c r="CJ12" s="104">
        <f t="shared" si="22"/>
        <v>190.63258234878572</v>
      </c>
      <c r="CK12" s="104">
        <f t="shared" si="23"/>
        <v>204026.00402155195</v>
      </c>
      <c r="CL12" s="104">
        <v>0</v>
      </c>
      <c r="CM12" s="117">
        <f t="shared" si="24"/>
        <v>180.68479999998647</v>
      </c>
      <c r="CN12" s="183">
        <f t="shared" si="25"/>
        <v>193379.36699999997</v>
      </c>
      <c r="CO12" s="119"/>
      <c r="CP12" s="119"/>
      <c r="CQ12" s="187"/>
      <c r="CR12" s="183"/>
    </row>
    <row r="13" spans="1:96" s="188" customFormat="1">
      <c r="A13" s="96">
        <v>36773</v>
      </c>
      <c r="B13" s="184"/>
      <c r="C13" s="185"/>
      <c r="D13" s="185"/>
      <c r="E13" s="185"/>
      <c r="F13" s="185"/>
      <c r="G13" s="185"/>
      <c r="H13" s="185"/>
      <c r="I13" s="185"/>
      <c r="J13" s="100"/>
      <c r="K13" s="100"/>
      <c r="L13" s="100"/>
      <c r="M13" s="100"/>
      <c r="N13" s="100"/>
      <c r="O13" s="100"/>
      <c r="P13" s="101"/>
      <c r="Q13" s="102"/>
      <c r="R13" s="103"/>
      <c r="S13" s="103"/>
      <c r="T13" s="161"/>
      <c r="U13" s="186"/>
      <c r="V13" s="140"/>
      <c r="W13" s="105"/>
      <c r="X13" s="140">
        <v>0</v>
      </c>
      <c r="Y13" s="104">
        <v>0</v>
      </c>
      <c r="Z13" s="104">
        <v>0</v>
      </c>
      <c r="AA13" s="174">
        <f t="shared" si="0"/>
        <v>0</v>
      </c>
      <c r="AB13" s="107"/>
      <c r="AC13" s="105">
        <f t="shared" si="1"/>
        <v>0</v>
      </c>
      <c r="AD13" s="107"/>
      <c r="AE13" s="105">
        <f t="shared" si="2"/>
        <v>0</v>
      </c>
      <c r="AF13" s="107">
        <v>0</v>
      </c>
      <c r="AG13" s="107">
        <v>0</v>
      </c>
      <c r="AH13" s="107">
        <v>0</v>
      </c>
      <c r="AI13" s="105">
        <f t="shared" si="3"/>
        <v>0</v>
      </c>
      <c r="AJ13" s="107">
        <v>0</v>
      </c>
      <c r="AK13" s="107">
        <v>0</v>
      </c>
      <c r="AL13" s="107">
        <v>0</v>
      </c>
      <c r="AM13" s="105">
        <f t="shared" si="4"/>
        <v>0</v>
      </c>
      <c r="AN13" s="105">
        <v>0</v>
      </c>
      <c r="AO13" s="201">
        <v>0</v>
      </c>
      <c r="AP13" s="180">
        <f t="shared" si="5"/>
        <v>0</v>
      </c>
      <c r="AQ13" s="200">
        <v>0</v>
      </c>
      <c r="AR13" s="105">
        <f t="shared" si="6"/>
        <v>0</v>
      </c>
      <c r="AS13" s="200">
        <v>0</v>
      </c>
      <c r="AT13" s="105">
        <f t="shared" si="26"/>
        <v>0</v>
      </c>
      <c r="AU13" s="56">
        <v>0</v>
      </c>
      <c r="AV13" s="56">
        <v>0</v>
      </c>
      <c r="AW13" s="56">
        <v>0</v>
      </c>
      <c r="AX13" s="56">
        <v>0</v>
      </c>
      <c r="AY13" s="106">
        <f t="shared" si="7"/>
        <v>0</v>
      </c>
      <c r="AZ13" s="104">
        <v>0</v>
      </c>
      <c r="BA13" s="104">
        <v>0</v>
      </c>
      <c r="BB13" s="106">
        <f t="shared" si="8"/>
        <v>0</v>
      </c>
      <c r="BC13" s="97">
        <v>0</v>
      </c>
      <c r="BD13" s="104">
        <v>0</v>
      </c>
      <c r="BE13" s="104">
        <v>0</v>
      </c>
      <c r="BF13" s="104">
        <v>0</v>
      </c>
      <c r="BG13" s="108">
        <f>SUM(U13:BD13)-AN13+35000+110700</f>
        <v>145700</v>
      </c>
      <c r="BH13" s="109"/>
      <c r="BI13" s="109">
        <f>'Central sept'!BU13*-1</f>
        <v>25390</v>
      </c>
      <c r="BJ13" s="109">
        <v>0</v>
      </c>
      <c r="BK13" s="109">
        <v>-25390</v>
      </c>
      <c r="BL13" s="109">
        <v>0</v>
      </c>
      <c r="BM13" s="110">
        <f t="shared" si="9"/>
        <v>153721.65919999999</v>
      </c>
      <c r="BN13" s="111">
        <f t="shared" si="10"/>
        <v>-1807.7752193695051</v>
      </c>
      <c r="BO13" s="111">
        <f t="shared" si="11"/>
        <v>151913.88398063049</v>
      </c>
      <c r="BP13" s="104">
        <f t="shared" si="12"/>
        <v>143986.55993675263</v>
      </c>
      <c r="BQ13" s="104">
        <v>-685</v>
      </c>
      <c r="BR13" s="112">
        <v>0</v>
      </c>
      <c r="BS13" s="113">
        <v>0</v>
      </c>
      <c r="BT13" s="113">
        <v>0</v>
      </c>
      <c r="BU13" s="113">
        <f t="shared" si="13"/>
        <v>0</v>
      </c>
      <c r="BV13" s="114">
        <f t="shared" si="14"/>
        <v>0</v>
      </c>
      <c r="BW13" s="114"/>
      <c r="BX13" s="115">
        <f t="shared" si="15"/>
        <v>0</v>
      </c>
      <c r="BY13" s="106">
        <f t="shared" si="16"/>
        <v>0</v>
      </c>
      <c r="BZ13" s="115">
        <f t="shared" si="17"/>
        <v>0</v>
      </c>
      <c r="CA13" s="115">
        <f t="shared" si="18"/>
        <v>0</v>
      </c>
      <c r="CB13" s="29"/>
      <c r="CC13" s="29"/>
      <c r="CD13" s="116">
        <f t="shared" si="19"/>
        <v>0</v>
      </c>
      <c r="CE13" s="104">
        <v>28400</v>
      </c>
      <c r="CF13" s="104">
        <f t="shared" si="20"/>
        <v>172386.55993675263</v>
      </c>
      <c r="CG13" s="104">
        <v>0</v>
      </c>
      <c r="CH13" s="150">
        <v>175216</v>
      </c>
      <c r="CI13" s="104">
        <f t="shared" si="21"/>
        <v>-2144.4400632473698</v>
      </c>
      <c r="CJ13" s="104">
        <f t="shared" si="22"/>
        <v>-2289.4281571984143</v>
      </c>
      <c r="CK13" s="104">
        <f t="shared" si="23"/>
        <v>201736.57586435354</v>
      </c>
      <c r="CL13" s="104">
        <v>0</v>
      </c>
      <c r="CM13" s="117">
        <f t="shared" si="24"/>
        <v>-2169.9589000000137</v>
      </c>
      <c r="CN13" s="183">
        <f t="shared" si="25"/>
        <v>191209.40809999994</v>
      </c>
      <c r="CO13" s="119"/>
      <c r="CP13" s="119"/>
      <c r="CQ13" s="187"/>
      <c r="CR13" s="183"/>
    </row>
    <row r="14" spans="1:96" s="188" customFormat="1">
      <c r="A14" s="96">
        <v>36774</v>
      </c>
      <c r="B14" s="184"/>
      <c r="C14" s="185"/>
      <c r="D14" s="185"/>
      <c r="E14" s="185"/>
      <c r="F14" s="185"/>
      <c r="G14" s="185"/>
      <c r="H14" s="185"/>
      <c r="I14" s="185"/>
      <c r="J14" s="100"/>
      <c r="K14" s="100"/>
      <c r="L14" s="100"/>
      <c r="M14" s="100"/>
      <c r="N14" s="100"/>
      <c r="O14" s="100"/>
      <c r="P14" s="101"/>
      <c r="Q14" s="102"/>
      <c r="R14" s="103"/>
      <c r="S14" s="103"/>
      <c r="T14" s="161"/>
      <c r="U14" s="186"/>
      <c r="V14" s="140"/>
      <c r="W14" s="105"/>
      <c r="X14" s="140">
        <v>0</v>
      </c>
      <c r="Y14" s="104">
        <v>0</v>
      </c>
      <c r="Z14" s="104">
        <v>0</v>
      </c>
      <c r="AA14" s="174">
        <f t="shared" si="0"/>
        <v>0</v>
      </c>
      <c r="AB14" s="107"/>
      <c r="AC14" s="105">
        <f t="shared" si="1"/>
        <v>0</v>
      </c>
      <c r="AD14" s="107"/>
      <c r="AE14" s="105">
        <f t="shared" si="2"/>
        <v>0</v>
      </c>
      <c r="AF14" s="107">
        <v>0</v>
      </c>
      <c r="AG14" s="107">
        <v>0</v>
      </c>
      <c r="AH14" s="107">
        <v>0</v>
      </c>
      <c r="AI14" s="105">
        <f t="shared" si="3"/>
        <v>0</v>
      </c>
      <c r="AJ14" s="107">
        <v>0</v>
      </c>
      <c r="AK14" s="107">
        <v>0</v>
      </c>
      <c r="AL14" s="107">
        <v>0</v>
      </c>
      <c r="AM14" s="105">
        <f t="shared" si="4"/>
        <v>0</v>
      </c>
      <c r="AN14" s="105">
        <v>0</v>
      </c>
      <c r="AO14" s="201">
        <v>0</v>
      </c>
      <c r="AP14" s="180">
        <f t="shared" si="5"/>
        <v>0</v>
      </c>
      <c r="AQ14" s="200">
        <v>0</v>
      </c>
      <c r="AR14" s="105">
        <f t="shared" si="6"/>
        <v>0</v>
      </c>
      <c r="AS14" s="200">
        <v>0</v>
      </c>
      <c r="AT14" s="105">
        <f t="shared" si="26"/>
        <v>0</v>
      </c>
      <c r="AU14" s="56">
        <v>0</v>
      </c>
      <c r="AV14" s="56">
        <v>0</v>
      </c>
      <c r="AW14" s="56">
        <v>0</v>
      </c>
      <c r="AX14" s="56">
        <v>0</v>
      </c>
      <c r="AY14" s="106">
        <f t="shared" si="7"/>
        <v>0</v>
      </c>
      <c r="AZ14" s="104">
        <v>0</v>
      </c>
      <c r="BA14" s="104">
        <v>0</v>
      </c>
      <c r="BB14" s="106">
        <f t="shared" si="8"/>
        <v>0</v>
      </c>
      <c r="BC14" s="97">
        <v>0</v>
      </c>
      <c r="BD14" s="104">
        <v>0</v>
      </c>
      <c r="BE14" s="104">
        <v>0</v>
      </c>
      <c r="BF14" s="104">
        <v>0</v>
      </c>
      <c r="BG14" s="108">
        <f>SUM(U14:BD14)-AN14+35000+110700</f>
        <v>145700</v>
      </c>
      <c r="BH14" s="109"/>
      <c r="BI14" s="109">
        <f>'Central sept'!BU14*-1</f>
        <v>25390</v>
      </c>
      <c r="BJ14" s="109">
        <v>0</v>
      </c>
      <c r="BK14" s="109">
        <v>-25390</v>
      </c>
      <c r="BL14" s="109">
        <v>0</v>
      </c>
      <c r="BM14" s="110">
        <f t="shared" si="9"/>
        <v>153721.65919999999</v>
      </c>
      <c r="BN14" s="111">
        <f t="shared" si="10"/>
        <v>-1807.7752193695051</v>
      </c>
      <c r="BO14" s="111">
        <f t="shared" si="11"/>
        <v>151913.88398063049</v>
      </c>
      <c r="BP14" s="104">
        <f t="shared" si="12"/>
        <v>143986.55993675263</v>
      </c>
      <c r="BQ14" s="104">
        <v>-685</v>
      </c>
      <c r="BR14" s="112">
        <v>0</v>
      </c>
      <c r="BS14" s="113">
        <v>0</v>
      </c>
      <c r="BT14" s="113">
        <v>0</v>
      </c>
      <c r="BU14" s="113">
        <f t="shared" si="13"/>
        <v>0</v>
      </c>
      <c r="BV14" s="114">
        <f t="shared" si="14"/>
        <v>0</v>
      </c>
      <c r="BW14" s="114"/>
      <c r="BX14" s="115">
        <f t="shared" si="15"/>
        <v>0</v>
      </c>
      <c r="BY14" s="106">
        <f t="shared" si="16"/>
        <v>0</v>
      </c>
      <c r="BZ14" s="115">
        <f t="shared" si="17"/>
        <v>0</v>
      </c>
      <c r="CA14" s="115">
        <f t="shared" si="18"/>
        <v>0</v>
      </c>
      <c r="CB14" s="29"/>
      <c r="CC14" s="29"/>
      <c r="CD14" s="116">
        <f t="shared" si="19"/>
        <v>0</v>
      </c>
      <c r="CE14" s="104">
        <v>28400</v>
      </c>
      <c r="CF14" s="104">
        <f t="shared" si="20"/>
        <v>172386.55993675263</v>
      </c>
      <c r="CG14" s="104">
        <v>0</v>
      </c>
      <c r="CH14" s="150">
        <v>175234</v>
      </c>
      <c r="CI14" s="104">
        <f t="shared" si="21"/>
        <v>-2162.4400632473698</v>
      </c>
      <c r="CJ14" s="104">
        <f t="shared" si="22"/>
        <v>-2308.6451581936144</v>
      </c>
      <c r="CK14" s="104">
        <f t="shared" si="23"/>
        <v>199427.93070615991</v>
      </c>
      <c r="CL14" s="104">
        <v>0</v>
      </c>
      <c r="CM14" s="117">
        <f t="shared" si="24"/>
        <v>-2188.1731000000136</v>
      </c>
      <c r="CN14" s="183">
        <f t="shared" si="25"/>
        <v>189021.23499999993</v>
      </c>
      <c r="CO14" s="119"/>
      <c r="CP14" s="119"/>
      <c r="CQ14" s="187"/>
      <c r="CR14" s="183"/>
    </row>
    <row r="15" spans="1:96" s="188" customFormat="1">
      <c r="A15" s="96">
        <v>36775</v>
      </c>
      <c r="B15" s="184"/>
      <c r="C15" s="185"/>
      <c r="D15" s="185"/>
      <c r="E15" s="185"/>
      <c r="F15" s="185"/>
      <c r="G15" s="185"/>
      <c r="H15" s="185"/>
      <c r="I15" s="185"/>
      <c r="J15" s="100"/>
      <c r="K15" s="100"/>
      <c r="L15" s="100"/>
      <c r="M15" s="100"/>
      <c r="N15" s="100"/>
      <c r="O15" s="100"/>
      <c r="P15" s="101"/>
      <c r="Q15" s="102"/>
      <c r="R15" s="103"/>
      <c r="S15" s="103"/>
      <c r="T15" s="161"/>
      <c r="U15" s="186"/>
      <c r="V15" s="140"/>
      <c r="W15" s="105"/>
      <c r="X15" s="140">
        <v>15093</v>
      </c>
      <c r="Y15" s="104">
        <v>0</v>
      </c>
      <c r="Z15" s="104">
        <v>0</v>
      </c>
      <c r="AA15" s="174">
        <f t="shared" si="0"/>
        <v>-93.454346700000315</v>
      </c>
      <c r="AB15" s="107"/>
      <c r="AC15" s="105">
        <f t="shared" si="1"/>
        <v>0</v>
      </c>
      <c r="AD15" s="107"/>
      <c r="AE15" s="105">
        <f t="shared" si="2"/>
        <v>0</v>
      </c>
      <c r="AF15" s="107">
        <v>0</v>
      </c>
      <c r="AG15" s="107">
        <v>0</v>
      </c>
      <c r="AH15" s="107">
        <v>0</v>
      </c>
      <c r="AI15" s="105">
        <f t="shared" si="3"/>
        <v>0</v>
      </c>
      <c r="AJ15" s="107">
        <v>0</v>
      </c>
      <c r="AK15" s="107">
        <v>0</v>
      </c>
      <c r="AL15" s="107">
        <v>0</v>
      </c>
      <c r="AM15" s="105">
        <f t="shared" si="4"/>
        <v>0</v>
      </c>
      <c r="AN15" s="105">
        <v>0</v>
      </c>
      <c r="AO15" s="201">
        <v>0</v>
      </c>
      <c r="AP15" s="180">
        <f t="shared" si="5"/>
        <v>0</v>
      </c>
      <c r="AQ15" s="200">
        <v>0</v>
      </c>
      <c r="AR15" s="105">
        <f t="shared" si="6"/>
        <v>0</v>
      </c>
      <c r="AS15" s="200">
        <v>0</v>
      </c>
      <c r="AT15" s="105">
        <f t="shared" si="26"/>
        <v>0</v>
      </c>
      <c r="AU15" s="56">
        <v>0</v>
      </c>
      <c r="AV15" s="56">
        <v>0</v>
      </c>
      <c r="AW15" s="56">
        <v>0</v>
      </c>
      <c r="AX15" s="56">
        <v>0</v>
      </c>
      <c r="AY15" s="106">
        <f t="shared" si="7"/>
        <v>0</v>
      </c>
      <c r="AZ15" s="104">
        <v>0</v>
      </c>
      <c r="BA15" s="104">
        <v>0</v>
      </c>
      <c r="BB15" s="106">
        <f t="shared" si="8"/>
        <v>0</v>
      </c>
      <c r="BC15" s="97">
        <v>0</v>
      </c>
      <c r="BD15" s="104">
        <v>0</v>
      </c>
      <c r="BE15" s="104">
        <v>0</v>
      </c>
      <c r="BF15" s="104">
        <v>0</v>
      </c>
      <c r="BG15" s="108">
        <f>SUM(U15:BD15)-AN15+35000+88110</f>
        <v>138109.54565330001</v>
      </c>
      <c r="BH15" s="109"/>
      <c r="BI15" s="109">
        <f>'Central sept'!BU15*-1</f>
        <v>25390</v>
      </c>
      <c r="BJ15" s="109">
        <v>0</v>
      </c>
      <c r="BK15" s="109">
        <f>-51049</f>
        <v>-51049</v>
      </c>
      <c r="BL15" s="109">
        <v>0</v>
      </c>
      <c r="BM15" s="110">
        <f t="shared" si="9"/>
        <v>118641.62289478809</v>
      </c>
      <c r="BN15" s="111">
        <f t="shared" si="10"/>
        <v>-1395.2320510405989</v>
      </c>
      <c r="BO15" s="111">
        <f t="shared" si="11"/>
        <v>117246.39084374749</v>
      </c>
      <c r="BP15" s="104">
        <f t="shared" si="12"/>
        <v>111128.12101324242</v>
      </c>
      <c r="BQ15" s="104">
        <v>-685</v>
      </c>
      <c r="BR15" s="112">
        <v>36049</v>
      </c>
      <c r="BS15" s="113">
        <v>0</v>
      </c>
      <c r="BT15" s="113">
        <v>0</v>
      </c>
      <c r="BU15" s="113">
        <f t="shared" si="13"/>
        <v>36049</v>
      </c>
      <c r="BV15" s="114">
        <f t="shared" si="14"/>
        <v>38033.713744000001</v>
      </c>
      <c r="BW15" s="114"/>
      <c r="BX15" s="115">
        <f t="shared" si="15"/>
        <v>-182.81981766419631</v>
      </c>
      <c r="BY15" s="106">
        <f t="shared" si="16"/>
        <v>37850.9</v>
      </c>
      <c r="BZ15" s="115">
        <f t="shared" si="17"/>
        <v>-251.91321148305724</v>
      </c>
      <c r="CA15" s="115">
        <f t="shared" si="18"/>
        <v>37598.986788516944</v>
      </c>
      <c r="CB15" s="29"/>
      <c r="CC15" s="29"/>
      <c r="CD15" s="116">
        <f t="shared" si="19"/>
        <v>35636.95840648927</v>
      </c>
      <c r="CE15" s="104">
        <v>28400</v>
      </c>
      <c r="CF15" s="104">
        <f t="shared" si="20"/>
        <v>175165.07941973169</v>
      </c>
      <c r="CG15" s="104">
        <v>0</v>
      </c>
      <c r="CH15" s="150">
        <v>175900</v>
      </c>
      <c r="CI15" s="104">
        <f t="shared" si="21"/>
        <v>-49.920580268313643</v>
      </c>
      <c r="CJ15" s="104">
        <f t="shared" si="22"/>
        <v>-53.295768927619157</v>
      </c>
      <c r="CK15" s="104">
        <f t="shared" si="23"/>
        <v>199374.6349372323</v>
      </c>
      <c r="CL15" s="104">
        <v>0</v>
      </c>
      <c r="CM15" s="117">
        <f t="shared" si="24"/>
        <v>-50.514635173506576</v>
      </c>
      <c r="CN15" s="183">
        <f t="shared" si="25"/>
        <v>188970.72036482641</v>
      </c>
      <c r="CO15" s="119"/>
      <c r="CP15" s="119"/>
      <c r="CQ15" s="187"/>
      <c r="CR15" s="183"/>
    </row>
    <row r="16" spans="1:96" s="188" customFormat="1">
      <c r="A16" s="96">
        <v>36776</v>
      </c>
      <c r="B16" s="184"/>
      <c r="C16" s="185"/>
      <c r="D16" s="185"/>
      <c r="E16" s="185"/>
      <c r="F16" s="185"/>
      <c r="G16" s="185"/>
      <c r="H16" s="185"/>
      <c r="I16" s="185"/>
      <c r="J16" s="100"/>
      <c r="K16" s="100"/>
      <c r="L16" s="100"/>
      <c r="M16" s="100"/>
      <c r="N16" s="100"/>
      <c r="O16" s="100"/>
      <c r="P16" s="101"/>
      <c r="Q16" s="102"/>
      <c r="R16" s="103"/>
      <c r="S16" s="103"/>
      <c r="T16" s="161"/>
      <c r="U16" s="186"/>
      <c r="V16" s="140"/>
      <c r="W16" s="105"/>
      <c r="X16" s="140">
        <v>96478</v>
      </c>
      <c r="Y16" s="104">
        <v>0</v>
      </c>
      <c r="Z16" s="104">
        <v>0</v>
      </c>
      <c r="AA16" s="174">
        <f t="shared" ref="AA16:AA21" si="27">SUM(X16+AL16+Y16+Z16)*(1-FARSTCL)-(X16+Y16+Z16)</f>
        <v>-597.38212819999899</v>
      </c>
      <c r="AB16" s="107"/>
      <c r="AC16" s="105">
        <f t="shared" si="1"/>
        <v>0</v>
      </c>
      <c r="AD16" s="107"/>
      <c r="AE16" s="105">
        <f t="shared" si="2"/>
        <v>0</v>
      </c>
      <c r="AF16" s="107">
        <v>0</v>
      </c>
      <c r="AG16" s="107">
        <v>0</v>
      </c>
      <c r="AH16" s="107">
        <v>0</v>
      </c>
      <c r="AI16" s="105">
        <f t="shared" ref="AI16:AI21" si="28">(AF16)*(1-$E$56)-(AF16)</f>
        <v>0</v>
      </c>
      <c r="AJ16" s="107">
        <v>0</v>
      </c>
      <c r="AK16" s="107">
        <v>0</v>
      </c>
      <c r="AL16" s="107">
        <v>0</v>
      </c>
      <c r="AM16" s="105">
        <f t="shared" ref="AM16:AM21" si="29">(AJ16)*(1-$E$52)-(AJ16)</f>
        <v>0</v>
      </c>
      <c r="AN16" s="105">
        <v>0</v>
      </c>
      <c r="AO16" s="201">
        <v>0</v>
      </c>
      <c r="AP16" s="180">
        <f t="shared" si="5"/>
        <v>0</v>
      </c>
      <c r="AQ16" s="200">
        <v>0</v>
      </c>
      <c r="AR16" s="105">
        <f t="shared" si="6"/>
        <v>0</v>
      </c>
      <c r="AS16" s="200">
        <v>0</v>
      </c>
      <c r="AT16" s="105">
        <f t="shared" si="26"/>
        <v>0</v>
      </c>
      <c r="AU16" s="56">
        <v>0</v>
      </c>
      <c r="AV16" s="56">
        <v>0</v>
      </c>
      <c r="AW16" s="56">
        <v>0</v>
      </c>
      <c r="AX16" s="56">
        <v>0</v>
      </c>
      <c r="AY16" s="106">
        <f t="shared" si="7"/>
        <v>0</v>
      </c>
      <c r="AZ16" s="104">
        <v>0</v>
      </c>
      <c r="BA16" s="104">
        <v>0</v>
      </c>
      <c r="BB16" s="106">
        <f t="shared" si="8"/>
        <v>0</v>
      </c>
      <c r="BC16" s="97">
        <v>0</v>
      </c>
      <c r="BD16" s="104">
        <v>0</v>
      </c>
      <c r="BE16" s="104">
        <v>0</v>
      </c>
      <c r="BF16" s="104">
        <v>0</v>
      </c>
      <c r="BG16" s="108">
        <f>SUM(U16:BD16)-AN16+35000+1700</f>
        <v>132580.6178718</v>
      </c>
      <c r="BH16" s="109"/>
      <c r="BI16" s="109">
        <f>'Central sept'!BU16*-1</f>
        <v>25390</v>
      </c>
      <c r="BJ16" s="109">
        <v>0</v>
      </c>
      <c r="BK16" s="109">
        <v>-42808</v>
      </c>
      <c r="BL16" s="109">
        <v>0</v>
      </c>
      <c r="BM16" s="110">
        <f t="shared" ref="BM16:BM21" si="30">(BG16+BH16+BI16+BJ16+BK16+BL16)*M</f>
        <v>121503.01096134982</v>
      </c>
      <c r="BN16" s="111">
        <f t="shared" si="10"/>
        <v>-1428.8821330566861</v>
      </c>
      <c r="BO16" s="111">
        <f t="shared" ref="BO16:BO21" si="31">BM16+BN16</f>
        <v>120074.12882829313</v>
      </c>
      <c r="BP16" s="104">
        <f t="shared" si="12"/>
        <v>113808.29911236289</v>
      </c>
      <c r="BQ16" s="104">
        <v>-685</v>
      </c>
      <c r="BR16" s="112">
        <v>36050</v>
      </c>
      <c r="BS16" s="113">
        <v>0</v>
      </c>
      <c r="BT16" s="113">
        <v>0</v>
      </c>
      <c r="BU16" s="113">
        <f t="shared" ref="BU16:BU21" si="32">SUM(BR16+BS16+BT16)</f>
        <v>36050</v>
      </c>
      <c r="BV16" s="114">
        <f t="shared" si="14"/>
        <v>38034.768799999998</v>
      </c>
      <c r="BW16" s="114"/>
      <c r="BX16" s="115">
        <f t="shared" ref="BX16:BX21" si="33">((BV16)/(1+DAWNKIRK))-(BV16)</f>
        <v>-182.8248890896939</v>
      </c>
      <c r="BY16" s="106">
        <f t="shared" ref="BY16:BY21" si="34">ROUND(BV16+BX16,1)</f>
        <v>37851.9</v>
      </c>
      <c r="BZ16" s="115">
        <f t="shared" si="17"/>
        <v>-251.91986689182522</v>
      </c>
      <c r="CA16" s="115">
        <f t="shared" ref="CA16:CA21" si="35">BY16+BZ16</f>
        <v>37599.980133108176</v>
      </c>
      <c r="CB16" s="29"/>
      <c r="CC16" s="29"/>
      <c r="CD16" s="116">
        <f t="shared" ref="CD16:CD21" si="36">CA16/M</f>
        <v>35637.899915367692</v>
      </c>
      <c r="CE16" s="104">
        <v>28400</v>
      </c>
      <c r="CF16" s="104">
        <f t="shared" ref="CF16:CF21" si="37">CE16+CD16+BP16</f>
        <v>177846.19902773059</v>
      </c>
      <c r="CG16" s="104">
        <v>0</v>
      </c>
      <c r="CH16" s="150">
        <v>178634</v>
      </c>
      <c r="CI16" s="104">
        <f t="shared" ref="CI16:CI21" si="38">+CF16+CG16-BQ16-CH16</f>
        <v>-102.80097226941143</v>
      </c>
      <c r="CJ16" s="104">
        <f t="shared" ref="CJ16:CJ21" si="39">CM16*M</f>
        <v>-109.75146591160039</v>
      </c>
      <c r="CK16" s="104">
        <f t="shared" ref="CK16:CK21" si="40">+CJ16+CK15</f>
        <v>199264.8834713207</v>
      </c>
      <c r="CL16" s="104">
        <v>0</v>
      </c>
      <c r="CM16" s="117">
        <f t="shared" ref="CM16:CM21" si="41">CI16+CI16*STCLAIRCHIP-CL16</f>
        <v>-104.02430383941743</v>
      </c>
      <c r="CN16" s="183">
        <f t="shared" ref="CN16:CN21" si="42">CM16+CN15</f>
        <v>188866.69606098699</v>
      </c>
      <c r="CO16" s="119"/>
      <c r="CP16" s="119"/>
      <c r="CQ16" s="187"/>
      <c r="CR16" s="183"/>
    </row>
    <row r="17" spans="1:96" s="188" customFormat="1">
      <c r="A17" s="96">
        <v>36777</v>
      </c>
      <c r="B17" s="184"/>
      <c r="C17" s="185"/>
      <c r="D17" s="185"/>
      <c r="E17" s="185"/>
      <c r="F17" s="185"/>
      <c r="G17" s="185"/>
      <c r="H17" s="185"/>
      <c r="I17" s="185"/>
      <c r="J17" s="100"/>
      <c r="K17" s="100"/>
      <c r="L17" s="100"/>
      <c r="M17" s="100"/>
      <c r="N17" s="100"/>
      <c r="O17" s="100"/>
      <c r="P17" s="101"/>
      <c r="Q17" s="102"/>
      <c r="R17" s="103"/>
      <c r="S17" s="103"/>
      <c r="T17" s="161"/>
      <c r="U17" s="186"/>
      <c r="V17" s="140"/>
      <c r="W17" s="105"/>
      <c r="X17" s="140">
        <f>39900+80000-1016-40000+1910-3261</f>
        <v>77533</v>
      </c>
      <c r="Y17" s="104">
        <v>0</v>
      </c>
      <c r="Z17" s="104">
        <v>0</v>
      </c>
      <c r="AA17" s="174">
        <f t="shared" si="27"/>
        <v>-480.07658269999956</v>
      </c>
      <c r="AB17" s="107"/>
      <c r="AC17" s="105">
        <f t="shared" si="1"/>
        <v>0</v>
      </c>
      <c r="AD17" s="107"/>
      <c r="AE17" s="105">
        <f t="shared" si="2"/>
        <v>0</v>
      </c>
      <c r="AF17" s="107">
        <v>0</v>
      </c>
      <c r="AG17" s="107">
        <v>0</v>
      </c>
      <c r="AH17" s="107">
        <v>0</v>
      </c>
      <c r="AI17" s="105">
        <f t="shared" si="28"/>
        <v>0</v>
      </c>
      <c r="AJ17" s="107">
        <v>0</v>
      </c>
      <c r="AK17" s="107">
        <v>0</v>
      </c>
      <c r="AL17" s="107">
        <v>0</v>
      </c>
      <c r="AM17" s="105">
        <f t="shared" si="29"/>
        <v>0</v>
      </c>
      <c r="AN17" s="105">
        <v>0</v>
      </c>
      <c r="AO17" s="201">
        <v>0</v>
      </c>
      <c r="AP17" s="180">
        <f t="shared" si="5"/>
        <v>0</v>
      </c>
      <c r="AQ17" s="200">
        <v>0</v>
      </c>
      <c r="AR17" s="105">
        <f t="shared" si="6"/>
        <v>0</v>
      </c>
      <c r="AS17" s="200">
        <v>0</v>
      </c>
      <c r="AT17" s="105">
        <f t="shared" si="26"/>
        <v>0</v>
      </c>
      <c r="AU17" s="56">
        <v>0</v>
      </c>
      <c r="AV17" s="56">
        <v>0</v>
      </c>
      <c r="AW17" s="56">
        <v>0</v>
      </c>
      <c r="AX17" s="56">
        <v>0</v>
      </c>
      <c r="AY17" s="106">
        <f t="shared" si="7"/>
        <v>0</v>
      </c>
      <c r="AZ17" s="104">
        <v>0</v>
      </c>
      <c r="BA17" s="104">
        <v>0</v>
      </c>
      <c r="BB17" s="106">
        <f t="shared" si="8"/>
        <v>0</v>
      </c>
      <c r="BC17" s="97">
        <v>0</v>
      </c>
      <c r="BD17" s="104">
        <v>0</v>
      </c>
      <c r="BE17" s="104">
        <v>0</v>
      </c>
      <c r="BF17" s="104">
        <v>0</v>
      </c>
      <c r="BG17" s="108">
        <f>SUM(U17:BD17)-AN17+35000+39700+3241</f>
        <v>154993.92341729999</v>
      </c>
      <c r="BH17" s="109"/>
      <c r="BI17" s="109">
        <f>'Central sept'!BU17*-1</f>
        <v>0</v>
      </c>
      <c r="BJ17" s="109">
        <v>0</v>
      </c>
      <c r="BK17" s="109">
        <f>-47678-1910</f>
        <v>-49588</v>
      </c>
      <c r="BL17" s="109">
        <v>0</v>
      </c>
      <c r="BM17" s="110">
        <f t="shared" si="30"/>
        <v>111209.15193696285</v>
      </c>
      <c r="BN17" s="111">
        <f t="shared" si="10"/>
        <v>-1307.8257812529482</v>
      </c>
      <c r="BO17" s="111">
        <f t="shared" si="31"/>
        <v>109901.3261557099</v>
      </c>
      <c r="BP17" s="104">
        <f t="shared" si="12"/>
        <v>104166.34392459727</v>
      </c>
      <c r="BQ17" s="104">
        <v>-685</v>
      </c>
      <c r="BR17" s="112">
        <v>36050</v>
      </c>
      <c r="BS17" s="113">
        <v>0</v>
      </c>
      <c r="BT17" s="113">
        <v>0</v>
      </c>
      <c r="BU17" s="113">
        <f t="shared" si="32"/>
        <v>36050</v>
      </c>
      <c r="BV17" s="114">
        <f t="shared" si="14"/>
        <v>38034.768799999998</v>
      </c>
      <c r="BW17" s="114"/>
      <c r="BX17" s="115">
        <f t="shared" si="33"/>
        <v>-182.8248890896939</v>
      </c>
      <c r="BY17" s="106">
        <f t="shared" si="34"/>
        <v>37851.9</v>
      </c>
      <c r="BZ17" s="115">
        <f t="shared" si="17"/>
        <v>-251.91986689182522</v>
      </c>
      <c r="CA17" s="115">
        <f t="shared" si="35"/>
        <v>37599.980133108176</v>
      </c>
      <c r="CB17" s="29"/>
      <c r="CC17" s="29"/>
      <c r="CD17" s="116">
        <f t="shared" si="36"/>
        <v>35637.899915367692</v>
      </c>
      <c r="CE17" s="104">
        <v>28400</v>
      </c>
      <c r="CF17" s="104">
        <f t="shared" si="37"/>
        <v>168204.24383996497</v>
      </c>
      <c r="CG17" s="104">
        <v>0</v>
      </c>
      <c r="CH17" s="150">
        <v>176641</v>
      </c>
      <c r="CI17" s="104">
        <f t="shared" si="38"/>
        <v>-7751.7561600350309</v>
      </c>
      <c r="CJ17" s="104">
        <f t="shared" si="39"/>
        <v>-8275.8614356633843</v>
      </c>
      <c r="CK17" s="104">
        <f t="shared" si="40"/>
        <v>190989.02203565731</v>
      </c>
      <c r="CL17" s="104">
        <v>0</v>
      </c>
      <c r="CM17" s="117">
        <f t="shared" si="41"/>
        <v>-7844.002058339448</v>
      </c>
      <c r="CN17" s="183">
        <f t="shared" si="42"/>
        <v>181022.69400264753</v>
      </c>
      <c r="CO17" s="119"/>
      <c r="CP17" s="119"/>
      <c r="CQ17" s="187"/>
      <c r="CR17" s="183"/>
    </row>
    <row r="18" spans="1:96" s="188" customFormat="1">
      <c r="A18" s="96">
        <v>36778</v>
      </c>
      <c r="B18" s="184"/>
      <c r="C18" s="185"/>
      <c r="D18" s="185"/>
      <c r="E18" s="185"/>
      <c r="F18" s="185"/>
      <c r="G18" s="185"/>
      <c r="H18" s="185"/>
      <c r="I18" s="185"/>
      <c r="J18" s="100"/>
      <c r="K18" s="100"/>
      <c r="L18" s="100"/>
      <c r="M18" s="100"/>
      <c r="N18" s="100"/>
      <c r="O18" s="100"/>
      <c r="P18" s="101"/>
      <c r="Q18" s="102"/>
      <c r="R18" s="103"/>
      <c r="S18" s="103"/>
      <c r="T18" s="161"/>
      <c r="U18" s="186"/>
      <c r="V18" s="140"/>
      <c r="W18" s="105"/>
      <c r="X18" s="140">
        <v>79623</v>
      </c>
      <c r="Y18" s="104">
        <v>0</v>
      </c>
      <c r="Z18" s="104">
        <v>0</v>
      </c>
      <c r="AA18" s="174">
        <f t="shared" si="27"/>
        <v>-493.01765370000794</v>
      </c>
      <c r="AB18" s="107"/>
      <c r="AC18" s="105">
        <f t="shared" si="1"/>
        <v>0</v>
      </c>
      <c r="AD18" s="107"/>
      <c r="AE18" s="105">
        <f t="shared" si="2"/>
        <v>0</v>
      </c>
      <c r="AF18" s="107">
        <v>0</v>
      </c>
      <c r="AG18" s="107">
        <v>0</v>
      </c>
      <c r="AH18" s="107">
        <v>0</v>
      </c>
      <c r="AI18" s="105">
        <f t="shared" si="28"/>
        <v>0</v>
      </c>
      <c r="AJ18" s="107">
        <v>0</v>
      </c>
      <c r="AK18" s="107">
        <v>0</v>
      </c>
      <c r="AL18" s="107">
        <v>0</v>
      </c>
      <c r="AM18" s="105">
        <f t="shared" si="29"/>
        <v>0</v>
      </c>
      <c r="AN18" s="105">
        <v>0</v>
      </c>
      <c r="AO18" s="201">
        <v>0</v>
      </c>
      <c r="AP18" s="180">
        <f t="shared" si="5"/>
        <v>0</v>
      </c>
      <c r="AQ18" s="200">
        <v>0</v>
      </c>
      <c r="AR18" s="105">
        <f t="shared" si="6"/>
        <v>0</v>
      </c>
      <c r="AS18" s="200">
        <v>0</v>
      </c>
      <c r="AT18" s="105">
        <f t="shared" si="26"/>
        <v>0</v>
      </c>
      <c r="AU18" s="56">
        <v>0</v>
      </c>
      <c r="AV18" s="56">
        <v>0</v>
      </c>
      <c r="AW18" s="56">
        <v>0</v>
      </c>
      <c r="AX18" s="56">
        <v>0</v>
      </c>
      <c r="AY18" s="106">
        <f t="shared" si="7"/>
        <v>0</v>
      </c>
      <c r="AZ18" s="104">
        <v>0</v>
      </c>
      <c r="BA18" s="104">
        <v>0</v>
      </c>
      <c r="BB18" s="106">
        <f t="shared" si="8"/>
        <v>0</v>
      </c>
      <c r="BC18" s="97">
        <v>0</v>
      </c>
      <c r="BD18" s="104">
        <v>0</v>
      </c>
      <c r="BE18" s="104">
        <v>0</v>
      </c>
      <c r="BF18" s="104">
        <v>0</v>
      </c>
      <c r="BG18" s="108">
        <f>SUM(U18:BD18)-AN18+35000</f>
        <v>114129.98234629999</v>
      </c>
      <c r="BH18" s="109"/>
      <c r="BI18" s="109">
        <v>0</v>
      </c>
      <c r="BJ18" s="109">
        <v>0</v>
      </c>
      <c r="BK18" s="109">
        <f>-8703-6300-3975</f>
        <v>-18978</v>
      </c>
      <c r="BL18" s="109">
        <v>0</v>
      </c>
      <c r="BM18" s="110">
        <f t="shared" si="30"/>
        <v>100390.66988635788</v>
      </c>
      <c r="BN18" s="111">
        <f t="shared" si="10"/>
        <v>-1180.5998336274934</v>
      </c>
      <c r="BO18" s="111">
        <f t="shared" si="31"/>
        <v>99210.070052730385</v>
      </c>
      <c r="BP18" s="104">
        <f t="shared" si="12"/>
        <v>94032.98976806007</v>
      </c>
      <c r="BQ18" s="104">
        <v>-685</v>
      </c>
      <c r="BR18" s="112">
        <f>36050+8703</f>
        <v>44753</v>
      </c>
      <c r="BS18" s="113">
        <v>0</v>
      </c>
      <c r="BT18" s="113">
        <v>0</v>
      </c>
      <c r="BU18" s="113">
        <f t="shared" si="32"/>
        <v>44753</v>
      </c>
      <c r="BV18" s="114">
        <f t="shared" si="14"/>
        <v>47216.921168000001</v>
      </c>
      <c r="BW18" s="114"/>
      <c r="BX18" s="115">
        <f t="shared" si="33"/>
        <v>-226.96150517145725</v>
      </c>
      <c r="BY18" s="106">
        <f t="shared" si="34"/>
        <v>46990</v>
      </c>
      <c r="BZ18" s="115">
        <f t="shared" si="17"/>
        <v>-312.73765769344755</v>
      </c>
      <c r="CA18" s="115">
        <f t="shared" si="35"/>
        <v>46677.262342306552</v>
      </c>
      <c r="CB18" s="29"/>
      <c r="CC18" s="29"/>
      <c r="CD18" s="116">
        <f t="shared" si="36"/>
        <v>44241.502197330337</v>
      </c>
      <c r="CE18" s="104">
        <v>28400</v>
      </c>
      <c r="CF18" s="104">
        <f t="shared" si="37"/>
        <v>166674.49196539039</v>
      </c>
      <c r="CG18" s="104">
        <v>0</v>
      </c>
      <c r="CH18" s="150">
        <v>174918</v>
      </c>
      <c r="CI18" s="104">
        <f t="shared" si="38"/>
        <v>-7558.5080346096074</v>
      </c>
      <c r="CJ18" s="104">
        <f t="shared" si="39"/>
        <v>-8069.5475790733344</v>
      </c>
      <c r="CK18" s="104">
        <f t="shared" si="40"/>
        <v>182919.47445658396</v>
      </c>
      <c r="CL18" s="104">
        <v>0</v>
      </c>
      <c r="CM18" s="117">
        <f t="shared" si="41"/>
        <v>-7648.4542802214619</v>
      </c>
      <c r="CN18" s="183">
        <f t="shared" si="42"/>
        <v>173374.23972242608</v>
      </c>
      <c r="CO18" s="119"/>
      <c r="CP18" s="119"/>
      <c r="CQ18" s="187"/>
      <c r="CR18" s="183"/>
    </row>
    <row r="19" spans="1:96" s="188" customFormat="1">
      <c r="A19" s="96">
        <v>36779</v>
      </c>
      <c r="B19" s="184"/>
      <c r="C19" s="185"/>
      <c r="D19" s="185"/>
      <c r="E19" s="185"/>
      <c r="F19" s="185"/>
      <c r="G19" s="185"/>
      <c r="H19" s="185"/>
      <c r="I19" s="185"/>
      <c r="J19" s="100"/>
      <c r="K19" s="100"/>
      <c r="L19" s="100"/>
      <c r="M19" s="100"/>
      <c r="N19" s="100"/>
      <c r="O19" s="100"/>
      <c r="P19" s="101"/>
      <c r="Q19" s="102"/>
      <c r="R19" s="103"/>
      <c r="S19" s="103"/>
      <c r="T19" s="161"/>
      <c r="U19" s="186"/>
      <c r="V19" s="140"/>
      <c r="W19" s="105"/>
      <c r="X19" s="140">
        <v>79623</v>
      </c>
      <c r="Y19" s="104">
        <v>0</v>
      </c>
      <c r="Z19" s="104">
        <v>0</v>
      </c>
      <c r="AA19" s="174">
        <f t="shared" si="27"/>
        <v>-493.01765370000794</v>
      </c>
      <c r="AB19" s="107"/>
      <c r="AC19" s="105">
        <f t="shared" si="1"/>
        <v>0</v>
      </c>
      <c r="AD19" s="107"/>
      <c r="AE19" s="105">
        <f t="shared" si="2"/>
        <v>0</v>
      </c>
      <c r="AF19" s="107">
        <v>0</v>
      </c>
      <c r="AG19" s="107">
        <v>0</v>
      </c>
      <c r="AH19" s="107">
        <v>0</v>
      </c>
      <c r="AI19" s="105">
        <f t="shared" si="28"/>
        <v>0</v>
      </c>
      <c r="AJ19" s="107">
        <v>0</v>
      </c>
      <c r="AK19" s="107">
        <v>0</v>
      </c>
      <c r="AL19" s="107">
        <v>0</v>
      </c>
      <c r="AM19" s="105">
        <f t="shared" si="29"/>
        <v>0</v>
      </c>
      <c r="AN19" s="105">
        <v>0</v>
      </c>
      <c r="AO19" s="201">
        <v>0</v>
      </c>
      <c r="AP19" s="180">
        <f t="shared" si="5"/>
        <v>0</v>
      </c>
      <c r="AQ19" s="200">
        <v>0</v>
      </c>
      <c r="AR19" s="105">
        <f t="shared" si="6"/>
        <v>0</v>
      </c>
      <c r="AS19" s="200">
        <v>0</v>
      </c>
      <c r="AT19" s="105">
        <f t="shared" si="26"/>
        <v>0</v>
      </c>
      <c r="AU19" s="56">
        <v>0</v>
      </c>
      <c r="AV19" s="56">
        <v>0</v>
      </c>
      <c r="AW19" s="56">
        <v>0</v>
      </c>
      <c r="AX19" s="56">
        <v>0</v>
      </c>
      <c r="AY19" s="106">
        <f t="shared" si="7"/>
        <v>0</v>
      </c>
      <c r="AZ19" s="104">
        <v>0</v>
      </c>
      <c r="BA19" s="104">
        <v>0</v>
      </c>
      <c r="BB19" s="106">
        <f t="shared" si="8"/>
        <v>0</v>
      </c>
      <c r="BC19" s="97">
        <v>0</v>
      </c>
      <c r="BD19" s="104">
        <v>0</v>
      </c>
      <c r="BE19" s="104">
        <v>0</v>
      </c>
      <c r="BF19" s="104">
        <v>0</v>
      </c>
      <c r="BG19" s="108">
        <f>SUM(U19:BD19)-AN19+35000</f>
        <v>114129.98234629999</v>
      </c>
      <c r="BH19" s="109"/>
      <c r="BI19" s="109">
        <f>'Central sept'!BU40*-1</f>
        <v>0</v>
      </c>
      <c r="BJ19" s="109">
        <v>0</v>
      </c>
      <c r="BK19" s="109">
        <f>-8703-6300-3975</f>
        <v>-18978</v>
      </c>
      <c r="BL19" s="109">
        <v>0</v>
      </c>
      <c r="BM19" s="110">
        <f t="shared" si="30"/>
        <v>100390.66988635788</v>
      </c>
      <c r="BN19" s="111">
        <f t="shared" si="10"/>
        <v>-1180.5998336274934</v>
      </c>
      <c r="BO19" s="111">
        <f t="shared" si="31"/>
        <v>99210.070052730385</v>
      </c>
      <c r="BP19" s="104">
        <f t="shared" si="12"/>
        <v>94032.98976806007</v>
      </c>
      <c r="BQ19" s="104">
        <v>-685</v>
      </c>
      <c r="BR19" s="112">
        <f>36050+8703</f>
        <v>44753</v>
      </c>
      <c r="BS19" s="113">
        <v>0</v>
      </c>
      <c r="BT19" s="113">
        <v>0</v>
      </c>
      <c r="BU19" s="113">
        <f t="shared" si="32"/>
        <v>44753</v>
      </c>
      <c r="BV19" s="114">
        <f t="shared" si="14"/>
        <v>47216.921168000001</v>
      </c>
      <c r="BW19" s="114"/>
      <c r="BX19" s="115">
        <f t="shared" si="33"/>
        <v>-226.96150517145725</v>
      </c>
      <c r="BY19" s="106">
        <f t="shared" si="34"/>
        <v>46990</v>
      </c>
      <c r="BZ19" s="115">
        <f t="shared" si="17"/>
        <v>-312.73765769344755</v>
      </c>
      <c r="CA19" s="115">
        <f t="shared" si="35"/>
        <v>46677.262342306552</v>
      </c>
      <c r="CB19" s="29"/>
      <c r="CC19" s="29"/>
      <c r="CD19" s="116">
        <f t="shared" si="36"/>
        <v>44241.502197330337</v>
      </c>
      <c r="CE19" s="104">
        <v>28400</v>
      </c>
      <c r="CF19" s="104">
        <f t="shared" si="37"/>
        <v>166674.49196539039</v>
      </c>
      <c r="CG19" s="104">
        <v>0</v>
      </c>
      <c r="CH19" s="150">
        <v>175060</v>
      </c>
      <c r="CI19" s="104">
        <f t="shared" si="38"/>
        <v>-7700.5080346096074</v>
      </c>
      <c r="CJ19" s="104">
        <f t="shared" si="39"/>
        <v>-8221.1483647021341</v>
      </c>
      <c r="CK19" s="104">
        <f t="shared" si="40"/>
        <v>174698.32609188184</v>
      </c>
      <c r="CL19" s="104">
        <v>0</v>
      </c>
      <c r="CM19" s="117">
        <f t="shared" si="41"/>
        <v>-7792.144080221462</v>
      </c>
      <c r="CN19" s="183">
        <f t="shared" si="42"/>
        <v>165582.09564220463</v>
      </c>
      <c r="CO19" s="119"/>
      <c r="CP19" s="119"/>
      <c r="CQ19" s="187"/>
      <c r="CR19" s="183"/>
    </row>
    <row r="20" spans="1:96" s="188" customFormat="1">
      <c r="A20" s="96">
        <v>36780</v>
      </c>
      <c r="B20" s="184"/>
      <c r="C20" s="185"/>
      <c r="D20" s="185"/>
      <c r="E20" s="185"/>
      <c r="F20" s="185"/>
      <c r="G20" s="185"/>
      <c r="H20" s="185"/>
      <c r="I20" s="185"/>
      <c r="J20" s="100"/>
      <c r="K20" s="100"/>
      <c r="L20" s="100"/>
      <c r="M20" s="100"/>
      <c r="N20" s="100"/>
      <c r="O20" s="100"/>
      <c r="P20" s="101"/>
      <c r="Q20" s="102"/>
      <c r="R20" s="103"/>
      <c r="S20" s="103"/>
      <c r="T20" s="161"/>
      <c r="U20" s="186"/>
      <c r="V20" s="140"/>
      <c r="W20" s="105"/>
      <c r="X20" s="140">
        <v>78382</v>
      </c>
      <c r="Y20" s="104">
        <v>0</v>
      </c>
      <c r="Z20" s="104">
        <v>0</v>
      </c>
      <c r="AA20" s="174">
        <f t="shared" si="27"/>
        <v>-485.33350580000842</v>
      </c>
      <c r="AB20" s="107"/>
      <c r="AC20" s="105">
        <f t="shared" si="1"/>
        <v>0</v>
      </c>
      <c r="AD20" s="107"/>
      <c r="AE20" s="105">
        <f t="shared" si="2"/>
        <v>0</v>
      </c>
      <c r="AF20" s="107">
        <v>0</v>
      </c>
      <c r="AG20" s="107">
        <v>0</v>
      </c>
      <c r="AH20" s="107">
        <v>0</v>
      </c>
      <c r="AI20" s="105">
        <f t="shared" si="28"/>
        <v>0</v>
      </c>
      <c r="AJ20" s="107">
        <v>0</v>
      </c>
      <c r="AK20" s="107">
        <v>0</v>
      </c>
      <c r="AL20" s="107">
        <v>0</v>
      </c>
      <c r="AM20" s="105">
        <f t="shared" si="29"/>
        <v>0</v>
      </c>
      <c r="AN20" s="105">
        <v>0</v>
      </c>
      <c r="AO20" s="201">
        <v>0</v>
      </c>
      <c r="AP20" s="180">
        <f t="shared" si="5"/>
        <v>0</v>
      </c>
      <c r="AQ20" s="200">
        <v>0</v>
      </c>
      <c r="AR20" s="105">
        <f t="shared" si="6"/>
        <v>0</v>
      </c>
      <c r="AS20" s="200">
        <v>0</v>
      </c>
      <c r="AT20" s="105">
        <f t="shared" si="26"/>
        <v>0</v>
      </c>
      <c r="AU20" s="56">
        <v>0</v>
      </c>
      <c r="AV20" s="56">
        <v>0</v>
      </c>
      <c r="AW20" s="56">
        <v>0</v>
      </c>
      <c r="AX20" s="56">
        <v>0</v>
      </c>
      <c r="AY20" s="106">
        <f t="shared" si="7"/>
        <v>0</v>
      </c>
      <c r="AZ20" s="104">
        <v>0</v>
      </c>
      <c r="BA20" s="104">
        <v>0</v>
      </c>
      <c r="BB20" s="106">
        <f t="shared" si="8"/>
        <v>0</v>
      </c>
      <c r="BC20" s="97">
        <v>1233</v>
      </c>
      <c r="BD20" s="104">
        <v>0</v>
      </c>
      <c r="BE20" s="104">
        <v>0</v>
      </c>
      <c r="BF20" s="104">
        <v>0</v>
      </c>
      <c r="BG20" s="108">
        <f>SUM(U20:BD20)-AN20+35000</f>
        <v>114129.66649419999</v>
      </c>
      <c r="BH20" s="109"/>
      <c r="BI20" s="109">
        <f>'Central sept'!BU41*-1</f>
        <v>0</v>
      </c>
      <c r="BJ20" s="109">
        <v>0</v>
      </c>
      <c r="BK20" s="109">
        <f>-8703-6300-3975</f>
        <v>-18978</v>
      </c>
      <c r="BL20" s="109">
        <v>0</v>
      </c>
      <c r="BM20" s="110">
        <f t="shared" si="30"/>
        <v>100390.33664470467</v>
      </c>
      <c r="BN20" s="111">
        <f t="shared" si="10"/>
        <v>-1180.5959146872046</v>
      </c>
      <c r="BO20" s="111">
        <f t="shared" si="31"/>
        <v>99209.740730017467</v>
      </c>
      <c r="BP20" s="104">
        <f t="shared" si="12"/>
        <v>94032.677630398262</v>
      </c>
      <c r="BQ20" s="104">
        <v>-685</v>
      </c>
      <c r="BR20" s="112">
        <f>36050+8703</f>
        <v>44753</v>
      </c>
      <c r="BS20" s="113">
        <v>0</v>
      </c>
      <c r="BT20" s="113">
        <v>0</v>
      </c>
      <c r="BU20" s="113">
        <f t="shared" si="32"/>
        <v>44753</v>
      </c>
      <c r="BV20" s="114">
        <f t="shared" si="14"/>
        <v>47216.921168000001</v>
      </c>
      <c r="BW20" s="114"/>
      <c r="BX20" s="115">
        <f t="shared" si="33"/>
        <v>-226.96150517145725</v>
      </c>
      <c r="BY20" s="106">
        <f t="shared" si="34"/>
        <v>46990</v>
      </c>
      <c r="BZ20" s="115">
        <f t="shared" si="17"/>
        <v>-312.73765769344755</v>
      </c>
      <c r="CA20" s="115">
        <f t="shared" si="35"/>
        <v>46677.262342306552</v>
      </c>
      <c r="CB20" s="29"/>
      <c r="CC20" s="29"/>
      <c r="CD20" s="116">
        <f t="shared" si="36"/>
        <v>44241.502197330337</v>
      </c>
      <c r="CE20" s="104">
        <v>28400</v>
      </c>
      <c r="CF20" s="104">
        <f t="shared" si="37"/>
        <v>166674.1798277286</v>
      </c>
      <c r="CG20" s="104">
        <v>0</v>
      </c>
      <c r="CH20" s="150">
        <v>174239</v>
      </c>
      <c r="CI20" s="104">
        <f t="shared" si="38"/>
        <v>-6879.8201722714002</v>
      </c>
      <c r="CJ20" s="104">
        <f t="shared" si="39"/>
        <v>-7344.9728387409177</v>
      </c>
      <c r="CK20" s="104">
        <f t="shared" si="40"/>
        <v>167353.35325314093</v>
      </c>
      <c r="CL20" s="104">
        <v>0</v>
      </c>
      <c r="CM20" s="117">
        <f t="shared" si="41"/>
        <v>-6961.6900323214295</v>
      </c>
      <c r="CN20" s="183">
        <f t="shared" si="42"/>
        <v>158620.40560988319</v>
      </c>
      <c r="CO20" s="119"/>
      <c r="CP20" s="119"/>
      <c r="CQ20" s="187"/>
      <c r="CR20" s="183"/>
    </row>
    <row r="21" spans="1:96" s="188" customFormat="1">
      <c r="A21" s="96">
        <v>36781</v>
      </c>
      <c r="B21" s="184"/>
      <c r="C21" s="185"/>
      <c r="D21" s="185"/>
      <c r="E21" s="185"/>
      <c r="F21" s="185"/>
      <c r="G21" s="185"/>
      <c r="H21" s="185"/>
      <c r="I21" s="185"/>
      <c r="J21" s="100"/>
      <c r="K21" s="100"/>
      <c r="L21" s="100"/>
      <c r="M21" s="100"/>
      <c r="N21" s="100"/>
      <c r="O21" s="100"/>
      <c r="P21" s="101"/>
      <c r="Q21" s="102"/>
      <c r="R21" s="103"/>
      <c r="S21" s="103"/>
      <c r="T21" s="161"/>
      <c r="U21" s="186"/>
      <c r="V21" s="140"/>
      <c r="W21" s="105"/>
      <c r="X21" s="140">
        <f>39900+30723</f>
        <v>70623</v>
      </c>
      <c r="Y21" s="104">
        <v>0</v>
      </c>
      <c r="Z21" s="104">
        <v>0</v>
      </c>
      <c r="AA21" s="174">
        <f t="shared" si="27"/>
        <v>-437.29055370000424</v>
      </c>
      <c r="AB21" s="107"/>
      <c r="AC21" s="105">
        <f t="shared" si="1"/>
        <v>0</v>
      </c>
      <c r="AD21" s="107"/>
      <c r="AE21" s="105">
        <f t="shared" si="2"/>
        <v>0</v>
      </c>
      <c r="AF21" s="107">
        <v>0</v>
      </c>
      <c r="AG21" s="107">
        <v>0</v>
      </c>
      <c r="AH21" s="107">
        <v>0</v>
      </c>
      <c r="AI21" s="105">
        <f t="shared" si="28"/>
        <v>0</v>
      </c>
      <c r="AJ21" s="107">
        <v>0</v>
      </c>
      <c r="AK21" s="107">
        <v>0</v>
      </c>
      <c r="AL21" s="107">
        <v>0</v>
      </c>
      <c r="AM21" s="105">
        <f t="shared" si="29"/>
        <v>0</v>
      </c>
      <c r="AN21" s="105">
        <v>0</v>
      </c>
      <c r="AO21" s="201">
        <v>10000</v>
      </c>
      <c r="AP21" s="180">
        <f t="shared" si="5"/>
        <v>-3.4521799999999998</v>
      </c>
      <c r="AQ21" s="200">
        <v>0</v>
      </c>
      <c r="AR21" s="105">
        <f t="shared" si="6"/>
        <v>0</v>
      </c>
      <c r="AS21" s="200">
        <v>0</v>
      </c>
      <c r="AT21" s="105">
        <f t="shared" si="26"/>
        <v>0</v>
      </c>
      <c r="AU21" s="56">
        <v>0</v>
      </c>
      <c r="AV21" s="56">
        <v>0</v>
      </c>
      <c r="AW21" s="56">
        <v>0</v>
      </c>
      <c r="AX21" s="56">
        <v>0</v>
      </c>
      <c r="AY21" s="106">
        <f t="shared" si="7"/>
        <v>0</v>
      </c>
      <c r="AZ21" s="104">
        <v>0</v>
      </c>
      <c r="BA21" s="104">
        <v>0</v>
      </c>
      <c r="BB21" s="106">
        <f t="shared" si="8"/>
        <v>0</v>
      </c>
      <c r="BC21" s="97">
        <v>0</v>
      </c>
      <c r="BD21" s="104">
        <v>0</v>
      </c>
      <c r="BE21" s="104">
        <v>0</v>
      </c>
      <c r="BF21" s="104">
        <v>0</v>
      </c>
      <c r="BG21" s="108">
        <f>SUM(U21:BD21)-AN21+35000+2000</f>
        <v>117182.2572663</v>
      </c>
      <c r="BH21" s="109"/>
      <c r="BI21" s="109">
        <f>'Central sept'!BU42*-1</f>
        <v>0</v>
      </c>
      <c r="BJ21" s="109">
        <v>0</v>
      </c>
      <c r="BK21" s="109">
        <f>-2100-10000+25</f>
        <v>-12075</v>
      </c>
      <c r="BL21" s="109">
        <v>0</v>
      </c>
      <c r="BM21" s="110">
        <f t="shared" si="30"/>
        <v>110894.04242235342</v>
      </c>
      <c r="BN21" s="111">
        <f t="shared" si="10"/>
        <v>-1304.1200759225321</v>
      </c>
      <c r="BO21" s="111">
        <f t="shared" si="31"/>
        <v>109589.92234643089</v>
      </c>
      <c r="BP21" s="104">
        <f t="shared" si="12"/>
        <v>103871.19010406166</v>
      </c>
      <c r="BQ21" s="104">
        <v>-685</v>
      </c>
      <c r="BR21" s="112">
        <v>36050</v>
      </c>
      <c r="BS21" s="113">
        <v>0</v>
      </c>
      <c r="BT21" s="113">
        <v>0</v>
      </c>
      <c r="BU21" s="113">
        <f t="shared" si="32"/>
        <v>36050</v>
      </c>
      <c r="BV21" s="114">
        <f t="shared" si="14"/>
        <v>38034.768799999998</v>
      </c>
      <c r="BW21" s="114"/>
      <c r="BX21" s="115">
        <f t="shared" si="33"/>
        <v>-182.8248890896939</v>
      </c>
      <c r="BY21" s="106">
        <f t="shared" si="34"/>
        <v>37851.9</v>
      </c>
      <c r="BZ21" s="115">
        <f t="shared" si="17"/>
        <v>-251.91986689182522</v>
      </c>
      <c r="CA21" s="115">
        <f t="shared" si="35"/>
        <v>37599.980133108176</v>
      </c>
      <c r="CB21" s="29"/>
      <c r="CC21" s="29"/>
      <c r="CD21" s="116">
        <f t="shared" si="36"/>
        <v>35637.899915367692</v>
      </c>
      <c r="CE21" s="104">
        <v>28400</v>
      </c>
      <c r="CF21" s="104">
        <f t="shared" si="37"/>
        <v>167909.09001942936</v>
      </c>
      <c r="CG21" s="104">
        <v>0</v>
      </c>
      <c r="CH21" s="150">
        <v>176170</v>
      </c>
      <c r="CI21" s="104">
        <f t="shared" si="38"/>
        <v>-7575.9099805706355</v>
      </c>
      <c r="CJ21" s="104">
        <f t="shared" si="39"/>
        <v>-8088.1260908984177</v>
      </c>
      <c r="CK21" s="104">
        <f t="shared" si="40"/>
        <v>159265.22716224252</v>
      </c>
      <c r="CL21" s="104">
        <v>0</v>
      </c>
      <c r="CM21" s="117">
        <f t="shared" si="41"/>
        <v>-7666.0633093394263</v>
      </c>
      <c r="CN21" s="183">
        <f t="shared" si="42"/>
        <v>150954.34230054377</v>
      </c>
      <c r="CO21" s="119"/>
      <c r="CP21" s="119"/>
      <c r="CQ21" s="187"/>
      <c r="CR21" s="183"/>
    </row>
    <row r="22" spans="1:96" s="188" customFormat="1">
      <c r="A22" s="96">
        <v>36782</v>
      </c>
      <c r="B22" s="184"/>
      <c r="C22" s="185"/>
      <c r="D22" s="185"/>
      <c r="E22" s="185"/>
      <c r="F22" s="185"/>
      <c r="G22" s="185"/>
      <c r="H22" s="185"/>
      <c r="I22" s="185"/>
      <c r="J22" s="100"/>
      <c r="K22" s="100"/>
      <c r="L22" s="100"/>
      <c r="M22" s="100"/>
      <c r="N22" s="100"/>
      <c r="O22" s="100"/>
      <c r="P22" s="101"/>
      <c r="Q22" s="102"/>
      <c r="R22" s="103"/>
      <c r="S22" s="103"/>
      <c r="T22" s="161"/>
      <c r="U22" s="186"/>
      <c r="V22" s="140"/>
      <c r="W22" s="105"/>
      <c r="X22" s="140">
        <f>35723+39900-5000+10031+15000+6634</f>
        <v>102288</v>
      </c>
      <c r="Y22" s="104">
        <v>0</v>
      </c>
      <c r="Z22" s="104">
        <v>0</v>
      </c>
      <c r="AA22" s="174">
        <f t="shared" ref="AA22:AA28" si="43">SUM(X22+AL22+Y22+Z22)*(1-FARSTCL)-(X22+Y22+Z22)</f>
        <v>-633.35706720000599</v>
      </c>
      <c r="AB22" s="107"/>
      <c r="AC22" s="105">
        <f t="shared" si="1"/>
        <v>0</v>
      </c>
      <c r="AD22" s="107"/>
      <c r="AE22" s="105">
        <f t="shared" si="2"/>
        <v>0</v>
      </c>
      <c r="AF22" s="107">
        <v>0</v>
      </c>
      <c r="AG22" s="107">
        <v>0</v>
      </c>
      <c r="AH22" s="107">
        <v>0</v>
      </c>
      <c r="AI22" s="105">
        <f t="shared" ref="AI22:AI28" si="44">(AF22)*(1-$E$56)-(AF22)</f>
        <v>0</v>
      </c>
      <c r="AJ22" s="107">
        <v>0</v>
      </c>
      <c r="AK22" s="107">
        <v>0</v>
      </c>
      <c r="AL22" s="107">
        <v>0</v>
      </c>
      <c r="AM22" s="105">
        <f t="shared" ref="AM22:AM28" si="45">(AJ22)*(1-$E$52)-(AJ22)</f>
        <v>0</v>
      </c>
      <c r="AN22" s="105">
        <v>0</v>
      </c>
      <c r="AO22" s="201">
        <v>0</v>
      </c>
      <c r="AP22" s="180">
        <f t="shared" si="5"/>
        <v>0</v>
      </c>
      <c r="AQ22" s="200">
        <v>0</v>
      </c>
      <c r="AR22" s="105">
        <f t="shared" si="6"/>
        <v>0</v>
      </c>
      <c r="AS22" s="200">
        <v>0</v>
      </c>
      <c r="AT22" s="105">
        <f t="shared" si="26"/>
        <v>0</v>
      </c>
      <c r="AU22" s="56">
        <v>0</v>
      </c>
      <c r="AV22" s="56">
        <v>0</v>
      </c>
      <c r="AW22" s="56">
        <v>0</v>
      </c>
      <c r="AX22" s="56">
        <v>0</v>
      </c>
      <c r="AY22" s="106">
        <f t="shared" si="7"/>
        <v>0</v>
      </c>
      <c r="AZ22" s="104">
        <v>0</v>
      </c>
      <c r="BA22" s="104">
        <v>0</v>
      </c>
      <c r="BB22" s="106">
        <f t="shared" si="8"/>
        <v>0</v>
      </c>
      <c r="BC22" s="97">
        <v>0</v>
      </c>
      <c r="BD22" s="104">
        <v>0</v>
      </c>
      <c r="BE22" s="104">
        <v>0</v>
      </c>
      <c r="BF22" s="104">
        <v>0</v>
      </c>
      <c r="BG22" s="108">
        <f t="shared" ref="BG22:BG28" si="46">SUM(U22:BD22)-AN22+35000</f>
        <v>136654.64293279999</v>
      </c>
      <c r="BH22" s="109"/>
      <c r="BI22" s="109">
        <v>0</v>
      </c>
      <c r="BJ22" s="109">
        <v>0</v>
      </c>
      <c r="BK22" s="109">
        <f>-1500-9969-15000+96-6634+41</f>
        <v>-32966</v>
      </c>
      <c r="BL22" s="109">
        <v>0</v>
      </c>
      <c r="BM22" s="110">
        <f t="shared" ref="BM22:BM28" si="47">(BG22+BH22+BI22+BJ22+BK22+BL22)*M</f>
        <v>109397.32485810823</v>
      </c>
      <c r="BN22" s="111">
        <f t="shared" si="10"/>
        <v>-1286.5185945365083</v>
      </c>
      <c r="BO22" s="111">
        <f t="shared" ref="BO22:BO28" si="48">BM22+BN22</f>
        <v>108110.80626357172</v>
      </c>
      <c r="BP22" s="104">
        <f t="shared" si="12"/>
        <v>102469.25875363177</v>
      </c>
      <c r="BQ22" s="104">
        <v>-685</v>
      </c>
      <c r="BR22" s="112">
        <f>36050</f>
        <v>36050</v>
      </c>
      <c r="BS22" s="113">
        <v>0</v>
      </c>
      <c r="BT22" s="113">
        <v>0</v>
      </c>
      <c r="BU22" s="113">
        <f t="shared" ref="BU22:BU28" si="49">SUM(BR22+BS22+BT22)</f>
        <v>36050</v>
      </c>
      <c r="BV22" s="114">
        <f t="shared" si="14"/>
        <v>38034.768799999998</v>
      </c>
      <c r="BW22" s="114"/>
      <c r="BX22" s="115">
        <f t="shared" ref="BX22:BX28" si="50">((BV22)/(1+DAWNKIRK))-(BV22)</f>
        <v>-182.8248890896939</v>
      </c>
      <c r="BY22" s="106">
        <f t="shared" ref="BY22:BY28" si="51">ROUND(BV22+BX22,1)</f>
        <v>37851.9</v>
      </c>
      <c r="BZ22" s="115">
        <f t="shared" si="17"/>
        <v>-251.91986689182522</v>
      </c>
      <c r="CA22" s="115">
        <f t="shared" ref="CA22:CA28" si="52">BY22+BZ22</f>
        <v>37599.980133108176</v>
      </c>
      <c r="CB22" s="29"/>
      <c r="CC22" s="29"/>
      <c r="CD22" s="116">
        <f t="shared" ref="CD22:CD28" si="53">CA22/M</f>
        <v>35637.899915367692</v>
      </c>
      <c r="CE22" s="104">
        <v>28400</v>
      </c>
      <c r="CF22" s="104">
        <f t="shared" ref="CF22:CF28" si="54">CE22+CD22+BP22</f>
        <v>166507.15866899947</v>
      </c>
      <c r="CG22" s="104">
        <v>0</v>
      </c>
      <c r="CH22" s="150">
        <v>177509</v>
      </c>
      <c r="CI22" s="104">
        <f t="shared" ref="CI22:CI28" si="55">+CF22+CG22-BQ22-CH22</f>
        <v>-10316.841331000527</v>
      </c>
      <c r="CJ22" s="104">
        <f t="shared" ref="CJ22:CJ28" si="56">CM22*M</f>
        <v>-11014.375006953202</v>
      </c>
      <c r="CK22" s="104">
        <f t="shared" ref="CK22:CK28" si="57">+CJ22+CK21</f>
        <v>148250.85215528932</v>
      </c>
      <c r="CL22" s="104">
        <v>0</v>
      </c>
      <c r="CM22" s="117">
        <f t="shared" ref="CM22:CM28" si="58">CI22+CI22*STCLAIRCHIP-CL22</f>
        <v>-10439.611742839434</v>
      </c>
      <c r="CN22" s="183">
        <f t="shared" ref="CN22:CN28" si="59">CM22+CN21</f>
        <v>140514.73055770434</v>
      </c>
      <c r="CO22" s="119"/>
      <c r="CP22" s="119"/>
      <c r="CQ22" s="187"/>
      <c r="CR22" s="183"/>
    </row>
    <row r="23" spans="1:96" s="188" customFormat="1">
      <c r="A23" s="96">
        <v>36783</v>
      </c>
      <c r="B23" s="184"/>
      <c r="C23" s="185"/>
      <c r="D23" s="185"/>
      <c r="E23" s="185"/>
      <c r="F23" s="185"/>
      <c r="G23" s="185"/>
      <c r="H23" s="185"/>
      <c r="I23" s="185"/>
      <c r="J23" s="100"/>
      <c r="K23" s="100"/>
      <c r="L23" s="100"/>
      <c r="M23" s="100"/>
      <c r="N23" s="100"/>
      <c r="O23" s="100"/>
      <c r="P23" s="101"/>
      <c r="Q23" s="102"/>
      <c r="R23" s="103"/>
      <c r="S23" s="103"/>
      <c r="T23" s="161"/>
      <c r="U23" s="186"/>
      <c r="V23" s="140"/>
      <c r="W23" s="105"/>
      <c r="X23" s="140">
        <f>35723+39900</f>
        <v>75623</v>
      </c>
      <c r="Y23" s="104">
        <v>0</v>
      </c>
      <c r="Z23" s="104">
        <v>0</v>
      </c>
      <c r="AA23" s="174">
        <f t="shared" si="43"/>
        <v>-468.25005370000144</v>
      </c>
      <c r="AB23" s="107"/>
      <c r="AC23" s="105">
        <f t="shared" si="1"/>
        <v>0</v>
      </c>
      <c r="AD23" s="107"/>
      <c r="AE23" s="105">
        <f t="shared" si="2"/>
        <v>0</v>
      </c>
      <c r="AF23" s="107">
        <v>0</v>
      </c>
      <c r="AG23" s="107">
        <v>0</v>
      </c>
      <c r="AH23" s="107">
        <v>0</v>
      </c>
      <c r="AI23" s="105">
        <f t="shared" si="44"/>
        <v>0</v>
      </c>
      <c r="AJ23" s="107">
        <v>0</v>
      </c>
      <c r="AK23" s="107">
        <v>0</v>
      </c>
      <c r="AL23" s="107">
        <v>0</v>
      </c>
      <c r="AM23" s="105">
        <f t="shared" si="45"/>
        <v>0</v>
      </c>
      <c r="AN23" s="105">
        <v>0</v>
      </c>
      <c r="AO23" s="201">
        <v>0</v>
      </c>
      <c r="AP23" s="180">
        <f t="shared" si="5"/>
        <v>0</v>
      </c>
      <c r="AQ23" s="200">
        <v>0</v>
      </c>
      <c r="AR23" s="105">
        <f t="shared" si="6"/>
        <v>0</v>
      </c>
      <c r="AS23" s="200">
        <v>0</v>
      </c>
      <c r="AT23" s="105">
        <f t="shared" si="26"/>
        <v>0</v>
      </c>
      <c r="AU23" s="56">
        <v>0</v>
      </c>
      <c r="AV23" s="56">
        <v>0</v>
      </c>
      <c r="AW23" s="56">
        <v>0</v>
      </c>
      <c r="AX23" s="56">
        <v>0</v>
      </c>
      <c r="AY23" s="106">
        <f t="shared" si="7"/>
        <v>0</v>
      </c>
      <c r="AZ23" s="104">
        <v>0</v>
      </c>
      <c r="BA23" s="104">
        <v>0</v>
      </c>
      <c r="BB23" s="106">
        <f t="shared" si="8"/>
        <v>0</v>
      </c>
      <c r="BC23" s="97">
        <v>0</v>
      </c>
      <c r="BD23" s="104">
        <v>-1233</v>
      </c>
      <c r="BE23" s="104">
        <v>0</v>
      </c>
      <c r="BF23" s="104">
        <v>0</v>
      </c>
      <c r="BG23" s="108">
        <f t="shared" si="46"/>
        <v>108921.7499463</v>
      </c>
      <c r="BH23" s="109"/>
      <c r="BI23" s="109">
        <v>0</v>
      </c>
      <c r="BJ23" s="109">
        <v>0</v>
      </c>
      <c r="BK23" s="109">
        <v>-2300</v>
      </c>
      <c r="BL23" s="109">
        <v>0</v>
      </c>
      <c r="BM23" s="110">
        <f t="shared" si="47"/>
        <v>112491.9170113435</v>
      </c>
      <c r="BN23" s="111">
        <f t="shared" si="10"/>
        <v>-1322.9111695177271</v>
      </c>
      <c r="BO23" s="111">
        <f t="shared" si="48"/>
        <v>111169.00584182577</v>
      </c>
      <c r="BP23" s="104">
        <f t="shared" si="12"/>
        <v>105367.87226633067</v>
      </c>
      <c r="BQ23" s="104">
        <v>-685</v>
      </c>
      <c r="BR23" s="112">
        <v>36050</v>
      </c>
      <c r="BS23" s="113">
        <v>0</v>
      </c>
      <c r="BT23" s="113">
        <v>0</v>
      </c>
      <c r="BU23" s="113">
        <f t="shared" si="49"/>
        <v>36050</v>
      </c>
      <c r="BV23" s="114">
        <f t="shared" si="14"/>
        <v>38034.768799999998</v>
      </c>
      <c r="BW23" s="114"/>
      <c r="BX23" s="115">
        <f t="shared" si="50"/>
        <v>-182.8248890896939</v>
      </c>
      <c r="BY23" s="106">
        <f t="shared" si="51"/>
        <v>37851.9</v>
      </c>
      <c r="BZ23" s="115">
        <f t="shared" si="17"/>
        <v>-251.91986689182522</v>
      </c>
      <c r="CA23" s="115">
        <f t="shared" si="52"/>
        <v>37599.980133108176</v>
      </c>
      <c r="CB23" s="29"/>
      <c r="CC23" s="29"/>
      <c r="CD23" s="116">
        <f t="shared" si="53"/>
        <v>35637.899915367692</v>
      </c>
      <c r="CE23" s="104">
        <v>28400</v>
      </c>
      <c r="CF23" s="104">
        <f t="shared" si="54"/>
        <v>169405.77218169835</v>
      </c>
      <c r="CG23" s="104">
        <v>0</v>
      </c>
      <c r="CH23" s="150">
        <v>178222</v>
      </c>
      <c r="CI23" s="104">
        <f t="shared" si="55"/>
        <v>-8131.227818301646</v>
      </c>
      <c r="CJ23" s="104">
        <f t="shared" si="56"/>
        <v>-8680.989615361148</v>
      </c>
      <c r="CK23" s="104">
        <f t="shared" si="57"/>
        <v>139569.86253992817</v>
      </c>
      <c r="CL23" s="104">
        <v>0</v>
      </c>
      <c r="CM23" s="117">
        <f t="shared" si="58"/>
        <v>-8227.9894293394354</v>
      </c>
      <c r="CN23" s="183">
        <f t="shared" si="59"/>
        <v>132286.7411283649</v>
      </c>
      <c r="CO23" s="119"/>
      <c r="CP23" s="119"/>
      <c r="CQ23" s="187"/>
      <c r="CR23" s="183"/>
    </row>
    <row r="24" spans="1:96" s="188" customFormat="1">
      <c r="A24" s="96">
        <v>36784</v>
      </c>
      <c r="B24" s="184"/>
      <c r="C24" s="185"/>
      <c r="D24" s="185"/>
      <c r="E24" s="185"/>
      <c r="F24" s="185"/>
      <c r="G24" s="185"/>
      <c r="H24" s="185"/>
      <c r="I24" s="185"/>
      <c r="J24" s="100"/>
      <c r="K24" s="100"/>
      <c r="L24" s="100"/>
      <c r="M24" s="100"/>
      <c r="N24" s="100"/>
      <c r="O24" s="100"/>
      <c r="P24" s="101"/>
      <c r="Q24" s="102"/>
      <c r="R24" s="103"/>
      <c r="S24" s="103"/>
      <c r="T24" s="161"/>
      <c r="U24" s="186"/>
      <c r="V24" s="140"/>
      <c r="W24" s="105"/>
      <c r="X24" s="140">
        <f>35723+39900+9420</f>
        <v>85043</v>
      </c>
      <c r="Y24" s="104">
        <v>0</v>
      </c>
      <c r="Z24" s="104">
        <v>0</v>
      </c>
      <c r="AA24" s="174">
        <f t="shared" si="43"/>
        <v>-526.57775169999513</v>
      </c>
      <c r="AB24" s="107"/>
      <c r="AC24" s="105">
        <f t="shared" si="1"/>
        <v>0</v>
      </c>
      <c r="AD24" s="107"/>
      <c r="AE24" s="105">
        <f t="shared" si="2"/>
        <v>0</v>
      </c>
      <c r="AF24" s="107">
        <v>0</v>
      </c>
      <c r="AG24" s="107">
        <v>0</v>
      </c>
      <c r="AH24" s="107">
        <v>0</v>
      </c>
      <c r="AI24" s="105">
        <f t="shared" si="44"/>
        <v>0</v>
      </c>
      <c r="AJ24" s="107">
        <v>0</v>
      </c>
      <c r="AK24" s="107">
        <v>0</v>
      </c>
      <c r="AL24" s="107">
        <v>0</v>
      </c>
      <c r="AM24" s="105">
        <f t="shared" si="45"/>
        <v>0</v>
      </c>
      <c r="AN24" s="105">
        <v>0</v>
      </c>
      <c r="AO24" s="201">
        <v>0</v>
      </c>
      <c r="AP24" s="180">
        <f t="shared" si="5"/>
        <v>0</v>
      </c>
      <c r="AQ24" s="200">
        <v>0</v>
      </c>
      <c r="AR24" s="105">
        <f t="shared" si="6"/>
        <v>0</v>
      </c>
      <c r="AS24" s="200">
        <v>0</v>
      </c>
      <c r="AT24" s="105">
        <f t="shared" si="26"/>
        <v>0</v>
      </c>
      <c r="AU24" s="56">
        <v>0</v>
      </c>
      <c r="AV24" s="56">
        <v>0</v>
      </c>
      <c r="AW24" s="56">
        <v>0</v>
      </c>
      <c r="AX24" s="56">
        <v>0</v>
      </c>
      <c r="AY24" s="106">
        <f t="shared" si="7"/>
        <v>0</v>
      </c>
      <c r="AZ24" s="104">
        <v>0</v>
      </c>
      <c r="BA24" s="104">
        <v>0</v>
      </c>
      <c r="BB24" s="106">
        <f t="shared" si="8"/>
        <v>0</v>
      </c>
      <c r="BC24" s="97">
        <v>0</v>
      </c>
      <c r="BD24" s="104">
        <v>0</v>
      </c>
      <c r="BE24" s="104">
        <v>0</v>
      </c>
      <c r="BF24" s="104">
        <v>0</v>
      </c>
      <c r="BG24" s="108">
        <f t="shared" si="46"/>
        <v>119516.4222483</v>
      </c>
      <c r="BH24" s="109"/>
      <c r="BI24" s="109">
        <v>0</v>
      </c>
      <c r="BJ24" s="109">
        <v>0</v>
      </c>
      <c r="BK24" s="109">
        <f>-1000-9354</f>
        <v>-10354</v>
      </c>
      <c r="BL24" s="109">
        <v>0</v>
      </c>
      <c r="BM24" s="110">
        <f t="shared" si="47"/>
        <v>115172.46856760241</v>
      </c>
      <c r="BN24" s="111">
        <f t="shared" si="10"/>
        <v>-1354.4346041649114</v>
      </c>
      <c r="BO24" s="111">
        <f t="shared" si="48"/>
        <v>113818.0339634375</v>
      </c>
      <c r="BP24" s="104">
        <f t="shared" si="12"/>
        <v>107878.66612145469</v>
      </c>
      <c r="BQ24" s="104">
        <v>-685</v>
      </c>
      <c r="BR24" s="112">
        <v>36050</v>
      </c>
      <c r="BS24" s="113">
        <v>0</v>
      </c>
      <c r="BT24" s="113">
        <v>0</v>
      </c>
      <c r="BU24" s="113">
        <f t="shared" si="49"/>
        <v>36050</v>
      </c>
      <c r="BV24" s="114">
        <f t="shared" si="14"/>
        <v>38034.768799999998</v>
      </c>
      <c r="BW24" s="114"/>
      <c r="BX24" s="115">
        <f t="shared" si="50"/>
        <v>-182.8248890896939</v>
      </c>
      <c r="BY24" s="106">
        <f t="shared" si="51"/>
        <v>37851.9</v>
      </c>
      <c r="BZ24" s="115">
        <f t="shared" si="17"/>
        <v>-251.91986689182522</v>
      </c>
      <c r="CA24" s="115">
        <f t="shared" si="52"/>
        <v>37599.980133108176</v>
      </c>
      <c r="CB24" s="29"/>
      <c r="CC24" s="29"/>
      <c r="CD24" s="116">
        <f t="shared" si="53"/>
        <v>35637.899915367692</v>
      </c>
      <c r="CE24" s="104">
        <v>28400</v>
      </c>
      <c r="CF24" s="104">
        <f t="shared" si="54"/>
        <v>171916.56603682239</v>
      </c>
      <c r="CG24" s="104">
        <v>0</v>
      </c>
      <c r="CH24" s="150">
        <v>181240</v>
      </c>
      <c r="CI24" s="104">
        <f t="shared" si="55"/>
        <v>-8638.4339631776093</v>
      </c>
      <c r="CJ24" s="104">
        <f t="shared" si="56"/>
        <v>-9222.4885592974224</v>
      </c>
      <c r="CK24" s="104">
        <f t="shared" si="57"/>
        <v>130347.37398063076</v>
      </c>
      <c r="CL24" s="104">
        <v>0</v>
      </c>
      <c r="CM24" s="117">
        <f t="shared" si="58"/>
        <v>-8741.2313273394229</v>
      </c>
      <c r="CN24" s="183">
        <f t="shared" si="59"/>
        <v>123545.50980102547</v>
      </c>
      <c r="CO24" s="119"/>
      <c r="CP24" s="119"/>
      <c r="CQ24" s="187"/>
      <c r="CR24" s="183"/>
    </row>
    <row r="25" spans="1:96" s="188" customFormat="1">
      <c r="A25" s="96">
        <v>36785</v>
      </c>
      <c r="B25" s="184"/>
      <c r="C25" s="185"/>
      <c r="D25" s="185"/>
      <c r="E25" s="185"/>
      <c r="F25" s="185"/>
      <c r="G25" s="185"/>
      <c r="H25" s="185"/>
      <c r="I25" s="185"/>
      <c r="J25" s="100"/>
      <c r="K25" s="100"/>
      <c r="L25" s="100"/>
      <c r="M25" s="100"/>
      <c r="N25" s="100"/>
      <c r="O25" s="100"/>
      <c r="P25" s="101"/>
      <c r="Q25" s="102"/>
      <c r="R25" s="103"/>
      <c r="S25" s="103"/>
      <c r="T25" s="161"/>
      <c r="U25" s="186"/>
      <c r="V25" s="140"/>
      <c r="W25" s="105"/>
      <c r="X25" s="140">
        <f>39900+35723-11460</f>
        <v>64163</v>
      </c>
      <c r="Y25" s="104">
        <v>0</v>
      </c>
      <c r="Z25" s="104">
        <v>0</v>
      </c>
      <c r="AA25" s="174">
        <f t="shared" si="43"/>
        <v>-397.29087969999819</v>
      </c>
      <c r="AB25" s="107"/>
      <c r="AC25" s="105">
        <f t="shared" si="1"/>
        <v>0</v>
      </c>
      <c r="AD25" s="107"/>
      <c r="AE25" s="105">
        <f t="shared" si="2"/>
        <v>0</v>
      </c>
      <c r="AF25" s="107">
        <v>0</v>
      </c>
      <c r="AG25" s="107">
        <v>0</v>
      </c>
      <c r="AH25" s="107">
        <v>0</v>
      </c>
      <c r="AI25" s="105">
        <f t="shared" si="44"/>
        <v>0</v>
      </c>
      <c r="AJ25" s="107">
        <v>0</v>
      </c>
      <c r="AK25" s="107">
        <v>0</v>
      </c>
      <c r="AL25" s="107">
        <v>0</v>
      </c>
      <c r="AM25" s="105">
        <f t="shared" si="45"/>
        <v>0</v>
      </c>
      <c r="AN25" s="105">
        <v>0</v>
      </c>
      <c r="AO25" s="201">
        <v>0</v>
      </c>
      <c r="AP25" s="180">
        <f t="shared" si="5"/>
        <v>0</v>
      </c>
      <c r="AQ25" s="200">
        <v>0</v>
      </c>
      <c r="AR25" s="105">
        <f t="shared" si="6"/>
        <v>0</v>
      </c>
      <c r="AS25" s="200">
        <v>0</v>
      </c>
      <c r="AT25" s="105">
        <f t="shared" si="26"/>
        <v>0</v>
      </c>
      <c r="AU25" s="56">
        <v>0</v>
      </c>
      <c r="AV25" s="56">
        <v>0</v>
      </c>
      <c r="AW25" s="56">
        <v>0</v>
      </c>
      <c r="AX25" s="56">
        <v>0</v>
      </c>
      <c r="AY25" s="106">
        <f t="shared" si="7"/>
        <v>0</v>
      </c>
      <c r="AZ25" s="104">
        <v>0</v>
      </c>
      <c r="BA25" s="104">
        <v>0</v>
      </c>
      <c r="BB25" s="106">
        <f t="shared" si="8"/>
        <v>0</v>
      </c>
      <c r="BC25" s="97">
        <v>0</v>
      </c>
      <c r="BD25" s="104">
        <v>0</v>
      </c>
      <c r="BE25" s="104">
        <v>0</v>
      </c>
      <c r="BF25" s="104">
        <v>0</v>
      </c>
      <c r="BG25" s="108">
        <f t="shared" si="46"/>
        <v>98765.709120300002</v>
      </c>
      <c r="BH25" s="109"/>
      <c r="BI25" s="109">
        <v>0</v>
      </c>
      <c r="BJ25" s="109">
        <v>0</v>
      </c>
      <c r="BK25" s="109">
        <v>-1000</v>
      </c>
      <c r="BL25" s="109">
        <v>0</v>
      </c>
      <c r="BM25" s="110">
        <f t="shared" si="47"/>
        <v>103148.29800162723</v>
      </c>
      <c r="BN25" s="111">
        <f t="shared" si="10"/>
        <v>-1213.0296928741591</v>
      </c>
      <c r="BO25" s="111">
        <f t="shared" si="48"/>
        <v>101935.26830875307</v>
      </c>
      <c r="BP25" s="104">
        <f t="shared" si="12"/>
        <v>96615.978970550452</v>
      </c>
      <c r="BQ25" s="104">
        <v>-685</v>
      </c>
      <c r="BR25" s="112">
        <v>36050</v>
      </c>
      <c r="BS25" s="113">
        <v>0</v>
      </c>
      <c r="BT25" s="113">
        <v>0</v>
      </c>
      <c r="BU25" s="113">
        <f t="shared" si="49"/>
        <v>36050</v>
      </c>
      <c r="BV25" s="114">
        <f t="shared" si="14"/>
        <v>38034.768799999998</v>
      </c>
      <c r="BW25" s="114"/>
      <c r="BX25" s="115">
        <f t="shared" si="50"/>
        <v>-182.8248890896939</v>
      </c>
      <c r="BY25" s="106">
        <f t="shared" si="51"/>
        <v>37851.9</v>
      </c>
      <c r="BZ25" s="115">
        <f t="shared" si="17"/>
        <v>-251.91986689182522</v>
      </c>
      <c r="CA25" s="115">
        <f t="shared" si="52"/>
        <v>37599.980133108176</v>
      </c>
      <c r="CB25" s="29"/>
      <c r="CC25" s="29"/>
      <c r="CD25" s="116">
        <f t="shared" si="53"/>
        <v>35637.899915367692</v>
      </c>
      <c r="CE25" s="104">
        <v>28400</v>
      </c>
      <c r="CF25" s="104">
        <f t="shared" si="54"/>
        <v>160653.87888591815</v>
      </c>
      <c r="CG25" s="104">
        <v>0</v>
      </c>
      <c r="CH25" s="150">
        <v>181485</v>
      </c>
      <c r="CI25" s="104">
        <f t="shared" si="55"/>
        <v>-20146.121114081849</v>
      </c>
      <c r="CJ25" s="104">
        <f t="shared" si="56"/>
        <v>-21508.223861040591</v>
      </c>
      <c r="CK25" s="104">
        <f t="shared" si="57"/>
        <v>108839.15011959017</v>
      </c>
      <c r="CL25" s="104">
        <v>0</v>
      </c>
      <c r="CM25" s="117">
        <f t="shared" si="58"/>
        <v>-20385.859955339423</v>
      </c>
      <c r="CN25" s="183">
        <f t="shared" si="59"/>
        <v>103159.64984568604</v>
      </c>
      <c r="CO25" s="119"/>
      <c r="CP25" s="119"/>
      <c r="CQ25" s="187"/>
      <c r="CR25" s="183"/>
    </row>
    <row r="26" spans="1:96" s="188" customFormat="1">
      <c r="A26" s="96">
        <v>36786</v>
      </c>
      <c r="B26" s="184"/>
      <c r="C26" s="185"/>
      <c r="D26" s="185"/>
      <c r="E26" s="185"/>
      <c r="F26" s="185"/>
      <c r="G26" s="185"/>
      <c r="H26" s="185"/>
      <c r="I26" s="185"/>
      <c r="J26" s="100"/>
      <c r="K26" s="100"/>
      <c r="L26" s="100"/>
      <c r="M26" s="100"/>
      <c r="N26" s="100"/>
      <c r="O26" s="100"/>
      <c r="P26" s="101"/>
      <c r="Q26" s="102"/>
      <c r="R26" s="103"/>
      <c r="S26" s="103"/>
      <c r="T26" s="161"/>
      <c r="U26" s="186"/>
      <c r="V26" s="140"/>
      <c r="W26" s="105"/>
      <c r="X26" s="140">
        <f>39900+35723</f>
        <v>75623</v>
      </c>
      <c r="Y26" s="104">
        <v>0</v>
      </c>
      <c r="Z26" s="104">
        <v>0</v>
      </c>
      <c r="AA26" s="174">
        <f t="shared" si="43"/>
        <v>-468.25005370000144</v>
      </c>
      <c r="AB26" s="107"/>
      <c r="AC26" s="105">
        <f t="shared" si="1"/>
        <v>0</v>
      </c>
      <c r="AD26" s="107"/>
      <c r="AE26" s="105">
        <f t="shared" si="2"/>
        <v>0</v>
      </c>
      <c r="AF26" s="107">
        <v>0</v>
      </c>
      <c r="AG26" s="107">
        <v>0</v>
      </c>
      <c r="AH26" s="107">
        <v>0</v>
      </c>
      <c r="AI26" s="105">
        <f t="shared" si="44"/>
        <v>0</v>
      </c>
      <c r="AJ26" s="107">
        <v>0</v>
      </c>
      <c r="AK26" s="107">
        <v>0</v>
      </c>
      <c r="AL26" s="107">
        <v>0</v>
      </c>
      <c r="AM26" s="105">
        <f t="shared" si="45"/>
        <v>0</v>
      </c>
      <c r="AN26" s="105">
        <v>0</v>
      </c>
      <c r="AO26" s="201">
        <v>0</v>
      </c>
      <c r="AP26" s="180">
        <f t="shared" si="5"/>
        <v>0</v>
      </c>
      <c r="AQ26" s="200">
        <v>0</v>
      </c>
      <c r="AR26" s="105">
        <f t="shared" si="6"/>
        <v>0</v>
      </c>
      <c r="AS26" s="200">
        <v>0</v>
      </c>
      <c r="AT26" s="105">
        <f t="shared" si="26"/>
        <v>0</v>
      </c>
      <c r="AU26" s="56">
        <v>0</v>
      </c>
      <c r="AV26" s="56">
        <v>0</v>
      </c>
      <c r="AW26" s="56">
        <v>0</v>
      </c>
      <c r="AX26" s="56">
        <v>0</v>
      </c>
      <c r="AY26" s="106">
        <f t="shared" si="7"/>
        <v>0</v>
      </c>
      <c r="AZ26" s="104">
        <v>0</v>
      </c>
      <c r="BA26" s="104">
        <v>0</v>
      </c>
      <c r="BB26" s="106">
        <f t="shared" si="8"/>
        <v>0</v>
      </c>
      <c r="BC26" s="97">
        <v>0</v>
      </c>
      <c r="BD26" s="104">
        <v>0</v>
      </c>
      <c r="BE26" s="104">
        <v>0</v>
      </c>
      <c r="BF26" s="104">
        <v>0</v>
      </c>
      <c r="BG26" s="108">
        <f t="shared" si="46"/>
        <v>110154.7499463</v>
      </c>
      <c r="BH26" s="109"/>
      <c r="BI26" s="109">
        <v>0</v>
      </c>
      <c r="BJ26" s="109">
        <v>0</v>
      </c>
      <c r="BK26" s="109">
        <v>-1000</v>
      </c>
      <c r="BL26" s="109">
        <v>0</v>
      </c>
      <c r="BM26" s="110">
        <f t="shared" si="47"/>
        <v>115164.3738593435</v>
      </c>
      <c r="BN26" s="111">
        <f t="shared" si="10"/>
        <v>-1354.3394099478173</v>
      </c>
      <c r="BO26" s="111">
        <f t="shared" si="48"/>
        <v>113810.03444939568</v>
      </c>
      <c r="BP26" s="104">
        <f t="shared" si="12"/>
        <v>107871.08404615081</v>
      </c>
      <c r="BQ26" s="104">
        <v>-685</v>
      </c>
      <c r="BR26" s="112">
        <v>36050</v>
      </c>
      <c r="BS26" s="113">
        <v>0</v>
      </c>
      <c r="BT26" s="113">
        <v>0</v>
      </c>
      <c r="BU26" s="113">
        <f t="shared" si="49"/>
        <v>36050</v>
      </c>
      <c r="BV26" s="114">
        <f t="shared" si="14"/>
        <v>38034.768799999998</v>
      </c>
      <c r="BW26" s="114"/>
      <c r="BX26" s="115">
        <f t="shared" si="50"/>
        <v>-182.8248890896939</v>
      </c>
      <c r="BY26" s="106">
        <f t="shared" si="51"/>
        <v>37851.9</v>
      </c>
      <c r="BZ26" s="115">
        <f t="shared" si="17"/>
        <v>-251.91986689182522</v>
      </c>
      <c r="CA26" s="115">
        <f t="shared" si="52"/>
        <v>37599.980133108176</v>
      </c>
      <c r="CB26" s="29"/>
      <c r="CC26" s="29"/>
      <c r="CD26" s="116">
        <f t="shared" si="53"/>
        <v>35637.899915367692</v>
      </c>
      <c r="CE26" s="104">
        <v>28400</v>
      </c>
      <c r="CF26" s="104">
        <f t="shared" si="54"/>
        <v>171908.9839615185</v>
      </c>
      <c r="CG26" s="104">
        <v>0</v>
      </c>
      <c r="CH26" s="150">
        <v>181485</v>
      </c>
      <c r="CI26" s="104">
        <f t="shared" si="55"/>
        <v>-8891.0160384814953</v>
      </c>
      <c r="CJ26" s="104">
        <f t="shared" si="56"/>
        <v>-9492.148003324337</v>
      </c>
      <c r="CK26" s="104">
        <f t="shared" si="57"/>
        <v>99347.002116265823</v>
      </c>
      <c r="CL26" s="104">
        <v>0</v>
      </c>
      <c r="CM26" s="117">
        <f t="shared" si="58"/>
        <v>-8996.8191293394248</v>
      </c>
      <c r="CN26" s="183">
        <f t="shared" si="59"/>
        <v>94162.830716346623</v>
      </c>
      <c r="CO26" s="119"/>
      <c r="CP26" s="119"/>
      <c r="CQ26" s="187"/>
      <c r="CR26" s="183"/>
    </row>
    <row r="27" spans="1:96" s="188" customFormat="1">
      <c r="A27" s="96">
        <v>36787</v>
      </c>
      <c r="B27" s="184"/>
      <c r="C27" s="185"/>
      <c r="D27" s="185"/>
      <c r="E27" s="185"/>
      <c r="F27" s="185"/>
      <c r="G27" s="185"/>
      <c r="H27" s="185"/>
      <c r="I27" s="185"/>
      <c r="J27" s="100"/>
      <c r="K27" s="100"/>
      <c r="L27" s="100"/>
      <c r="M27" s="100"/>
      <c r="N27" s="100"/>
      <c r="O27" s="100"/>
      <c r="P27" s="101"/>
      <c r="Q27" s="102"/>
      <c r="R27" s="103"/>
      <c r="S27" s="103"/>
      <c r="T27" s="161"/>
      <c r="U27" s="186"/>
      <c r="V27" s="140"/>
      <c r="W27" s="105"/>
      <c r="X27" s="140">
        <f>39900+35723</f>
        <v>75623</v>
      </c>
      <c r="Y27" s="104">
        <v>0</v>
      </c>
      <c r="Z27" s="104">
        <v>0</v>
      </c>
      <c r="AA27" s="174">
        <f t="shared" si="43"/>
        <v>-468.25005370000144</v>
      </c>
      <c r="AB27" s="107"/>
      <c r="AC27" s="105">
        <f t="shared" si="1"/>
        <v>0</v>
      </c>
      <c r="AD27" s="107"/>
      <c r="AE27" s="105">
        <f t="shared" si="2"/>
        <v>0</v>
      </c>
      <c r="AF27" s="107">
        <v>0</v>
      </c>
      <c r="AG27" s="107">
        <v>0</v>
      </c>
      <c r="AH27" s="107">
        <v>0</v>
      </c>
      <c r="AI27" s="105">
        <f t="shared" si="44"/>
        <v>0</v>
      </c>
      <c r="AJ27" s="107">
        <v>0</v>
      </c>
      <c r="AK27" s="107">
        <v>0</v>
      </c>
      <c r="AL27" s="107">
        <v>0</v>
      </c>
      <c r="AM27" s="105">
        <f t="shared" si="45"/>
        <v>0</v>
      </c>
      <c r="AN27" s="105">
        <v>0</v>
      </c>
      <c r="AO27" s="201">
        <v>0</v>
      </c>
      <c r="AP27" s="180">
        <f t="shared" si="5"/>
        <v>0</v>
      </c>
      <c r="AQ27" s="200">
        <v>0</v>
      </c>
      <c r="AR27" s="105">
        <f t="shared" si="6"/>
        <v>0</v>
      </c>
      <c r="AS27" s="200">
        <v>0</v>
      </c>
      <c r="AT27" s="105">
        <f t="shared" si="26"/>
        <v>0</v>
      </c>
      <c r="AU27" s="56">
        <v>0</v>
      </c>
      <c r="AV27" s="56">
        <v>0</v>
      </c>
      <c r="AW27" s="56">
        <v>0</v>
      </c>
      <c r="AX27" s="56">
        <v>0</v>
      </c>
      <c r="AY27" s="106">
        <f t="shared" si="7"/>
        <v>0</v>
      </c>
      <c r="AZ27" s="104">
        <v>0</v>
      </c>
      <c r="BA27" s="104">
        <v>0</v>
      </c>
      <c r="BB27" s="106">
        <f t="shared" si="8"/>
        <v>0</v>
      </c>
      <c r="BC27" s="97">
        <v>0</v>
      </c>
      <c r="BD27" s="104">
        <v>0</v>
      </c>
      <c r="BE27" s="104">
        <v>0</v>
      </c>
      <c r="BF27" s="104">
        <v>0</v>
      </c>
      <c r="BG27" s="108">
        <f t="shared" si="46"/>
        <v>110154.7499463</v>
      </c>
      <c r="BH27" s="109"/>
      <c r="BI27" s="109">
        <v>0</v>
      </c>
      <c r="BJ27" s="109">
        <v>0</v>
      </c>
      <c r="BK27" s="109">
        <v>-1000</v>
      </c>
      <c r="BL27" s="109">
        <v>0</v>
      </c>
      <c r="BM27" s="110">
        <f t="shared" si="47"/>
        <v>115164.3738593435</v>
      </c>
      <c r="BN27" s="111">
        <f t="shared" si="10"/>
        <v>-1354.3394099478173</v>
      </c>
      <c r="BO27" s="111">
        <f t="shared" si="48"/>
        <v>113810.03444939568</v>
      </c>
      <c r="BP27" s="104">
        <f t="shared" si="12"/>
        <v>107871.08404615081</v>
      </c>
      <c r="BQ27" s="104">
        <v>-685</v>
      </c>
      <c r="BR27" s="112">
        <v>36050</v>
      </c>
      <c r="BS27" s="113">
        <v>0</v>
      </c>
      <c r="BT27" s="113">
        <v>0</v>
      </c>
      <c r="BU27" s="113">
        <f t="shared" si="49"/>
        <v>36050</v>
      </c>
      <c r="BV27" s="114">
        <f t="shared" si="14"/>
        <v>38034.768799999998</v>
      </c>
      <c r="BW27" s="114"/>
      <c r="BX27" s="115">
        <f t="shared" si="50"/>
        <v>-182.8248890896939</v>
      </c>
      <c r="BY27" s="106">
        <f t="shared" si="51"/>
        <v>37851.9</v>
      </c>
      <c r="BZ27" s="115">
        <f t="shared" si="17"/>
        <v>-251.91986689182522</v>
      </c>
      <c r="CA27" s="115">
        <f t="shared" si="52"/>
        <v>37599.980133108176</v>
      </c>
      <c r="CB27" s="29"/>
      <c r="CC27" s="29"/>
      <c r="CD27" s="116">
        <f t="shared" si="53"/>
        <v>35637.899915367692</v>
      </c>
      <c r="CE27" s="104">
        <v>28400</v>
      </c>
      <c r="CF27" s="104">
        <f t="shared" si="54"/>
        <v>171908.9839615185</v>
      </c>
      <c r="CG27" s="104">
        <v>0</v>
      </c>
      <c r="CH27" s="150">
        <v>179318</v>
      </c>
      <c r="CI27" s="104">
        <f t="shared" si="55"/>
        <v>-6724.0160384814953</v>
      </c>
      <c r="CJ27" s="104">
        <f t="shared" si="56"/>
        <v>-7178.6346057355358</v>
      </c>
      <c r="CK27" s="104">
        <f t="shared" si="57"/>
        <v>92168.367510530283</v>
      </c>
      <c r="CL27" s="104">
        <v>0</v>
      </c>
      <c r="CM27" s="117">
        <f t="shared" si="58"/>
        <v>-6804.0318293394248</v>
      </c>
      <c r="CN27" s="183">
        <f t="shared" si="59"/>
        <v>87358.7988870072</v>
      </c>
      <c r="CO27" s="119"/>
      <c r="CP27" s="119"/>
      <c r="CQ27" s="187"/>
      <c r="CR27" s="183"/>
    </row>
    <row r="28" spans="1:96" s="188" customFormat="1">
      <c r="A28" s="96">
        <v>36788</v>
      </c>
      <c r="B28" s="184"/>
      <c r="C28" s="185"/>
      <c r="D28" s="185"/>
      <c r="E28" s="185"/>
      <c r="F28" s="185"/>
      <c r="G28" s="185"/>
      <c r="H28" s="185"/>
      <c r="I28" s="185"/>
      <c r="J28" s="100"/>
      <c r="K28" s="100"/>
      <c r="L28" s="100"/>
      <c r="M28" s="100"/>
      <c r="N28" s="100"/>
      <c r="O28" s="100"/>
      <c r="P28" s="101"/>
      <c r="Q28" s="102"/>
      <c r="R28" s="103"/>
      <c r="S28" s="103"/>
      <c r="T28" s="161"/>
      <c r="U28" s="186"/>
      <c r="V28" s="140"/>
      <c r="W28" s="105"/>
      <c r="X28" s="140">
        <f>35723+39900</f>
        <v>75623</v>
      </c>
      <c r="Y28" s="104">
        <v>0</v>
      </c>
      <c r="Z28" s="104">
        <v>0</v>
      </c>
      <c r="AA28" s="174">
        <f t="shared" si="43"/>
        <v>-468.25005370000144</v>
      </c>
      <c r="AB28" s="107"/>
      <c r="AC28" s="105">
        <f t="shared" si="1"/>
        <v>0</v>
      </c>
      <c r="AD28" s="107"/>
      <c r="AE28" s="105">
        <f t="shared" si="2"/>
        <v>0</v>
      </c>
      <c r="AF28" s="107">
        <v>0</v>
      </c>
      <c r="AG28" s="107">
        <v>0</v>
      </c>
      <c r="AH28" s="107">
        <v>0</v>
      </c>
      <c r="AI28" s="105">
        <f t="shared" si="44"/>
        <v>0</v>
      </c>
      <c r="AJ28" s="107">
        <v>0</v>
      </c>
      <c r="AK28" s="107">
        <v>0</v>
      </c>
      <c r="AL28" s="107">
        <v>0</v>
      </c>
      <c r="AM28" s="105">
        <f t="shared" si="45"/>
        <v>0</v>
      </c>
      <c r="AN28" s="105">
        <v>0</v>
      </c>
      <c r="AO28" s="201">
        <v>0</v>
      </c>
      <c r="AP28" s="180">
        <f t="shared" si="5"/>
        <v>0</v>
      </c>
      <c r="AQ28" s="200">
        <v>0</v>
      </c>
      <c r="AR28" s="105">
        <f t="shared" si="6"/>
        <v>0</v>
      </c>
      <c r="AS28" s="200">
        <v>0</v>
      </c>
      <c r="AT28" s="105">
        <f t="shared" si="26"/>
        <v>0</v>
      </c>
      <c r="AU28" s="56">
        <v>0</v>
      </c>
      <c r="AV28" s="56">
        <v>0</v>
      </c>
      <c r="AW28" s="56">
        <v>0</v>
      </c>
      <c r="AX28" s="56">
        <v>0</v>
      </c>
      <c r="AY28" s="106">
        <f t="shared" si="7"/>
        <v>0</v>
      </c>
      <c r="AZ28" s="104">
        <v>0</v>
      </c>
      <c r="BA28" s="104">
        <v>0</v>
      </c>
      <c r="BB28" s="106">
        <f t="shared" si="8"/>
        <v>0</v>
      </c>
      <c r="BC28" s="97">
        <v>0</v>
      </c>
      <c r="BD28" s="104">
        <v>0</v>
      </c>
      <c r="BE28" s="104">
        <v>0</v>
      </c>
      <c r="BF28" s="104">
        <v>0</v>
      </c>
      <c r="BG28" s="108">
        <f t="shared" si="46"/>
        <v>110154.7499463</v>
      </c>
      <c r="BH28" s="109"/>
      <c r="BI28" s="109">
        <v>0</v>
      </c>
      <c r="BJ28" s="109">
        <v>0</v>
      </c>
      <c r="BK28" s="109">
        <v>-1000</v>
      </c>
      <c r="BL28" s="109">
        <v>0</v>
      </c>
      <c r="BM28" s="110">
        <f t="shared" si="47"/>
        <v>115164.3738593435</v>
      </c>
      <c r="BN28" s="111">
        <f t="shared" si="10"/>
        <v>-1354.3394099478173</v>
      </c>
      <c r="BO28" s="111">
        <f t="shared" si="48"/>
        <v>113810.03444939568</v>
      </c>
      <c r="BP28" s="104">
        <f t="shared" si="12"/>
        <v>107871.08404615081</v>
      </c>
      <c r="BQ28" s="104">
        <v>-685</v>
      </c>
      <c r="BR28" s="112">
        <v>36050</v>
      </c>
      <c r="BS28" s="113">
        <v>0</v>
      </c>
      <c r="BT28" s="113">
        <v>0</v>
      </c>
      <c r="BU28" s="113">
        <f t="shared" si="49"/>
        <v>36050</v>
      </c>
      <c r="BV28" s="114">
        <f t="shared" si="14"/>
        <v>38034.768799999998</v>
      </c>
      <c r="BW28" s="114"/>
      <c r="BX28" s="115">
        <f t="shared" si="50"/>
        <v>-182.8248890896939</v>
      </c>
      <c r="BY28" s="106">
        <f t="shared" si="51"/>
        <v>37851.9</v>
      </c>
      <c r="BZ28" s="115">
        <f t="shared" si="17"/>
        <v>-251.91986689182522</v>
      </c>
      <c r="CA28" s="115">
        <f t="shared" si="52"/>
        <v>37599.980133108176</v>
      </c>
      <c r="CB28" s="29"/>
      <c r="CC28" s="29"/>
      <c r="CD28" s="116">
        <f t="shared" si="53"/>
        <v>35637.899915367692</v>
      </c>
      <c r="CE28" s="104">
        <v>28400</v>
      </c>
      <c r="CF28" s="104">
        <f t="shared" si="54"/>
        <v>171908.9839615185</v>
      </c>
      <c r="CG28" s="104">
        <v>0</v>
      </c>
      <c r="CH28" s="150">
        <v>179886</v>
      </c>
      <c r="CI28" s="104">
        <f t="shared" si="55"/>
        <v>-7292.0160384814953</v>
      </c>
      <c r="CJ28" s="104">
        <f t="shared" si="56"/>
        <v>-7785.0377482507365</v>
      </c>
      <c r="CK28" s="104">
        <f t="shared" si="57"/>
        <v>84383.329762279551</v>
      </c>
      <c r="CL28" s="104">
        <v>0</v>
      </c>
      <c r="CM28" s="117">
        <f t="shared" si="58"/>
        <v>-7378.7910293394252</v>
      </c>
      <c r="CN28" s="183">
        <f t="shared" si="59"/>
        <v>79980.007857667777</v>
      </c>
      <c r="CO28" s="119"/>
      <c r="CP28" s="119"/>
      <c r="CQ28" s="187"/>
      <c r="CR28" s="183"/>
    </row>
    <row r="29" spans="1:96" s="188" customFormat="1">
      <c r="A29" s="96">
        <v>36789</v>
      </c>
      <c r="B29" s="184"/>
      <c r="C29" s="185"/>
      <c r="D29" s="185"/>
      <c r="E29" s="185"/>
      <c r="F29" s="185"/>
      <c r="G29" s="185"/>
      <c r="H29" s="185"/>
      <c r="I29" s="185"/>
      <c r="J29" s="100"/>
      <c r="K29" s="100"/>
      <c r="L29" s="100"/>
      <c r="M29" s="100"/>
      <c r="N29" s="100"/>
      <c r="O29" s="100"/>
      <c r="P29" s="101"/>
      <c r="Q29" s="102"/>
      <c r="R29" s="103"/>
      <c r="S29" s="103"/>
      <c r="T29" s="161"/>
      <c r="U29" s="186"/>
      <c r="V29" s="140"/>
      <c r="W29" s="105"/>
      <c r="X29" s="140">
        <v>65623</v>
      </c>
      <c r="Y29" s="104">
        <v>0</v>
      </c>
      <c r="Z29" s="104">
        <v>0</v>
      </c>
      <c r="AA29" s="174">
        <f t="shared" ref="AA29:AA34" si="60">SUM(X29+AL29+Y29+Z29)*(1-FARSTCL)-(X29+Y29+Z29)</f>
        <v>-406.33105369999976</v>
      </c>
      <c r="AB29" s="107"/>
      <c r="AC29" s="105">
        <f t="shared" si="1"/>
        <v>0</v>
      </c>
      <c r="AD29" s="107"/>
      <c r="AE29" s="105">
        <f t="shared" si="2"/>
        <v>0</v>
      </c>
      <c r="AF29" s="107">
        <v>0</v>
      </c>
      <c r="AG29" s="107">
        <v>0</v>
      </c>
      <c r="AH29" s="107">
        <v>0</v>
      </c>
      <c r="AI29" s="105">
        <f t="shared" ref="AI29:AI34" si="61">(AF29)*(1-$E$56)-(AF29)</f>
        <v>0</v>
      </c>
      <c r="AJ29" s="107">
        <v>0</v>
      </c>
      <c r="AK29" s="107">
        <v>0</v>
      </c>
      <c r="AL29" s="107">
        <v>0</v>
      </c>
      <c r="AM29" s="105">
        <f t="shared" ref="AM29:AM34" si="62">(AJ29)*(1-$E$52)-(AJ29)</f>
        <v>0</v>
      </c>
      <c r="AN29" s="105">
        <v>0</v>
      </c>
      <c r="AO29" s="201">
        <v>0</v>
      </c>
      <c r="AP29" s="180">
        <f t="shared" si="5"/>
        <v>0</v>
      </c>
      <c r="AQ29" s="200">
        <v>9850</v>
      </c>
      <c r="AR29" s="105">
        <f t="shared" ref="AR29:AR39" si="63">-AQ29*E58</f>
        <v>-31.939609999999998</v>
      </c>
      <c r="AS29" s="200">
        <v>0</v>
      </c>
      <c r="AT29" s="105">
        <f t="shared" ref="AT29:AT39" si="64">-AS29*G58</f>
        <v>0</v>
      </c>
      <c r="AU29" s="56">
        <v>0</v>
      </c>
      <c r="AV29" s="56">
        <v>0</v>
      </c>
      <c r="AW29" s="56">
        <v>0</v>
      </c>
      <c r="AX29" s="56">
        <v>0</v>
      </c>
      <c r="AY29" s="106">
        <f t="shared" si="7"/>
        <v>0</v>
      </c>
      <c r="AZ29" s="104">
        <v>0</v>
      </c>
      <c r="BA29" s="104">
        <v>0</v>
      </c>
      <c r="BB29" s="106">
        <f t="shared" si="8"/>
        <v>0</v>
      </c>
      <c r="BC29" s="97">
        <v>0</v>
      </c>
      <c r="BD29" s="104">
        <v>0</v>
      </c>
      <c r="BE29" s="104">
        <v>0</v>
      </c>
      <c r="BF29" s="104">
        <v>0</v>
      </c>
      <c r="BG29" s="108">
        <f t="shared" ref="BG29:BG34" si="65">SUM(U29:BD29)-AN29+35000</f>
        <v>110034.72933629999</v>
      </c>
      <c r="BH29" s="109"/>
      <c r="BI29" s="109">
        <v>0</v>
      </c>
      <c r="BJ29" s="109">
        <v>0</v>
      </c>
      <c r="BK29" s="109">
        <v>-4200</v>
      </c>
      <c r="BL29" s="109">
        <v>0</v>
      </c>
      <c r="BM29" s="110">
        <f t="shared" ref="BM29:BM34" si="66">(BG29+BH29+BI29+BJ29+BK29+BL29)*M</f>
        <v>111661.56619463932</v>
      </c>
      <c r="BN29" s="111">
        <f t="shared" si="10"/>
        <v>-1313.1461979604792</v>
      </c>
      <c r="BO29" s="111">
        <f t="shared" ref="BO29:BO34" si="67">BM29+BN29</f>
        <v>110348.41999667884</v>
      </c>
      <c r="BP29" s="104">
        <f t="shared" si="12"/>
        <v>104590.10706225911</v>
      </c>
      <c r="BQ29" s="104">
        <v>-685</v>
      </c>
      <c r="BR29" s="112">
        <v>36050</v>
      </c>
      <c r="BS29" s="113">
        <v>0</v>
      </c>
      <c r="BT29" s="113">
        <v>0</v>
      </c>
      <c r="BU29" s="113">
        <f t="shared" ref="BU29:BU34" si="68">SUM(BR29+BS29+BT29)</f>
        <v>36050</v>
      </c>
      <c r="BV29" s="114">
        <f t="shared" si="14"/>
        <v>38034.768799999998</v>
      </c>
      <c r="BW29" s="114"/>
      <c r="BX29" s="115">
        <f t="shared" ref="BX29:BX34" si="69">((BV29)/(1+DAWNKIRK))-(BV29)</f>
        <v>-182.8248890896939</v>
      </c>
      <c r="BY29" s="106">
        <f t="shared" ref="BY29:BY34" si="70">ROUND(BV29+BX29,1)</f>
        <v>37851.9</v>
      </c>
      <c r="BZ29" s="115">
        <f t="shared" si="17"/>
        <v>-251.91986689182522</v>
      </c>
      <c r="CA29" s="115">
        <f t="shared" ref="CA29:CA34" si="71">BY29+BZ29</f>
        <v>37599.980133108176</v>
      </c>
      <c r="CB29" s="29"/>
      <c r="CC29" s="29"/>
      <c r="CD29" s="116">
        <f t="shared" ref="CD29:CD34" si="72">CA29/M</f>
        <v>35637.899915367692</v>
      </c>
      <c r="CE29" s="104">
        <v>28400</v>
      </c>
      <c r="CF29" s="104">
        <f t="shared" ref="CF29:CF34" si="73">CE29+CD29+BP29</f>
        <v>168628.00697762679</v>
      </c>
      <c r="CG29" s="104">
        <v>0</v>
      </c>
      <c r="CH29" s="150">
        <v>176558</v>
      </c>
      <c r="CI29" s="104">
        <f t="shared" ref="CI29:CI34" si="74">+CF29+CG29-BQ29-CH29</f>
        <v>-7244.9930223732081</v>
      </c>
      <c r="CJ29" s="104">
        <f t="shared" ref="CJ29:CJ34" si="75">CM29*M</f>
        <v>-7734.8354511757216</v>
      </c>
      <c r="CK29" s="104">
        <f t="shared" ref="CK29:CK34" si="76">+CJ29+CK28</f>
        <v>76648.49431110383</v>
      </c>
      <c r="CL29" s="104">
        <v>0</v>
      </c>
      <c r="CM29" s="117">
        <f t="shared" ref="CM29:CM34" si="77">CI29+CI29*STCLAIRCHIP-CL29</f>
        <v>-7331.2084393394489</v>
      </c>
      <c r="CN29" s="183">
        <f t="shared" ref="CN29:CN34" si="78">CM29+CN28</f>
        <v>72648.79941832833</v>
      </c>
      <c r="CO29" s="119"/>
      <c r="CP29" s="119"/>
      <c r="CQ29" s="187"/>
      <c r="CR29" s="183"/>
    </row>
    <row r="30" spans="1:96" s="188" customFormat="1">
      <c r="A30" s="96">
        <v>36790</v>
      </c>
      <c r="B30" s="184"/>
      <c r="C30" s="185"/>
      <c r="D30" s="185"/>
      <c r="E30" s="185"/>
      <c r="F30" s="185"/>
      <c r="G30" s="185"/>
      <c r="H30" s="185"/>
      <c r="I30" s="185"/>
      <c r="J30" s="100"/>
      <c r="K30" s="100"/>
      <c r="L30" s="100"/>
      <c r="M30" s="100"/>
      <c r="N30" s="100"/>
      <c r="O30" s="100"/>
      <c r="P30" s="101"/>
      <c r="Q30" s="102"/>
      <c r="R30" s="103"/>
      <c r="S30" s="103"/>
      <c r="T30" s="161"/>
      <c r="U30" s="186"/>
      <c r="V30" s="140"/>
      <c r="W30" s="105"/>
      <c r="X30" s="140">
        <f>39532+31703+73</f>
        <v>71308</v>
      </c>
      <c r="Y30" s="104">
        <v>0</v>
      </c>
      <c r="Z30" s="104">
        <v>0</v>
      </c>
      <c r="AA30" s="174">
        <f t="shared" si="60"/>
        <v>-441.53200520000246</v>
      </c>
      <c r="AB30" s="107"/>
      <c r="AC30" s="105">
        <f t="shared" si="1"/>
        <v>0</v>
      </c>
      <c r="AD30" s="107"/>
      <c r="AE30" s="105">
        <f t="shared" si="2"/>
        <v>0</v>
      </c>
      <c r="AF30" s="107">
        <v>0</v>
      </c>
      <c r="AG30" s="107">
        <v>0</v>
      </c>
      <c r="AH30" s="107">
        <v>0</v>
      </c>
      <c r="AI30" s="105">
        <f t="shared" si="61"/>
        <v>0</v>
      </c>
      <c r="AJ30" s="107">
        <v>0</v>
      </c>
      <c r="AK30" s="107">
        <v>0</v>
      </c>
      <c r="AL30" s="107">
        <v>0</v>
      </c>
      <c r="AM30" s="105">
        <f t="shared" si="62"/>
        <v>0</v>
      </c>
      <c r="AN30" s="105">
        <v>0</v>
      </c>
      <c r="AO30" s="201">
        <v>0</v>
      </c>
      <c r="AP30" s="180">
        <f t="shared" si="5"/>
        <v>0</v>
      </c>
      <c r="AQ30" s="200">
        <v>0</v>
      </c>
      <c r="AR30" s="105">
        <f t="shared" si="63"/>
        <v>0</v>
      </c>
      <c r="AS30" s="200">
        <v>0</v>
      </c>
      <c r="AT30" s="105">
        <f t="shared" si="64"/>
        <v>0</v>
      </c>
      <c r="AU30" s="56">
        <v>0</v>
      </c>
      <c r="AV30" s="56">
        <v>0</v>
      </c>
      <c r="AW30" s="56">
        <v>0</v>
      </c>
      <c r="AX30" s="56">
        <v>0</v>
      </c>
      <c r="AY30" s="106">
        <f t="shared" si="7"/>
        <v>0</v>
      </c>
      <c r="AZ30" s="104">
        <v>0</v>
      </c>
      <c r="BA30" s="104">
        <v>0</v>
      </c>
      <c r="BB30" s="106">
        <f t="shared" si="8"/>
        <v>0</v>
      </c>
      <c r="BC30" s="97">
        <v>0</v>
      </c>
      <c r="BD30" s="104">
        <v>-73</v>
      </c>
      <c r="BE30" s="104">
        <v>0</v>
      </c>
      <c r="BF30" s="104">
        <v>0</v>
      </c>
      <c r="BG30" s="108">
        <f t="shared" si="65"/>
        <v>105793.4679948</v>
      </c>
      <c r="BH30" s="109"/>
      <c r="BI30" s="109">
        <v>0</v>
      </c>
      <c r="BJ30" s="109">
        <v>0</v>
      </c>
      <c r="BK30" s="109">
        <v>0</v>
      </c>
      <c r="BL30" s="109">
        <v>0</v>
      </c>
      <c r="BM30" s="110">
        <f t="shared" si="66"/>
        <v>111618.03316872171</v>
      </c>
      <c r="BN30" s="111">
        <f t="shared" si="10"/>
        <v>-1312.6342471665121</v>
      </c>
      <c r="BO30" s="111">
        <f t="shared" si="67"/>
        <v>110305.3989215552</v>
      </c>
      <c r="BP30" s="104">
        <f t="shared" si="12"/>
        <v>104549.33095641862</v>
      </c>
      <c r="BQ30" s="104">
        <v>-685</v>
      </c>
      <c r="BR30" s="112">
        <v>36050</v>
      </c>
      <c r="BS30" s="113">
        <v>0</v>
      </c>
      <c r="BT30" s="113">
        <v>0</v>
      </c>
      <c r="BU30" s="113">
        <f t="shared" si="68"/>
        <v>36050</v>
      </c>
      <c r="BV30" s="114">
        <f t="shared" si="14"/>
        <v>38034.768799999998</v>
      </c>
      <c r="BW30" s="114"/>
      <c r="BX30" s="115">
        <f t="shared" si="69"/>
        <v>-182.8248890896939</v>
      </c>
      <c r="BY30" s="106">
        <f t="shared" si="70"/>
        <v>37851.9</v>
      </c>
      <c r="BZ30" s="115">
        <f t="shared" si="17"/>
        <v>-251.91986689182522</v>
      </c>
      <c r="CA30" s="115">
        <f t="shared" si="71"/>
        <v>37599.980133108176</v>
      </c>
      <c r="CB30" s="29"/>
      <c r="CC30" s="29"/>
      <c r="CD30" s="116">
        <f t="shared" si="72"/>
        <v>35637.899915367692</v>
      </c>
      <c r="CE30" s="104">
        <v>28400</v>
      </c>
      <c r="CF30" s="104">
        <f t="shared" si="73"/>
        <v>168587.23087178631</v>
      </c>
      <c r="CG30" s="104">
        <v>0</v>
      </c>
      <c r="CH30" s="150">
        <v>180133</v>
      </c>
      <c r="CI30" s="104">
        <f t="shared" si="74"/>
        <v>-10860.769128213695</v>
      </c>
      <c r="CJ30" s="104">
        <f t="shared" si="75"/>
        <v>-11595.078396973333</v>
      </c>
      <c r="CK30" s="104">
        <f t="shared" si="76"/>
        <v>65053.415914130499</v>
      </c>
      <c r="CL30" s="104">
        <v>0</v>
      </c>
      <c r="CM30" s="117">
        <f t="shared" si="77"/>
        <v>-10990.012280839437</v>
      </c>
      <c r="CN30" s="183">
        <f t="shared" si="78"/>
        <v>61658.787137488893</v>
      </c>
      <c r="CO30" s="119"/>
      <c r="CP30" s="119"/>
      <c r="CQ30" s="187"/>
      <c r="CR30" s="183"/>
    </row>
    <row r="31" spans="1:96" s="188" customFormat="1">
      <c r="A31" s="96">
        <v>36791</v>
      </c>
      <c r="B31" s="184"/>
      <c r="C31" s="185"/>
      <c r="D31" s="185"/>
      <c r="E31" s="185"/>
      <c r="F31" s="185"/>
      <c r="G31" s="185"/>
      <c r="H31" s="185"/>
      <c r="I31" s="185"/>
      <c r="J31" s="100"/>
      <c r="K31" s="100"/>
      <c r="L31" s="100"/>
      <c r="M31" s="100"/>
      <c r="N31" s="100"/>
      <c r="O31" s="100"/>
      <c r="P31" s="101"/>
      <c r="Q31" s="102"/>
      <c r="R31" s="103"/>
      <c r="S31" s="103"/>
      <c r="T31" s="161"/>
      <c r="U31" s="186"/>
      <c r="V31" s="140"/>
      <c r="W31" s="105"/>
      <c r="X31" s="140">
        <f>39900+35723</f>
        <v>75623</v>
      </c>
      <c r="Y31" s="104">
        <v>0</v>
      </c>
      <c r="Z31" s="104">
        <v>0</v>
      </c>
      <c r="AA31" s="174">
        <f t="shared" si="60"/>
        <v>-468.25005370000144</v>
      </c>
      <c r="AB31" s="107"/>
      <c r="AC31" s="105">
        <f t="shared" si="1"/>
        <v>0</v>
      </c>
      <c r="AD31" s="107"/>
      <c r="AE31" s="105">
        <f t="shared" si="2"/>
        <v>0</v>
      </c>
      <c r="AF31" s="107">
        <v>0</v>
      </c>
      <c r="AG31" s="107">
        <v>0</v>
      </c>
      <c r="AH31" s="107">
        <v>0</v>
      </c>
      <c r="AI31" s="105">
        <f t="shared" si="61"/>
        <v>0</v>
      </c>
      <c r="AJ31" s="107">
        <v>0</v>
      </c>
      <c r="AK31" s="107">
        <v>0</v>
      </c>
      <c r="AL31" s="107">
        <v>0</v>
      </c>
      <c r="AM31" s="105">
        <f t="shared" si="62"/>
        <v>0</v>
      </c>
      <c r="AN31" s="105">
        <v>0</v>
      </c>
      <c r="AO31" s="201">
        <v>0</v>
      </c>
      <c r="AP31" s="180">
        <f t="shared" si="5"/>
        <v>0</v>
      </c>
      <c r="AQ31" s="200">
        <v>0</v>
      </c>
      <c r="AR31" s="105">
        <f t="shared" si="63"/>
        <v>0</v>
      </c>
      <c r="AS31" s="200">
        <v>0</v>
      </c>
      <c r="AT31" s="105">
        <f t="shared" si="64"/>
        <v>0</v>
      </c>
      <c r="AU31" s="56">
        <v>0</v>
      </c>
      <c r="AV31" s="56">
        <v>0</v>
      </c>
      <c r="AW31" s="56">
        <v>0</v>
      </c>
      <c r="AX31" s="56">
        <v>0</v>
      </c>
      <c r="AY31" s="106">
        <f t="shared" si="7"/>
        <v>0</v>
      </c>
      <c r="AZ31" s="104">
        <v>0</v>
      </c>
      <c r="BA31" s="104">
        <v>0</v>
      </c>
      <c r="BB31" s="106">
        <f t="shared" si="8"/>
        <v>0</v>
      </c>
      <c r="BC31" s="97">
        <v>73</v>
      </c>
      <c r="BD31" s="104">
        <v>0</v>
      </c>
      <c r="BE31" s="104">
        <v>0</v>
      </c>
      <c r="BF31" s="104">
        <v>0</v>
      </c>
      <c r="BG31" s="108">
        <f t="shared" si="65"/>
        <v>110227.7499463</v>
      </c>
      <c r="BH31" s="109"/>
      <c r="BI31" s="109">
        <v>0</v>
      </c>
      <c r="BJ31" s="109">
        <v>0</v>
      </c>
      <c r="BK31" s="109">
        <v>0</v>
      </c>
      <c r="BL31" s="109">
        <v>0</v>
      </c>
      <c r="BM31" s="110">
        <f t="shared" si="66"/>
        <v>116296.4489473435</v>
      </c>
      <c r="BN31" s="111">
        <f t="shared" si="10"/>
        <v>-1367.6526756333478</v>
      </c>
      <c r="BO31" s="111">
        <f t="shared" si="67"/>
        <v>114928.79627171015</v>
      </c>
      <c r="BP31" s="104">
        <f t="shared" si="12"/>
        <v>108931.46550676945</v>
      </c>
      <c r="BQ31" s="104">
        <v>-685</v>
      </c>
      <c r="BR31" s="112">
        <v>36050</v>
      </c>
      <c r="BS31" s="113">
        <v>0</v>
      </c>
      <c r="BT31" s="113">
        <v>0</v>
      </c>
      <c r="BU31" s="113">
        <f t="shared" si="68"/>
        <v>36050</v>
      </c>
      <c r="BV31" s="114">
        <f t="shared" si="14"/>
        <v>38034.768799999998</v>
      </c>
      <c r="BW31" s="114"/>
      <c r="BX31" s="115">
        <f t="shared" si="69"/>
        <v>-182.8248890896939</v>
      </c>
      <c r="BY31" s="106">
        <f t="shared" si="70"/>
        <v>37851.9</v>
      </c>
      <c r="BZ31" s="115">
        <f t="shared" si="17"/>
        <v>-251.91986689182522</v>
      </c>
      <c r="CA31" s="115">
        <f t="shared" si="71"/>
        <v>37599.980133108176</v>
      </c>
      <c r="CB31" s="29"/>
      <c r="CC31" s="29"/>
      <c r="CD31" s="116">
        <f t="shared" si="72"/>
        <v>35637.899915367692</v>
      </c>
      <c r="CE31" s="104">
        <v>28400</v>
      </c>
      <c r="CF31" s="104">
        <f t="shared" si="73"/>
        <v>172969.36542213714</v>
      </c>
      <c r="CG31" s="104">
        <v>0</v>
      </c>
      <c r="CH31" s="150">
        <v>181485</v>
      </c>
      <c r="CI31" s="104">
        <f t="shared" si="74"/>
        <v>-7830.6345778628602</v>
      </c>
      <c r="CJ31" s="104">
        <f t="shared" si="75"/>
        <v>-8360.0729153243392</v>
      </c>
      <c r="CK31" s="104">
        <f t="shared" si="76"/>
        <v>56693.342998806162</v>
      </c>
      <c r="CL31" s="104">
        <v>0</v>
      </c>
      <c r="CM31" s="117">
        <f t="shared" si="77"/>
        <v>-7923.8191293394284</v>
      </c>
      <c r="CN31" s="183">
        <f t="shared" si="78"/>
        <v>53734.968008149466</v>
      </c>
      <c r="CO31" s="119"/>
      <c r="CP31" s="119"/>
      <c r="CQ31" s="187"/>
      <c r="CR31" s="183"/>
    </row>
    <row r="32" spans="1:96" s="188" customFormat="1">
      <c r="A32" s="96">
        <v>36792</v>
      </c>
      <c r="B32" s="184"/>
      <c r="C32" s="185"/>
      <c r="D32" s="185"/>
      <c r="E32" s="185"/>
      <c r="F32" s="185"/>
      <c r="G32" s="185"/>
      <c r="H32" s="185"/>
      <c r="I32" s="185"/>
      <c r="J32" s="100"/>
      <c r="K32" s="100"/>
      <c r="L32" s="100"/>
      <c r="M32" s="100"/>
      <c r="N32" s="100"/>
      <c r="O32" s="100"/>
      <c r="P32" s="101"/>
      <c r="Q32" s="102"/>
      <c r="R32" s="103"/>
      <c r="S32" s="103"/>
      <c r="T32" s="161"/>
      <c r="U32" s="186"/>
      <c r="V32" s="140"/>
      <c r="W32" s="105"/>
      <c r="X32" s="140">
        <v>57563</v>
      </c>
      <c r="Y32" s="104">
        <v>0</v>
      </c>
      <c r="Z32" s="104">
        <v>0</v>
      </c>
      <c r="AA32" s="174">
        <f t="shared" si="60"/>
        <v>-356.42433970000275</v>
      </c>
      <c r="AB32" s="107"/>
      <c r="AC32" s="105">
        <f t="shared" si="1"/>
        <v>0</v>
      </c>
      <c r="AD32" s="107"/>
      <c r="AE32" s="105">
        <f t="shared" si="2"/>
        <v>0</v>
      </c>
      <c r="AF32" s="107">
        <v>0</v>
      </c>
      <c r="AG32" s="107">
        <v>0</v>
      </c>
      <c r="AH32" s="107">
        <v>0</v>
      </c>
      <c r="AI32" s="105">
        <f t="shared" si="61"/>
        <v>0</v>
      </c>
      <c r="AJ32" s="107">
        <v>0</v>
      </c>
      <c r="AK32" s="107">
        <v>0</v>
      </c>
      <c r="AL32" s="107">
        <v>0</v>
      </c>
      <c r="AM32" s="105">
        <f t="shared" si="62"/>
        <v>0</v>
      </c>
      <c r="AN32" s="105">
        <v>0</v>
      </c>
      <c r="AO32" s="201">
        <v>0</v>
      </c>
      <c r="AP32" s="180">
        <f t="shared" si="5"/>
        <v>0</v>
      </c>
      <c r="AQ32" s="200">
        <v>0</v>
      </c>
      <c r="AR32" s="105">
        <f t="shared" si="63"/>
        <v>0</v>
      </c>
      <c r="AS32" s="200">
        <v>0</v>
      </c>
      <c r="AT32" s="105">
        <f t="shared" si="64"/>
        <v>0</v>
      </c>
      <c r="AU32" s="56">
        <v>0</v>
      </c>
      <c r="AV32" s="56">
        <v>0</v>
      </c>
      <c r="AW32" s="56">
        <v>0</v>
      </c>
      <c r="AX32" s="56">
        <v>0</v>
      </c>
      <c r="AY32" s="106">
        <f t="shared" si="7"/>
        <v>0</v>
      </c>
      <c r="AZ32" s="104">
        <v>0</v>
      </c>
      <c r="BA32" s="104">
        <v>0</v>
      </c>
      <c r="BB32" s="106">
        <f t="shared" si="8"/>
        <v>0</v>
      </c>
      <c r="BC32" s="97">
        <v>0</v>
      </c>
      <c r="BD32" s="104">
        <v>0</v>
      </c>
      <c r="BE32" s="104">
        <v>0</v>
      </c>
      <c r="BF32" s="104">
        <v>0</v>
      </c>
      <c r="BG32" s="108">
        <f t="shared" si="65"/>
        <v>92206.575660300005</v>
      </c>
      <c r="BH32" s="109">
        <v>20000</v>
      </c>
      <c r="BI32" s="109">
        <v>0</v>
      </c>
      <c r="BJ32" s="109">
        <v>0</v>
      </c>
      <c r="BK32" s="109">
        <v>-3000</v>
      </c>
      <c r="BL32" s="109">
        <v>0</v>
      </c>
      <c r="BM32" s="110">
        <f t="shared" si="66"/>
        <v>115219.05288985348</v>
      </c>
      <c r="BN32" s="111">
        <f t="shared" si="10"/>
        <v>-1354.9824383726227</v>
      </c>
      <c r="BO32" s="111">
        <f t="shared" si="67"/>
        <v>113864.07045148086</v>
      </c>
      <c r="BP32" s="104">
        <f t="shared" si="12"/>
        <v>107922.30028688606</v>
      </c>
      <c r="BQ32" s="104">
        <v>-685</v>
      </c>
      <c r="BR32" s="112">
        <v>36050</v>
      </c>
      <c r="BS32" s="113">
        <v>0</v>
      </c>
      <c r="BT32" s="113">
        <v>0</v>
      </c>
      <c r="BU32" s="113">
        <f t="shared" si="68"/>
        <v>36050</v>
      </c>
      <c r="BV32" s="114">
        <f t="shared" si="14"/>
        <v>38034.768799999998</v>
      </c>
      <c r="BW32" s="114"/>
      <c r="BX32" s="115">
        <f t="shared" si="69"/>
        <v>-182.8248890896939</v>
      </c>
      <c r="BY32" s="106">
        <f t="shared" si="70"/>
        <v>37851.9</v>
      </c>
      <c r="BZ32" s="115">
        <f t="shared" si="17"/>
        <v>-251.91986689182522</v>
      </c>
      <c r="CA32" s="115">
        <f t="shared" si="71"/>
        <v>37599.980133108176</v>
      </c>
      <c r="CB32" s="29"/>
      <c r="CC32" s="29"/>
      <c r="CD32" s="116">
        <f t="shared" si="72"/>
        <v>35637.899915367692</v>
      </c>
      <c r="CE32" s="104">
        <v>28400</v>
      </c>
      <c r="CF32" s="104">
        <f t="shared" si="73"/>
        <v>171960.20020225376</v>
      </c>
      <c r="CG32" s="104">
        <v>0</v>
      </c>
      <c r="CH32" s="150">
        <v>177169</v>
      </c>
      <c r="CI32" s="104">
        <f t="shared" si="74"/>
        <v>-4523.7997977462364</v>
      </c>
      <c r="CJ32" s="104">
        <f t="shared" si="75"/>
        <v>-4829.6591786319432</v>
      </c>
      <c r="CK32" s="104">
        <f t="shared" si="76"/>
        <v>51863.683820174221</v>
      </c>
      <c r="CL32" s="104">
        <v>0</v>
      </c>
      <c r="CM32" s="117">
        <f t="shared" si="77"/>
        <v>-4577.6330153394165</v>
      </c>
      <c r="CN32" s="183">
        <f t="shared" si="78"/>
        <v>49157.334992810051</v>
      </c>
      <c r="CO32" s="119"/>
      <c r="CP32" s="119"/>
      <c r="CQ32" s="187"/>
      <c r="CR32" s="183"/>
    </row>
    <row r="33" spans="1:96" s="188" customFormat="1">
      <c r="A33" s="96">
        <v>36793</v>
      </c>
      <c r="B33" s="184"/>
      <c r="C33" s="185"/>
      <c r="D33" s="185"/>
      <c r="E33" s="185"/>
      <c r="F33" s="185"/>
      <c r="G33" s="185"/>
      <c r="H33" s="185"/>
      <c r="I33" s="185"/>
      <c r="J33" s="100"/>
      <c r="K33" s="100"/>
      <c r="L33" s="100"/>
      <c r="M33" s="100"/>
      <c r="N33" s="100"/>
      <c r="O33" s="100"/>
      <c r="P33" s="101"/>
      <c r="Q33" s="102"/>
      <c r="R33" s="103"/>
      <c r="S33" s="103"/>
      <c r="T33" s="161"/>
      <c r="U33" s="186"/>
      <c r="V33" s="140"/>
      <c r="W33" s="105"/>
      <c r="X33" s="140">
        <v>57563</v>
      </c>
      <c r="Y33" s="104">
        <v>0</v>
      </c>
      <c r="Z33" s="104">
        <v>0</v>
      </c>
      <c r="AA33" s="174">
        <f t="shared" si="60"/>
        <v>-356.42433970000275</v>
      </c>
      <c r="AB33" s="107"/>
      <c r="AC33" s="105">
        <f t="shared" si="1"/>
        <v>0</v>
      </c>
      <c r="AD33" s="107"/>
      <c r="AE33" s="105">
        <f t="shared" si="2"/>
        <v>0</v>
      </c>
      <c r="AF33" s="107">
        <v>0</v>
      </c>
      <c r="AG33" s="107">
        <v>0</v>
      </c>
      <c r="AH33" s="107">
        <v>0</v>
      </c>
      <c r="AI33" s="105">
        <f t="shared" si="61"/>
        <v>0</v>
      </c>
      <c r="AJ33" s="107">
        <v>0</v>
      </c>
      <c r="AK33" s="107">
        <v>0</v>
      </c>
      <c r="AL33" s="107">
        <v>0</v>
      </c>
      <c r="AM33" s="105">
        <f t="shared" si="62"/>
        <v>0</v>
      </c>
      <c r="AN33" s="105">
        <v>0</v>
      </c>
      <c r="AO33" s="201">
        <v>0</v>
      </c>
      <c r="AP33" s="180">
        <f t="shared" si="5"/>
        <v>0</v>
      </c>
      <c r="AQ33" s="200">
        <v>0</v>
      </c>
      <c r="AR33" s="105">
        <f t="shared" si="63"/>
        <v>0</v>
      </c>
      <c r="AS33" s="200">
        <v>0</v>
      </c>
      <c r="AT33" s="105">
        <f t="shared" si="64"/>
        <v>0</v>
      </c>
      <c r="AU33" s="56">
        <v>0</v>
      </c>
      <c r="AV33" s="56">
        <v>0</v>
      </c>
      <c r="AW33" s="56">
        <v>0</v>
      </c>
      <c r="AX33" s="56">
        <v>0</v>
      </c>
      <c r="AY33" s="106">
        <f t="shared" si="7"/>
        <v>0</v>
      </c>
      <c r="AZ33" s="104">
        <v>0</v>
      </c>
      <c r="BA33" s="104">
        <v>0</v>
      </c>
      <c r="BB33" s="106">
        <f t="shared" si="8"/>
        <v>0</v>
      </c>
      <c r="BC33" s="97">
        <v>0</v>
      </c>
      <c r="BD33" s="104">
        <v>0</v>
      </c>
      <c r="BE33" s="104">
        <v>0</v>
      </c>
      <c r="BF33" s="104">
        <v>0</v>
      </c>
      <c r="BG33" s="108">
        <f t="shared" si="65"/>
        <v>92206.575660300005</v>
      </c>
      <c r="BH33" s="109">
        <v>20000</v>
      </c>
      <c r="BI33" s="109">
        <v>0</v>
      </c>
      <c r="BJ33" s="109">
        <v>0</v>
      </c>
      <c r="BK33" s="109">
        <v>-3000</v>
      </c>
      <c r="BL33" s="109">
        <v>0</v>
      </c>
      <c r="BM33" s="110">
        <f t="shared" si="66"/>
        <v>115219.05288985348</v>
      </c>
      <c r="BN33" s="111">
        <f t="shared" si="10"/>
        <v>-1354.9824383726227</v>
      </c>
      <c r="BO33" s="111">
        <f t="shared" si="67"/>
        <v>113864.07045148086</v>
      </c>
      <c r="BP33" s="104">
        <f t="shared" si="12"/>
        <v>107922.30028688606</v>
      </c>
      <c r="BQ33" s="104">
        <v>-685</v>
      </c>
      <c r="BR33" s="112">
        <v>36050</v>
      </c>
      <c r="BS33" s="113">
        <v>0</v>
      </c>
      <c r="BT33" s="113">
        <v>0</v>
      </c>
      <c r="BU33" s="113">
        <f t="shared" si="68"/>
        <v>36050</v>
      </c>
      <c r="BV33" s="114">
        <f t="shared" si="14"/>
        <v>38034.768799999998</v>
      </c>
      <c r="BW33" s="114"/>
      <c r="BX33" s="115">
        <f t="shared" si="69"/>
        <v>-182.8248890896939</v>
      </c>
      <c r="BY33" s="106">
        <f t="shared" si="70"/>
        <v>37851.9</v>
      </c>
      <c r="BZ33" s="115">
        <f t="shared" si="17"/>
        <v>-251.91986689182522</v>
      </c>
      <c r="CA33" s="115">
        <f t="shared" si="71"/>
        <v>37599.980133108176</v>
      </c>
      <c r="CB33" s="29"/>
      <c r="CC33" s="29"/>
      <c r="CD33" s="116">
        <f t="shared" si="72"/>
        <v>35637.899915367692</v>
      </c>
      <c r="CE33" s="104">
        <v>28400</v>
      </c>
      <c r="CF33" s="104">
        <f t="shared" si="73"/>
        <v>171960.20020225376</v>
      </c>
      <c r="CG33" s="104">
        <v>0</v>
      </c>
      <c r="CH33" s="150">
        <v>179102</v>
      </c>
      <c r="CI33" s="104">
        <f t="shared" si="74"/>
        <v>-6456.7997977462364</v>
      </c>
      <c r="CJ33" s="104">
        <f t="shared" si="75"/>
        <v>-6893.3515632831432</v>
      </c>
      <c r="CK33" s="104">
        <f t="shared" si="76"/>
        <v>44970.332256891081</v>
      </c>
      <c r="CL33" s="104">
        <v>0</v>
      </c>
      <c r="CM33" s="117">
        <f t="shared" si="77"/>
        <v>-6533.6357153394165</v>
      </c>
      <c r="CN33" s="183">
        <f t="shared" si="78"/>
        <v>42623.69927747063</v>
      </c>
      <c r="CO33" s="119"/>
      <c r="CP33" s="119"/>
      <c r="CQ33" s="187"/>
      <c r="CR33" s="183"/>
    </row>
    <row r="34" spans="1:96" s="188" customFormat="1">
      <c r="A34" s="96">
        <v>36794</v>
      </c>
      <c r="B34" s="184"/>
      <c r="C34" s="185"/>
      <c r="D34" s="185"/>
      <c r="E34" s="185"/>
      <c r="F34" s="185"/>
      <c r="G34" s="185"/>
      <c r="H34" s="185"/>
      <c r="I34" s="185"/>
      <c r="J34" s="100"/>
      <c r="K34" s="100"/>
      <c r="L34" s="100"/>
      <c r="M34" s="100"/>
      <c r="N34" s="100"/>
      <c r="O34" s="100"/>
      <c r="P34" s="101"/>
      <c r="Q34" s="102"/>
      <c r="R34" s="103"/>
      <c r="S34" s="103"/>
      <c r="T34" s="161"/>
      <c r="U34" s="186"/>
      <c r="V34" s="140"/>
      <c r="W34" s="105"/>
      <c r="X34" s="140">
        <v>57563</v>
      </c>
      <c r="Y34" s="104">
        <v>0</v>
      </c>
      <c r="Z34" s="104">
        <v>0</v>
      </c>
      <c r="AA34" s="174">
        <f t="shared" si="60"/>
        <v>-356.42433970000275</v>
      </c>
      <c r="AB34" s="107"/>
      <c r="AC34" s="105">
        <f t="shared" si="1"/>
        <v>0</v>
      </c>
      <c r="AD34" s="107"/>
      <c r="AE34" s="105">
        <f t="shared" si="2"/>
        <v>0</v>
      </c>
      <c r="AF34" s="107">
        <v>0</v>
      </c>
      <c r="AG34" s="107">
        <v>0</v>
      </c>
      <c r="AH34" s="107">
        <v>0</v>
      </c>
      <c r="AI34" s="105">
        <f t="shared" si="61"/>
        <v>0</v>
      </c>
      <c r="AJ34" s="107">
        <v>0</v>
      </c>
      <c r="AK34" s="107">
        <v>0</v>
      </c>
      <c r="AL34" s="107">
        <v>0</v>
      </c>
      <c r="AM34" s="105">
        <f t="shared" si="62"/>
        <v>0</v>
      </c>
      <c r="AN34" s="105">
        <v>0</v>
      </c>
      <c r="AO34" s="201">
        <v>0</v>
      </c>
      <c r="AP34" s="180">
        <f t="shared" si="5"/>
        <v>0</v>
      </c>
      <c r="AQ34" s="200">
        <v>0</v>
      </c>
      <c r="AR34" s="105">
        <f t="shared" si="63"/>
        <v>0</v>
      </c>
      <c r="AS34" s="200">
        <v>0</v>
      </c>
      <c r="AT34" s="105">
        <f t="shared" si="64"/>
        <v>0</v>
      </c>
      <c r="AU34" s="56">
        <v>0</v>
      </c>
      <c r="AV34" s="56">
        <v>0</v>
      </c>
      <c r="AW34" s="56">
        <v>0</v>
      </c>
      <c r="AX34" s="56">
        <v>0</v>
      </c>
      <c r="AY34" s="106">
        <f t="shared" si="7"/>
        <v>0</v>
      </c>
      <c r="AZ34" s="104">
        <v>0</v>
      </c>
      <c r="BA34" s="104">
        <v>0</v>
      </c>
      <c r="BB34" s="106">
        <f t="shared" si="8"/>
        <v>0</v>
      </c>
      <c r="BC34" s="97">
        <v>0</v>
      </c>
      <c r="BD34" s="104">
        <v>0</v>
      </c>
      <c r="BE34" s="104">
        <v>0</v>
      </c>
      <c r="BF34" s="104">
        <v>0</v>
      </c>
      <c r="BG34" s="108">
        <f t="shared" si="65"/>
        <v>92206.575660300005</v>
      </c>
      <c r="BH34" s="109">
        <v>20000</v>
      </c>
      <c r="BI34" s="109">
        <v>0</v>
      </c>
      <c r="BJ34" s="109">
        <v>0</v>
      </c>
      <c r="BK34" s="109">
        <v>-3000</v>
      </c>
      <c r="BL34" s="109">
        <v>0</v>
      </c>
      <c r="BM34" s="110">
        <f t="shared" si="66"/>
        <v>115219.05288985348</v>
      </c>
      <c r="BN34" s="111">
        <f t="shared" si="10"/>
        <v>-1354.9824383726227</v>
      </c>
      <c r="BO34" s="111">
        <f t="shared" si="67"/>
        <v>113864.07045148086</v>
      </c>
      <c r="BP34" s="104">
        <f t="shared" si="12"/>
        <v>107922.30028688606</v>
      </c>
      <c r="BQ34" s="104">
        <v>-685</v>
      </c>
      <c r="BR34" s="112">
        <v>36050</v>
      </c>
      <c r="BS34" s="113">
        <v>0</v>
      </c>
      <c r="BT34" s="113">
        <v>0</v>
      </c>
      <c r="BU34" s="113">
        <f t="shared" si="68"/>
        <v>36050</v>
      </c>
      <c r="BV34" s="114">
        <f t="shared" si="14"/>
        <v>38034.768799999998</v>
      </c>
      <c r="BW34" s="114"/>
      <c r="BX34" s="115">
        <f t="shared" si="69"/>
        <v>-182.8248890896939</v>
      </c>
      <c r="BY34" s="106">
        <f t="shared" si="70"/>
        <v>37851.9</v>
      </c>
      <c r="BZ34" s="115">
        <f t="shared" si="17"/>
        <v>-251.91986689182522</v>
      </c>
      <c r="CA34" s="115">
        <f t="shared" si="71"/>
        <v>37599.980133108176</v>
      </c>
      <c r="CB34" s="29"/>
      <c r="CC34" s="29"/>
      <c r="CD34" s="116">
        <f t="shared" si="72"/>
        <v>35637.899915367692</v>
      </c>
      <c r="CE34" s="104">
        <v>28400</v>
      </c>
      <c r="CF34" s="104">
        <f t="shared" si="73"/>
        <v>171960.20020225376</v>
      </c>
      <c r="CG34" s="104">
        <v>0</v>
      </c>
      <c r="CH34" s="150">
        <v>181112</v>
      </c>
      <c r="CI34" s="104">
        <f t="shared" si="74"/>
        <v>-8466.7997977462364</v>
      </c>
      <c r="CJ34" s="104">
        <f t="shared" si="75"/>
        <v>-9039.2500077471432</v>
      </c>
      <c r="CK34" s="104">
        <f t="shared" si="76"/>
        <v>35931.082249143939</v>
      </c>
      <c r="CL34" s="104">
        <v>0</v>
      </c>
      <c r="CM34" s="117">
        <f t="shared" si="77"/>
        <v>-8567.5547153394164</v>
      </c>
      <c r="CN34" s="183">
        <f t="shared" si="78"/>
        <v>34056.144562131216</v>
      </c>
      <c r="CO34" s="119"/>
      <c r="CP34" s="119"/>
      <c r="CQ34" s="187"/>
      <c r="CR34" s="183"/>
    </row>
    <row r="35" spans="1:96" s="188" customFormat="1">
      <c r="A35" s="96">
        <v>36795</v>
      </c>
      <c r="B35" s="184"/>
      <c r="C35" s="185"/>
      <c r="D35" s="185"/>
      <c r="E35" s="185"/>
      <c r="F35" s="185"/>
      <c r="G35" s="185"/>
      <c r="H35" s="185"/>
      <c r="I35" s="185"/>
      <c r="J35" s="100"/>
      <c r="K35" s="100"/>
      <c r="L35" s="100"/>
      <c r="M35" s="100"/>
      <c r="N35" s="100"/>
      <c r="O35" s="100"/>
      <c r="P35" s="101"/>
      <c r="Q35" s="102"/>
      <c r="R35" s="103"/>
      <c r="S35" s="103"/>
      <c r="T35" s="161"/>
      <c r="U35" s="186"/>
      <c r="V35" s="140"/>
      <c r="W35" s="105"/>
      <c r="X35" s="140">
        <v>0</v>
      </c>
      <c r="Y35" s="104">
        <v>0</v>
      </c>
      <c r="Z35" s="104">
        <v>0</v>
      </c>
      <c r="AA35" s="174">
        <f>SUM(X35+AL35+Y35+Z35)*(1-FARSTCL)-(X35+Y35+Z35)</f>
        <v>0</v>
      </c>
      <c r="AB35" s="107"/>
      <c r="AC35" s="105">
        <f t="shared" si="1"/>
        <v>0</v>
      </c>
      <c r="AD35" s="107"/>
      <c r="AE35" s="105">
        <f t="shared" si="2"/>
        <v>0</v>
      </c>
      <c r="AF35" s="107">
        <v>0</v>
      </c>
      <c r="AG35" s="107">
        <v>0</v>
      </c>
      <c r="AH35" s="107">
        <v>0</v>
      </c>
      <c r="AI35" s="105">
        <f>(AF35)*(1-$E$56)-(AF35)</f>
        <v>0</v>
      </c>
      <c r="AJ35" s="107">
        <v>0</v>
      </c>
      <c r="AK35" s="107">
        <v>0</v>
      </c>
      <c r="AL35" s="107">
        <v>0</v>
      </c>
      <c r="AM35" s="105">
        <f>(AJ35)*(1-$E$52)-(AJ35)</f>
        <v>0</v>
      </c>
      <c r="AN35" s="105">
        <v>0</v>
      </c>
      <c r="AO35" s="201">
        <v>0</v>
      </c>
      <c r="AP35" s="180">
        <f t="shared" si="5"/>
        <v>0</v>
      </c>
      <c r="AQ35" s="200">
        <v>0</v>
      </c>
      <c r="AR35" s="105">
        <f t="shared" si="63"/>
        <v>0</v>
      </c>
      <c r="AS35" s="200">
        <v>0</v>
      </c>
      <c r="AT35" s="105">
        <f t="shared" si="64"/>
        <v>0</v>
      </c>
      <c r="AU35" s="56">
        <v>0</v>
      </c>
      <c r="AV35" s="56">
        <v>0</v>
      </c>
      <c r="AW35" s="56">
        <v>0</v>
      </c>
      <c r="AX35" s="56">
        <v>0</v>
      </c>
      <c r="AY35" s="106">
        <f t="shared" si="7"/>
        <v>0</v>
      </c>
      <c r="AZ35" s="104">
        <v>0</v>
      </c>
      <c r="BA35" s="104">
        <v>0</v>
      </c>
      <c r="BB35" s="106">
        <f t="shared" si="8"/>
        <v>0</v>
      </c>
      <c r="BC35" s="97">
        <v>0</v>
      </c>
      <c r="BD35" s="104">
        <v>0</v>
      </c>
      <c r="BE35" s="104">
        <v>0</v>
      </c>
      <c r="BF35" s="104">
        <v>0</v>
      </c>
      <c r="BG35" s="108">
        <f>SUM(U35:BD35)-AN35+35000</f>
        <v>35000</v>
      </c>
      <c r="BH35" s="109">
        <f>20000+20000+10900</f>
        <v>50900</v>
      </c>
      <c r="BI35" s="109">
        <f>-'Central sept'!BU35</f>
        <v>25390</v>
      </c>
      <c r="BJ35" s="109">
        <v>0</v>
      </c>
      <c r="BK35" s="109">
        <v>0</v>
      </c>
      <c r="BL35" s="109">
        <v>0</v>
      </c>
      <c r="BM35" s="110">
        <f>(BG35+BH35+BI35+BJ35+BK35+BL35)*M</f>
        <v>117417.18223999999</v>
      </c>
      <c r="BN35" s="111">
        <f t="shared" si="10"/>
        <v>-1380.8325611779874</v>
      </c>
      <c r="BO35" s="111">
        <f>BM35+BN35</f>
        <v>116036.34967882201</v>
      </c>
      <c r="BP35" s="104">
        <f t="shared" si="12"/>
        <v>109981.22344105148</v>
      </c>
      <c r="BQ35" s="104">
        <v>-685</v>
      </c>
      <c r="BR35" s="112">
        <v>36050</v>
      </c>
      <c r="BS35" s="113">
        <v>0</v>
      </c>
      <c r="BT35" s="113">
        <v>0</v>
      </c>
      <c r="BU35" s="113">
        <f>SUM(BR35+BS35+BT35)</f>
        <v>36050</v>
      </c>
      <c r="BV35" s="114">
        <f t="shared" si="14"/>
        <v>38034.768799999998</v>
      </c>
      <c r="BW35" s="114"/>
      <c r="BX35" s="115">
        <f>((BV35)/(1+DAWNKIRK))-(BV35)</f>
        <v>-182.8248890896939</v>
      </c>
      <c r="BY35" s="106">
        <f>ROUND(BV35+BX35,1)</f>
        <v>37851.9</v>
      </c>
      <c r="BZ35" s="115">
        <f t="shared" si="17"/>
        <v>-251.91986689182522</v>
      </c>
      <c r="CA35" s="115">
        <f>BY35+BZ35</f>
        <v>37599.980133108176</v>
      </c>
      <c r="CB35" s="29"/>
      <c r="CC35" s="29"/>
      <c r="CD35" s="116">
        <f>CA35/M</f>
        <v>35637.899915367692</v>
      </c>
      <c r="CE35" s="104">
        <v>28400</v>
      </c>
      <c r="CF35" s="104">
        <f>CE35+CD35+BP35</f>
        <v>174019.12335641918</v>
      </c>
      <c r="CG35" s="104">
        <v>0</v>
      </c>
      <c r="CH35" s="150">
        <v>181485</v>
      </c>
      <c r="CI35" s="104">
        <f>+CF35+CG35-BQ35-CH35</f>
        <v>-6780.8766435808211</v>
      </c>
      <c r="CJ35" s="104">
        <f>CM35*M</f>
        <v>-7239.3396226678378</v>
      </c>
      <c r="CK35" s="104">
        <f>+CJ35+CK34</f>
        <v>28691.742626476102</v>
      </c>
      <c r="CL35" s="104">
        <v>0</v>
      </c>
      <c r="CM35" s="117">
        <f>CI35+CI35*STCLAIRCHIP-CL35</f>
        <v>-6861.5690756394333</v>
      </c>
      <c r="CN35" s="183">
        <f>CM35+CN34</f>
        <v>27194.575486491784</v>
      </c>
      <c r="CO35" s="119"/>
      <c r="CP35" s="119"/>
      <c r="CQ35" s="187"/>
      <c r="CR35" s="183"/>
    </row>
    <row r="36" spans="1:96" s="188" customFormat="1">
      <c r="A36" s="96">
        <v>36796</v>
      </c>
      <c r="B36" s="184"/>
      <c r="C36" s="185"/>
      <c r="D36" s="185"/>
      <c r="E36" s="185"/>
      <c r="F36" s="185"/>
      <c r="G36" s="185"/>
      <c r="H36" s="185"/>
      <c r="I36" s="185"/>
      <c r="J36" s="100"/>
      <c r="K36" s="100"/>
      <c r="L36" s="100"/>
      <c r="M36" s="100"/>
      <c r="N36" s="100"/>
      <c r="O36" s="100"/>
      <c r="P36" s="101"/>
      <c r="Q36" s="102"/>
      <c r="R36" s="103"/>
      <c r="S36" s="103"/>
      <c r="T36" s="161"/>
      <c r="U36" s="186"/>
      <c r="V36" s="140"/>
      <c r="W36" s="105"/>
      <c r="X36" s="140">
        <v>39900</v>
      </c>
      <c r="Y36" s="104">
        <v>0</v>
      </c>
      <c r="Z36" s="104">
        <v>0</v>
      </c>
      <c r="AA36" s="174">
        <f>SUM(X36+AL36+Y36+Z36)*(1-FARSTCL)-(X36+Y36+Z36)</f>
        <v>-247.05681000000186</v>
      </c>
      <c r="AB36" s="107"/>
      <c r="AC36" s="105">
        <f t="shared" si="1"/>
        <v>0</v>
      </c>
      <c r="AD36" s="107"/>
      <c r="AE36" s="105">
        <f t="shared" si="2"/>
        <v>0</v>
      </c>
      <c r="AF36" s="107">
        <v>0</v>
      </c>
      <c r="AG36" s="107">
        <v>0</v>
      </c>
      <c r="AH36" s="107">
        <v>0</v>
      </c>
      <c r="AI36" s="105">
        <f>(AF36)*(1-$E$56)-(AF36)</f>
        <v>0</v>
      </c>
      <c r="AJ36" s="107">
        <v>0</v>
      </c>
      <c r="AK36" s="107">
        <v>0</v>
      </c>
      <c r="AL36" s="107">
        <v>0</v>
      </c>
      <c r="AM36" s="105">
        <f>(AJ36)*(1-$E$52)-(AJ36)</f>
        <v>0</v>
      </c>
      <c r="AN36" s="105">
        <v>0</v>
      </c>
      <c r="AO36" s="201">
        <v>0</v>
      </c>
      <c r="AP36" s="180">
        <f t="shared" si="5"/>
        <v>0</v>
      </c>
      <c r="AQ36" s="200">
        <v>0</v>
      </c>
      <c r="AR36" s="105">
        <f t="shared" si="63"/>
        <v>0</v>
      </c>
      <c r="AS36" s="200">
        <v>0</v>
      </c>
      <c r="AT36" s="105">
        <f t="shared" si="64"/>
        <v>0</v>
      </c>
      <c r="AU36" s="56">
        <v>0</v>
      </c>
      <c r="AV36" s="56">
        <v>0</v>
      </c>
      <c r="AW36" s="56">
        <v>0</v>
      </c>
      <c r="AX36" s="56">
        <v>0</v>
      </c>
      <c r="AY36" s="106">
        <f t="shared" si="7"/>
        <v>0</v>
      </c>
      <c r="AZ36" s="104">
        <v>0</v>
      </c>
      <c r="BA36" s="104">
        <v>0</v>
      </c>
      <c r="BB36" s="106">
        <f t="shared" si="8"/>
        <v>0</v>
      </c>
      <c r="BC36" s="97">
        <v>0</v>
      </c>
      <c r="BD36" s="104">
        <v>0</v>
      </c>
      <c r="BE36" s="104">
        <v>0</v>
      </c>
      <c r="BF36" s="104">
        <v>0</v>
      </c>
      <c r="BG36" s="108">
        <f>SUM(U36:BD36)-AN36+35000</f>
        <v>74652.943189999991</v>
      </c>
      <c r="BH36" s="109">
        <v>11500</v>
      </c>
      <c r="BI36" s="109">
        <f>-'Central sept'!BU36</f>
        <v>25390</v>
      </c>
      <c r="BJ36" s="109">
        <v>0</v>
      </c>
      <c r="BK36" s="109">
        <v>0</v>
      </c>
      <c r="BL36" s="109">
        <v>0</v>
      </c>
      <c r="BM36" s="110">
        <f>(BG36+BH36+BI36+BJ36+BK36+BL36)*M</f>
        <v>117684.05147026863</v>
      </c>
      <c r="BN36" s="111">
        <f t="shared" si="10"/>
        <v>-1383.9709580948693</v>
      </c>
      <c r="BO36" s="111">
        <f>BM36+BN36</f>
        <v>116300.08051217376</v>
      </c>
      <c r="BP36" s="104">
        <f t="shared" si="12"/>
        <v>110231.19200513884</v>
      </c>
      <c r="BQ36" s="104">
        <v>-685</v>
      </c>
      <c r="BR36" s="112">
        <v>36050</v>
      </c>
      <c r="BS36" s="113">
        <v>0</v>
      </c>
      <c r="BT36" s="113">
        <v>0</v>
      </c>
      <c r="BU36" s="113">
        <f>SUM(BR36+BS36+BT36)</f>
        <v>36050</v>
      </c>
      <c r="BV36" s="114">
        <f t="shared" si="14"/>
        <v>38034.768799999998</v>
      </c>
      <c r="BW36" s="114"/>
      <c r="BX36" s="115">
        <f>((BV36)/(1+DAWNKIRK))-(BV36)</f>
        <v>-182.8248890896939</v>
      </c>
      <c r="BY36" s="106">
        <f>ROUND(BV36+BX36,1)</f>
        <v>37851.9</v>
      </c>
      <c r="BZ36" s="115">
        <f t="shared" si="17"/>
        <v>-251.91986689182522</v>
      </c>
      <c r="CA36" s="115">
        <f>BY36+BZ36</f>
        <v>37599.980133108176</v>
      </c>
      <c r="CB36" s="29"/>
      <c r="CC36" s="29"/>
      <c r="CD36" s="116">
        <f>CA36/M</f>
        <v>35637.899915367692</v>
      </c>
      <c r="CE36" s="104">
        <v>28400</v>
      </c>
      <c r="CF36" s="104">
        <f>CE36+CD36+BP36</f>
        <v>174269.09192050653</v>
      </c>
      <c r="CG36" s="104">
        <v>0</v>
      </c>
      <c r="CH36" s="150">
        <v>181485</v>
      </c>
      <c r="CI36" s="104">
        <f>+CF36+CG36-BQ36-CH36</f>
        <v>-6530.9080794934707</v>
      </c>
      <c r="CJ36" s="104">
        <f>CM36*M</f>
        <v>-6972.4703923992083</v>
      </c>
      <c r="CK36" s="104">
        <f>+CJ36+CK35</f>
        <v>21719.272234076892</v>
      </c>
      <c r="CL36" s="104">
        <v>0</v>
      </c>
      <c r="CM36" s="117">
        <f>CI36+CI36*STCLAIRCHIP-CL36</f>
        <v>-6608.6258856394434</v>
      </c>
      <c r="CN36" s="183">
        <f>CM36+CN35</f>
        <v>20585.949600852342</v>
      </c>
      <c r="CO36" s="119"/>
      <c r="CP36" s="119"/>
      <c r="CQ36" s="187"/>
      <c r="CR36" s="183"/>
    </row>
    <row r="37" spans="1:96" s="188" customFormat="1">
      <c r="A37" s="96">
        <v>36797</v>
      </c>
      <c r="B37" s="184"/>
      <c r="C37" s="185"/>
      <c r="D37" s="185"/>
      <c r="E37" s="185"/>
      <c r="F37" s="185"/>
      <c r="G37" s="185"/>
      <c r="H37" s="185"/>
      <c r="I37" s="185"/>
      <c r="J37" s="100"/>
      <c r="K37" s="100"/>
      <c r="L37" s="100"/>
      <c r="M37" s="100"/>
      <c r="N37" s="100"/>
      <c r="O37" s="100"/>
      <c r="P37" s="101"/>
      <c r="Q37" s="102"/>
      <c r="R37" s="103"/>
      <c r="S37" s="103"/>
      <c r="T37" s="161"/>
      <c r="U37" s="186"/>
      <c r="V37" s="140"/>
      <c r="W37" s="105"/>
      <c r="X37" s="140">
        <f>19900+10376</f>
        <v>30276</v>
      </c>
      <c r="Y37" s="104">
        <v>0</v>
      </c>
      <c r="Z37" s="104">
        <v>0</v>
      </c>
      <c r="AA37" s="174">
        <f>SUM(X37+AL37+Y37+Z37)*(1-FARSTCL)-(X37+Y37+Z37)</f>
        <v>-187.46596440000212</v>
      </c>
      <c r="AB37" s="107"/>
      <c r="AC37" s="105">
        <f t="shared" si="1"/>
        <v>0</v>
      </c>
      <c r="AD37" s="107"/>
      <c r="AE37" s="105">
        <f t="shared" si="2"/>
        <v>0</v>
      </c>
      <c r="AF37" s="107">
        <v>0</v>
      </c>
      <c r="AG37" s="107">
        <v>0</v>
      </c>
      <c r="AH37" s="107">
        <v>0</v>
      </c>
      <c r="AI37" s="105">
        <f>(AF37)*(1-$E$56)-(AF37)</f>
        <v>0</v>
      </c>
      <c r="AJ37" s="107">
        <v>0</v>
      </c>
      <c r="AK37" s="107">
        <v>0</v>
      </c>
      <c r="AL37" s="107">
        <v>0</v>
      </c>
      <c r="AM37" s="105">
        <f>(AJ37)*(1-$E$52)-(AJ37)</f>
        <v>0</v>
      </c>
      <c r="AN37" s="105">
        <v>0</v>
      </c>
      <c r="AO37" s="201">
        <v>0</v>
      </c>
      <c r="AP37" s="180">
        <f t="shared" si="5"/>
        <v>0</v>
      </c>
      <c r="AQ37" s="200">
        <v>0</v>
      </c>
      <c r="AR37" s="105">
        <f t="shared" si="63"/>
        <v>0</v>
      </c>
      <c r="AS37" s="200">
        <v>0</v>
      </c>
      <c r="AT37" s="105">
        <f t="shared" si="64"/>
        <v>0</v>
      </c>
      <c r="AU37" s="56">
        <v>0</v>
      </c>
      <c r="AV37" s="56">
        <v>0</v>
      </c>
      <c r="AW37" s="56">
        <v>0</v>
      </c>
      <c r="AX37" s="56">
        <v>0</v>
      </c>
      <c r="AY37" s="106">
        <f t="shared" si="7"/>
        <v>0</v>
      </c>
      <c r="AZ37" s="104">
        <v>0</v>
      </c>
      <c r="BA37" s="104">
        <v>0</v>
      </c>
      <c r="BB37" s="106">
        <f t="shared" si="8"/>
        <v>0</v>
      </c>
      <c r="BC37" s="97">
        <v>0</v>
      </c>
      <c r="BD37" s="104">
        <v>0</v>
      </c>
      <c r="BE37" s="104">
        <v>0</v>
      </c>
      <c r="BF37" s="104">
        <v>0</v>
      </c>
      <c r="BG37" s="108">
        <f>SUM(U37:BD37)-AN37+35000</f>
        <v>65088.534035599994</v>
      </c>
      <c r="BH37" s="109">
        <f>11800+10000+10000</f>
        <v>31800</v>
      </c>
      <c r="BI37" s="109">
        <f>-'Central sept'!BU37</f>
        <v>25390</v>
      </c>
      <c r="BJ37" s="109">
        <v>0</v>
      </c>
      <c r="BK37" s="109">
        <v>-10000</v>
      </c>
      <c r="BL37" s="109">
        <v>0</v>
      </c>
      <c r="BM37" s="110">
        <f>(BG37+BH37+BI37+BJ37+BK37+BL37)*M</f>
        <v>118460.14100546399</v>
      </c>
      <c r="BN37" s="111">
        <f t="shared" si="10"/>
        <v>-1393.0978139786748</v>
      </c>
      <c r="BO37" s="111">
        <f>BM37+BN37</f>
        <v>117067.04319148531</v>
      </c>
      <c r="BP37" s="104">
        <f t="shared" si="12"/>
        <v>110958.13226168593</v>
      </c>
      <c r="BQ37" s="104">
        <v>-685</v>
      </c>
      <c r="BR37" s="112">
        <v>36050</v>
      </c>
      <c r="BS37" s="113">
        <v>0</v>
      </c>
      <c r="BT37" s="113">
        <v>0</v>
      </c>
      <c r="BU37" s="113">
        <f>SUM(BR37+BS37+BT37)</f>
        <v>36050</v>
      </c>
      <c r="BV37" s="114">
        <f t="shared" si="14"/>
        <v>38034.768799999998</v>
      </c>
      <c r="BW37" s="114"/>
      <c r="BX37" s="115">
        <f>((BV37)/(1+DAWNKIRK))-(BV37)</f>
        <v>-182.8248890896939</v>
      </c>
      <c r="BY37" s="106">
        <f>ROUND(BV37+BX37,1)</f>
        <v>37851.9</v>
      </c>
      <c r="BZ37" s="115">
        <f t="shared" si="17"/>
        <v>-251.91986689182522</v>
      </c>
      <c r="CA37" s="115">
        <f>BY37+BZ37</f>
        <v>37599.980133108176</v>
      </c>
      <c r="CB37" s="29"/>
      <c r="CC37" s="29"/>
      <c r="CD37" s="116">
        <f>CA37/M</f>
        <v>35637.899915367692</v>
      </c>
      <c r="CE37" s="104">
        <v>28400</v>
      </c>
      <c r="CF37" s="104">
        <f>CE37+CD37+BP37</f>
        <v>174996.03217705362</v>
      </c>
      <c r="CG37" s="104">
        <v>0</v>
      </c>
      <c r="CH37" s="150">
        <v>181702</v>
      </c>
      <c r="CI37" s="104">
        <f>+CF37+CG37-BQ37-CH37</f>
        <v>-6020.9678229463752</v>
      </c>
      <c r="CJ37" s="104">
        <f>CM37*M</f>
        <v>-6428.0524803126482</v>
      </c>
      <c r="CK37" s="104">
        <f>+CJ37+CK36</f>
        <v>15291.219753764244</v>
      </c>
      <c r="CL37" s="104">
        <v>0</v>
      </c>
      <c r="CM37" s="117">
        <f>CI37+CI37*STCLAIRCHIP-CL37</f>
        <v>-6092.6173400394373</v>
      </c>
      <c r="CN37" s="183">
        <f>CM37+CN36</f>
        <v>14493.332260812906</v>
      </c>
      <c r="CO37" s="119"/>
      <c r="CP37" s="119"/>
      <c r="CQ37" s="187"/>
      <c r="CR37" s="183"/>
    </row>
    <row r="38" spans="1:96" s="188" customFormat="1">
      <c r="A38" s="96">
        <v>36798</v>
      </c>
      <c r="B38" s="184"/>
      <c r="C38" s="185"/>
      <c r="D38" s="185"/>
      <c r="E38" s="185"/>
      <c r="F38" s="185"/>
      <c r="G38" s="185"/>
      <c r="H38" s="185"/>
      <c r="I38" s="185"/>
      <c r="J38" s="100"/>
      <c r="K38" s="100"/>
      <c r="L38" s="100"/>
      <c r="M38" s="100"/>
      <c r="N38" s="100"/>
      <c r="O38" s="100"/>
      <c r="P38" s="101"/>
      <c r="Q38" s="102"/>
      <c r="R38" s="103"/>
      <c r="S38" s="103"/>
      <c r="T38" s="161"/>
      <c r="U38" s="186"/>
      <c r="V38" s="140"/>
      <c r="W38" s="105"/>
      <c r="X38" s="140">
        <f>39900+35723</f>
        <v>75623</v>
      </c>
      <c r="Y38" s="104">
        <v>0</v>
      </c>
      <c r="Z38" s="104">
        <v>0</v>
      </c>
      <c r="AA38" s="174">
        <f>SUM(X38+AL38+Y38+Z38)*(1-FARSTCL)-(X38+Y38+Z38)</f>
        <v>-468.25005370000144</v>
      </c>
      <c r="AB38" s="107"/>
      <c r="AC38" s="105">
        <f t="shared" si="1"/>
        <v>0</v>
      </c>
      <c r="AD38" s="107"/>
      <c r="AE38" s="105">
        <f t="shared" si="2"/>
        <v>0</v>
      </c>
      <c r="AF38" s="107">
        <v>0</v>
      </c>
      <c r="AG38" s="107">
        <v>0</v>
      </c>
      <c r="AH38" s="107">
        <v>0</v>
      </c>
      <c r="AI38" s="105">
        <f>(AF38)*(1-$E$56)-(AF38)</f>
        <v>0</v>
      </c>
      <c r="AJ38" s="107">
        <v>0</v>
      </c>
      <c r="AK38" s="107">
        <v>0</v>
      </c>
      <c r="AL38" s="107">
        <v>0</v>
      </c>
      <c r="AM38" s="105">
        <f>(AJ38)*(1-$E$52)-(AJ38)</f>
        <v>0</v>
      </c>
      <c r="AN38" s="105">
        <v>0</v>
      </c>
      <c r="AO38" s="201">
        <v>0</v>
      </c>
      <c r="AP38" s="180">
        <f t="shared" si="5"/>
        <v>0</v>
      </c>
      <c r="AQ38" s="200">
        <v>0</v>
      </c>
      <c r="AR38" s="105">
        <f t="shared" si="63"/>
        <v>0</v>
      </c>
      <c r="AS38" s="200">
        <v>0</v>
      </c>
      <c r="AT38" s="105">
        <f t="shared" si="64"/>
        <v>0</v>
      </c>
      <c r="AU38" s="56">
        <v>0</v>
      </c>
      <c r="AV38" s="56">
        <v>0</v>
      </c>
      <c r="AW38" s="56">
        <v>0</v>
      </c>
      <c r="AX38" s="56">
        <v>0</v>
      </c>
      <c r="AY38" s="106">
        <f t="shared" si="7"/>
        <v>0</v>
      </c>
      <c r="AZ38" s="104">
        <v>0</v>
      </c>
      <c r="BA38" s="104">
        <v>0</v>
      </c>
      <c r="BB38" s="106">
        <f t="shared" si="8"/>
        <v>0</v>
      </c>
      <c r="BC38" s="97">
        <v>0</v>
      </c>
      <c r="BD38" s="104">
        <v>0</v>
      </c>
      <c r="BE38" s="104">
        <v>0</v>
      </c>
      <c r="BF38" s="104">
        <v>0</v>
      </c>
      <c r="BG38" s="108">
        <f>SUM(U38:BD38)-AN38+35000</f>
        <v>110154.7499463</v>
      </c>
      <c r="BH38" s="109">
        <v>0</v>
      </c>
      <c r="BI38" s="109">
        <f>-'Central sept'!BU38</f>
        <v>25390</v>
      </c>
      <c r="BJ38" s="109">
        <v>0</v>
      </c>
      <c r="BK38" s="109">
        <f>-22000-3000</f>
        <v>-25000</v>
      </c>
      <c r="BL38" s="109">
        <v>0</v>
      </c>
      <c r="BM38" s="110">
        <f>(BG38+BH38+BI38+BJ38+BK38+BL38)*M</f>
        <v>116630.90169934349</v>
      </c>
      <c r="BN38" s="111">
        <f t="shared" si="10"/>
        <v>-1371.5858585059759</v>
      </c>
      <c r="BO38" s="111">
        <f>BM38+BN38</f>
        <v>115259.31584083752</v>
      </c>
      <c r="BP38" s="104">
        <f t="shared" si="12"/>
        <v>109244.7375692262</v>
      </c>
      <c r="BQ38" s="104">
        <v>-685</v>
      </c>
      <c r="BR38" s="112">
        <v>36050</v>
      </c>
      <c r="BS38" s="113">
        <v>0</v>
      </c>
      <c r="BT38" s="113">
        <v>0</v>
      </c>
      <c r="BU38" s="113">
        <f>SUM(BR38+BS38+BT38)</f>
        <v>36050</v>
      </c>
      <c r="BV38" s="114">
        <f t="shared" si="14"/>
        <v>38034.768799999998</v>
      </c>
      <c r="BW38" s="114"/>
      <c r="BX38" s="115">
        <f>((BV38)/(1+DAWNKIRK))-(BV38)</f>
        <v>-182.8248890896939</v>
      </c>
      <c r="BY38" s="106">
        <f>ROUND(BV38+BX38,1)</f>
        <v>37851.9</v>
      </c>
      <c r="BZ38" s="115">
        <f t="shared" si="17"/>
        <v>-251.91986689182522</v>
      </c>
      <c r="CA38" s="115">
        <f>BY38+BZ38</f>
        <v>37599.980133108176</v>
      </c>
      <c r="CB38" s="29"/>
      <c r="CC38" s="29"/>
      <c r="CD38" s="116">
        <f>CA38/M</f>
        <v>35637.899915367692</v>
      </c>
      <c r="CE38" s="104">
        <v>28400</v>
      </c>
      <c r="CF38" s="104">
        <f>CE38+CD38+BP38</f>
        <v>173282.6374845939</v>
      </c>
      <c r="CG38" s="104">
        <v>0</v>
      </c>
      <c r="CH38" s="150">
        <v>180360</v>
      </c>
      <c r="CI38" s="104">
        <f>+CF38+CG38-BQ38-CH38</f>
        <v>-6392.362515406101</v>
      </c>
      <c r="CJ38" s="104">
        <f>CM38*M</f>
        <v>-6824.5576011243456</v>
      </c>
      <c r="CK38" s="104">
        <f>+CJ38+CK37</f>
        <v>8466.6621526398994</v>
      </c>
      <c r="CL38" s="104">
        <v>0</v>
      </c>
      <c r="CM38" s="117">
        <f>CI38+CI38*STCLAIRCHIP-CL38</f>
        <v>-6468.431629339434</v>
      </c>
      <c r="CN38" s="183">
        <f>CM38+CN37</f>
        <v>8024.9006314734715</v>
      </c>
      <c r="CO38" s="119"/>
      <c r="CP38" s="119"/>
      <c r="CQ38" s="187"/>
      <c r="CR38" s="183"/>
    </row>
    <row r="39" spans="1:96" s="188" customFormat="1">
      <c r="A39" s="96">
        <v>36799</v>
      </c>
      <c r="B39" s="184"/>
      <c r="C39" s="185"/>
      <c r="D39" s="185"/>
      <c r="E39" s="185"/>
      <c r="F39" s="185"/>
      <c r="G39" s="185"/>
      <c r="H39" s="185"/>
      <c r="I39" s="185"/>
      <c r="J39" s="100"/>
      <c r="K39" s="100"/>
      <c r="L39" s="100"/>
      <c r="M39" s="100"/>
      <c r="N39" s="100"/>
      <c r="O39" s="100"/>
      <c r="P39" s="101"/>
      <c r="Q39" s="102"/>
      <c r="R39" s="103"/>
      <c r="S39" s="103"/>
      <c r="T39" s="161"/>
      <c r="U39" s="186"/>
      <c r="V39" s="140"/>
      <c r="W39" s="105"/>
      <c r="X39" s="140">
        <f>39900+35723</f>
        <v>75623</v>
      </c>
      <c r="Y39" s="104">
        <v>0</v>
      </c>
      <c r="Z39" s="104">
        <v>0</v>
      </c>
      <c r="AA39" s="174">
        <f>SUM(X39+AL39+Y39+Z39)*(1-FARSTCL)-(X39+Y39+Z39)</f>
        <v>-468.25005370000144</v>
      </c>
      <c r="AB39" s="107"/>
      <c r="AC39" s="105">
        <f t="shared" si="1"/>
        <v>0</v>
      </c>
      <c r="AD39" s="107"/>
      <c r="AE39" s="105">
        <f t="shared" si="2"/>
        <v>0</v>
      </c>
      <c r="AF39" s="107">
        <v>0</v>
      </c>
      <c r="AG39" s="107">
        <v>0</v>
      </c>
      <c r="AH39" s="107">
        <v>0</v>
      </c>
      <c r="AI39" s="105">
        <f>(AF39)*(1-$E$56)-(AF39)</f>
        <v>0</v>
      </c>
      <c r="AJ39" s="107">
        <v>0</v>
      </c>
      <c r="AK39" s="107">
        <v>0</v>
      </c>
      <c r="AL39" s="107">
        <v>0</v>
      </c>
      <c r="AM39" s="105">
        <f>(AJ39)*(1-$E$52)-(AJ39)</f>
        <v>0</v>
      </c>
      <c r="AN39" s="105">
        <v>0</v>
      </c>
      <c r="AO39" s="201">
        <v>0</v>
      </c>
      <c r="AP39" s="180">
        <f t="shared" si="5"/>
        <v>0</v>
      </c>
      <c r="AQ39" s="200">
        <v>0</v>
      </c>
      <c r="AR39" s="105">
        <f t="shared" si="63"/>
        <v>0</v>
      </c>
      <c r="AS39" s="200">
        <v>0</v>
      </c>
      <c r="AT39" s="105">
        <f t="shared" si="64"/>
        <v>0</v>
      </c>
      <c r="AU39" s="56">
        <v>0</v>
      </c>
      <c r="AV39" s="56">
        <v>0</v>
      </c>
      <c r="AW39" s="56">
        <v>0</v>
      </c>
      <c r="AX39" s="56">
        <v>0</v>
      </c>
      <c r="AY39" s="106">
        <f t="shared" si="7"/>
        <v>0</v>
      </c>
      <c r="AZ39" s="104">
        <v>0</v>
      </c>
      <c r="BA39" s="104">
        <v>0</v>
      </c>
      <c r="BB39" s="106">
        <f t="shared" si="8"/>
        <v>0</v>
      </c>
      <c r="BC39" s="97">
        <v>0</v>
      </c>
      <c r="BD39" s="104">
        <v>0</v>
      </c>
      <c r="BE39" s="104">
        <v>0</v>
      </c>
      <c r="BF39" s="104">
        <v>0</v>
      </c>
      <c r="BG39" s="108">
        <f>SUM(U39:BD39)-AN39+35000</f>
        <v>110154.7499463</v>
      </c>
      <c r="BH39" s="109">
        <v>0</v>
      </c>
      <c r="BI39" s="109">
        <f>-'Central sept'!BU39</f>
        <v>25390</v>
      </c>
      <c r="BJ39" s="109">
        <v>0</v>
      </c>
      <c r="BK39" s="109">
        <f>-22000-3000</f>
        <v>-25000</v>
      </c>
      <c r="BL39" s="109">
        <v>0</v>
      </c>
      <c r="BM39" s="110">
        <f>(BG39+BH39+BI39+BJ39+BK39+BL39)*M</f>
        <v>116630.90169934349</v>
      </c>
      <c r="BN39" s="111">
        <f t="shared" si="10"/>
        <v>-1371.5858585059759</v>
      </c>
      <c r="BO39" s="111">
        <f>BM39+BN39</f>
        <v>115259.31584083752</v>
      </c>
      <c r="BP39" s="104">
        <f t="shared" si="12"/>
        <v>109244.7375692262</v>
      </c>
      <c r="BQ39" s="104">
        <v>-685</v>
      </c>
      <c r="BR39" s="112">
        <v>36050</v>
      </c>
      <c r="BS39" s="113">
        <v>0</v>
      </c>
      <c r="BT39" s="113">
        <v>0</v>
      </c>
      <c r="BU39" s="113">
        <f>SUM(BR39+BS39+BT39)</f>
        <v>36050</v>
      </c>
      <c r="BV39" s="114">
        <f t="shared" si="14"/>
        <v>38034.768799999998</v>
      </c>
      <c r="BW39" s="114"/>
      <c r="BX39" s="115">
        <f>((BV39)/(1+DAWNKIRK))-(BV39)</f>
        <v>-182.8248890896939</v>
      </c>
      <c r="BY39" s="106">
        <f>ROUND(BV39+BX39,1)</f>
        <v>37851.9</v>
      </c>
      <c r="BZ39" s="115">
        <f t="shared" si="17"/>
        <v>-251.91986689182522</v>
      </c>
      <c r="CA39" s="115">
        <f>BY39+BZ39</f>
        <v>37599.980133108176</v>
      </c>
      <c r="CB39" s="29"/>
      <c r="CC39" s="29"/>
      <c r="CD39" s="116">
        <f>CA39/M</f>
        <v>35637.899915367692</v>
      </c>
      <c r="CE39" s="104">
        <v>28400</v>
      </c>
      <c r="CF39" s="104">
        <f>CE39+CD39+BP39</f>
        <v>173282.6374845939</v>
      </c>
      <c r="CG39" s="104">
        <v>0</v>
      </c>
      <c r="CH39" s="150">
        <v>177222</v>
      </c>
      <c r="CI39" s="104">
        <f>+CF39+CG39-BQ39-CH39</f>
        <v>-3254.362515406101</v>
      </c>
      <c r="CJ39" s="104">
        <f>CM39*M</f>
        <v>-3474.3937609611453</v>
      </c>
      <c r="CK39" s="104">
        <f>+CJ39+CK38</f>
        <v>4992.2683916787537</v>
      </c>
      <c r="CL39" s="104">
        <v>0</v>
      </c>
      <c r="CM39" s="117">
        <f>CI39+CI39*STCLAIRCHIP-CL39</f>
        <v>-3293.0894293394335</v>
      </c>
      <c r="CN39" s="183">
        <f>CM39+CN38</f>
        <v>4731.8112021340385</v>
      </c>
      <c r="CO39" s="119"/>
      <c r="CP39" s="119"/>
      <c r="CQ39" s="187"/>
      <c r="CR39" s="183"/>
    </row>
    <row r="40" spans="1:96" s="188" customFormat="1">
      <c r="A40" s="96"/>
      <c r="B40" s="184"/>
      <c r="C40" s="185"/>
      <c r="D40" s="185"/>
      <c r="E40" s="185"/>
      <c r="F40" s="185"/>
      <c r="G40" s="185"/>
      <c r="H40" s="185"/>
      <c r="I40" s="185"/>
      <c r="J40" s="100"/>
      <c r="K40" s="100"/>
      <c r="L40" s="100"/>
      <c r="M40" s="100"/>
      <c r="N40" s="100"/>
      <c r="O40" s="100"/>
      <c r="P40" s="101"/>
      <c r="Q40" s="102"/>
      <c r="R40" s="103"/>
      <c r="S40" s="103"/>
      <c r="T40" s="161"/>
      <c r="U40" s="186"/>
      <c r="V40" s="140"/>
      <c r="W40" s="105"/>
      <c r="X40" s="140"/>
      <c r="Y40" s="104"/>
      <c r="Z40" s="104"/>
      <c r="AA40" s="174"/>
      <c r="AB40" s="107"/>
      <c r="AC40" s="105"/>
      <c r="AD40" s="107"/>
      <c r="AE40" s="105"/>
      <c r="AF40" s="107"/>
      <c r="AG40" s="107"/>
      <c r="AH40" s="107"/>
      <c r="AI40" s="105"/>
      <c r="AJ40" s="107"/>
      <c r="AK40" s="107"/>
      <c r="AL40" s="107"/>
      <c r="AM40" s="105"/>
      <c r="AN40" s="105"/>
      <c r="AO40" s="201"/>
      <c r="AP40" s="180"/>
      <c r="AQ40" s="200"/>
      <c r="AR40" s="105"/>
      <c r="AS40" s="105"/>
      <c r="AT40" s="105"/>
      <c r="AU40" s="56"/>
      <c r="AV40" s="56"/>
      <c r="AW40" s="56"/>
      <c r="AX40" s="56"/>
      <c r="AY40" s="106"/>
      <c r="AZ40" s="104"/>
      <c r="BA40" s="104"/>
      <c r="BB40" s="106"/>
      <c r="BC40" s="97"/>
      <c r="BD40" s="104"/>
      <c r="BE40" s="104"/>
      <c r="BF40" s="104"/>
      <c r="BG40" s="283"/>
      <c r="BH40" s="109"/>
      <c r="BI40" s="109"/>
      <c r="BJ40" s="109"/>
      <c r="BK40" s="109"/>
      <c r="BL40" s="109"/>
      <c r="BM40" s="110"/>
      <c r="BN40" s="111"/>
      <c r="BO40" s="111"/>
      <c r="BP40" s="104"/>
      <c r="BQ40" s="104"/>
      <c r="BR40" s="112"/>
      <c r="BS40" s="113"/>
      <c r="BT40" s="113"/>
      <c r="BU40" s="113"/>
      <c r="BV40" s="114"/>
      <c r="BW40" s="114"/>
      <c r="BX40" s="115"/>
      <c r="BY40" s="106"/>
      <c r="BZ40" s="115"/>
      <c r="CA40" s="115"/>
      <c r="CB40" s="29"/>
      <c r="CC40" s="29"/>
      <c r="CD40" s="116"/>
      <c r="CE40" s="104"/>
      <c r="CF40" s="104"/>
      <c r="CG40" s="104"/>
      <c r="CH40" s="150"/>
      <c r="CI40" s="104"/>
      <c r="CJ40" s="104"/>
      <c r="CK40" s="104"/>
      <c r="CL40" s="104"/>
      <c r="CM40" s="117"/>
      <c r="CN40" s="183"/>
      <c r="CO40" s="119"/>
      <c r="CP40" s="119"/>
      <c r="CQ40" s="187"/>
      <c r="CR40" s="183"/>
    </row>
    <row r="41" spans="1:96">
      <c r="A41" s="1" t="s">
        <v>105</v>
      </c>
      <c r="B41" s="123"/>
      <c r="C41" s="123"/>
      <c r="D41" s="123" t="s">
        <v>145</v>
      </c>
      <c r="E41" s="123"/>
      <c r="F41" s="123" t="s">
        <v>168</v>
      </c>
      <c r="G41" s="2"/>
      <c r="H41" s="288" t="s">
        <v>167</v>
      </c>
      <c r="I41" s="2"/>
      <c r="J41" s="2"/>
      <c r="K41" s="2"/>
      <c r="L41" s="2"/>
      <c r="M41" s="2"/>
      <c r="N41" s="2"/>
      <c r="O41" s="2"/>
      <c r="P41" s="124"/>
      <c r="Q41" s="121"/>
      <c r="R41" s="104"/>
      <c r="S41" s="104"/>
      <c r="T41" s="55"/>
      <c r="U41" s="55"/>
      <c r="V41" s="122"/>
      <c r="W41" s="55"/>
      <c r="X41" s="122">
        <f>X39+AA39+X42</f>
        <v>100544.7499463</v>
      </c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158"/>
      <c r="AR41" s="55"/>
      <c r="AS41" s="55"/>
      <c r="AT41" s="55"/>
      <c r="AU41" s="55"/>
      <c r="AV41" s="55"/>
      <c r="AW41" s="55"/>
      <c r="AX41" s="55"/>
      <c r="AY41" s="55"/>
      <c r="AZ41" s="104"/>
      <c r="BA41" s="104"/>
      <c r="BB41" s="104"/>
      <c r="BC41" s="97"/>
      <c r="BD41" s="104"/>
      <c r="BE41" s="104"/>
      <c r="BF41" s="104"/>
      <c r="BG41" s="119" t="s">
        <v>0</v>
      </c>
      <c r="BH41" s="109"/>
      <c r="BI41" s="104"/>
      <c r="BJ41" s="104"/>
      <c r="BK41" s="104"/>
      <c r="BL41" s="104"/>
      <c r="BM41" s="114"/>
      <c r="BN41" s="114"/>
      <c r="BO41" s="114"/>
      <c r="BP41" s="104"/>
      <c r="BQ41" s="104"/>
      <c r="BR41" s="55"/>
      <c r="BS41" s="55"/>
      <c r="BT41" s="55"/>
      <c r="BU41" s="55"/>
      <c r="BV41" s="114"/>
      <c r="BW41" s="114"/>
      <c r="BX41" s="114"/>
      <c r="BY41" s="114"/>
      <c r="BZ41" s="114"/>
      <c r="CA41" s="114"/>
      <c r="CB41" s="114"/>
      <c r="CC41" s="114"/>
      <c r="CD41" s="114"/>
      <c r="CE41" s="104"/>
      <c r="CF41" s="104"/>
      <c r="CG41" s="104"/>
      <c r="CH41" s="55"/>
      <c r="CI41" s="104"/>
      <c r="CJ41" s="104"/>
      <c r="CK41" s="104"/>
    </row>
    <row r="42" spans="1:96" s="4" customFormat="1">
      <c r="A42" s="14" t="s">
        <v>106</v>
      </c>
      <c r="B42" s="16"/>
      <c r="C42" s="16"/>
      <c r="D42" s="127" t="s">
        <v>0</v>
      </c>
      <c r="E42" s="15">
        <v>4.6100000000000002E-2</v>
      </c>
      <c r="F42" s="15">
        <v>4.6100000000000002E-2</v>
      </c>
      <c r="G42" s="15"/>
      <c r="H42" s="289">
        <f>E42-F42</f>
        <v>0</v>
      </c>
      <c r="I42" s="3"/>
      <c r="J42" s="3"/>
      <c r="K42" s="3"/>
      <c r="L42" s="3"/>
      <c r="M42" s="3"/>
      <c r="N42" s="3"/>
      <c r="O42" s="3"/>
      <c r="P42" s="16"/>
      <c r="Q42" s="128"/>
      <c r="R42" s="11"/>
      <c r="S42" s="11"/>
      <c r="T42" s="9"/>
      <c r="U42" s="3"/>
      <c r="V42" s="13"/>
      <c r="W42" s="3"/>
      <c r="X42" s="13">
        <v>25390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55"/>
      <c r="AR42" s="55"/>
      <c r="AS42" s="55"/>
      <c r="AT42" s="55"/>
      <c r="AU42" s="9"/>
      <c r="AV42" s="9"/>
      <c r="AW42" s="9"/>
      <c r="AX42" s="9"/>
      <c r="AY42" s="9"/>
      <c r="AZ42" s="11"/>
      <c r="BA42" s="11"/>
      <c r="BB42" s="11"/>
      <c r="BC42" s="178"/>
      <c r="BD42" s="11"/>
      <c r="BE42" s="11"/>
      <c r="BF42" s="11"/>
      <c r="BG42" s="283">
        <f>+CM38</f>
        <v>-6468.431629339434</v>
      </c>
      <c r="BH42" s="11" t="s">
        <v>188</v>
      </c>
      <c r="BI42" s="11"/>
      <c r="BJ42" s="11"/>
      <c r="BK42" s="11"/>
      <c r="BL42" s="11"/>
      <c r="BM42" s="12"/>
      <c r="BN42" s="12"/>
      <c r="BO42" s="12"/>
      <c r="BP42" s="11"/>
      <c r="BQ42" s="11"/>
      <c r="BR42" s="9"/>
      <c r="BS42" s="9"/>
      <c r="BT42" s="9"/>
      <c r="BU42" s="9"/>
      <c r="BV42" s="12"/>
      <c r="BW42" s="12"/>
      <c r="BX42" s="12"/>
      <c r="BY42" s="12"/>
      <c r="BZ42" s="12"/>
      <c r="CA42" s="12"/>
      <c r="CB42" s="12"/>
      <c r="CC42" s="12"/>
      <c r="CD42" s="12"/>
      <c r="CE42" s="11"/>
      <c r="CF42" s="11"/>
      <c r="CG42" s="11"/>
      <c r="CH42" s="9"/>
      <c r="CI42" s="11"/>
      <c r="CJ42" s="11"/>
      <c r="CK42" s="11"/>
      <c r="CM42" s="5"/>
      <c r="CQ42" s="7"/>
    </row>
    <row r="43" spans="1:96" s="4" customFormat="1">
      <c r="A43" s="14" t="s">
        <v>107</v>
      </c>
      <c r="B43" s="16"/>
      <c r="C43" s="16"/>
      <c r="D43" s="127" t="s">
        <v>0</v>
      </c>
      <c r="E43" s="15">
        <v>4.9700000000000001E-2</v>
      </c>
      <c r="F43" s="15">
        <v>4.9700000000000001E-2</v>
      </c>
      <c r="G43" s="15"/>
      <c r="H43" s="289">
        <f t="shared" ref="H43:H57" si="79">E43-F43</f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/>
      <c r="P43" s="16"/>
      <c r="Q43" s="128"/>
      <c r="R43" s="11"/>
      <c r="S43" s="11"/>
      <c r="T43" s="9"/>
      <c r="U43" s="17">
        <v>0</v>
      </c>
      <c r="V43" s="13"/>
      <c r="W43" s="17">
        <v>0</v>
      </c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55"/>
      <c r="AR43" s="55"/>
      <c r="AS43" s="55"/>
      <c r="AT43" s="55"/>
      <c r="AU43" s="9"/>
      <c r="AV43" s="9"/>
      <c r="AW43" s="9"/>
      <c r="AX43" s="9"/>
      <c r="AY43" s="9"/>
      <c r="AZ43" s="11"/>
      <c r="BA43" s="11"/>
      <c r="BB43" s="11"/>
      <c r="BC43" s="178"/>
      <c r="BD43" s="11"/>
      <c r="BE43" s="11"/>
      <c r="BF43" s="11"/>
      <c r="BG43" s="283">
        <f>+CJ38</f>
        <v>-6824.5576011243456</v>
      </c>
      <c r="BH43" s="11" t="s">
        <v>85</v>
      </c>
      <c r="BI43" s="11"/>
      <c r="BJ43" s="11"/>
      <c r="BK43" s="11"/>
      <c r="BL43" s="11"/>
      <c r="BM43" s="12"/>
      <c r="BN43" s="12"/>
      <c r="BO43" s="12"/>
      <c r="BP43" s="11"/>
      <c r="BQ43" s="11"/>
      <c r="BR43" s="9"/>
      <c r="BS43" s="9"/>
      <c r="BT43" s="9"/>
      <c r="BU43" s="9"/>
      <c r="BV43" s="12"/>
      <c r="BW43" s="12"/>
      <c r="BX43" s="12"/>
      <c r="BY43" s="12"/>
      <c r="BZ43" s="12"/>
      <c r="CA43" s="12"/>
      <c r="CB43" s="12"/>
      <c r="CC43" s="12"/>
      <c r="CD43" s="12"/>
      <c r="CE43" s="11"/>
      <c r="CF43" s="11"/>
      <c r="CG43" s="11"/>
      <c r="CH43" s="9"/>
      <c r="CI43" s="11"/>
      <c r="CJ43" s="11"/>
      <c r="CK43" s="11"/>
      <c r="CM43" s="5"/>
      <c r="CQ43" s="7"/>
    </row>
    <row r="44" spans="1:96" s="4" customFormat="1">
      <c r="A44" s="14" t="s">
        <v>108</v>
      </c>
      <c r="B44" s="16"/>
      <c r="C44" s="16"/>
      <c r="D44" s="127" t="s">
        <v>0</v>
      </c>
      <c r="E44" s="15">
        <v>4.41E-2</v>
      </c>
      <c r="F44" s="15">
        <v>4.41E-2</v>
      </c>
      <c r="G44" s="15"/>
      <c r="H44" s="289">
        <f t="shared" si="79"/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/>
      <c r="P44" s="16"/>
      <c r="Q44" s="128"/>
      <c r="R44" s="11"/>
      <c r="S44" s="11"/>
      <c r="T44" s="9"/>
      <c r="U44" s="17">
        <v>0</v>
      </c>
      <c r="V44" s="13"/>
      <c r="W44" s="17">
        <v>0</v>
      </c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55"/>
      <c r="AR44" s="55"/>
      <c r="AS44" s="55"/>
      <c r="AT44" s="55"/>
      <c r="AU44" s="9"/>
      <c r="AV44" s="9"/>
      <c r="AW44" s="9"/>
      <c r="AX44" s="9"/>
      <c r="AY44" s="9"/>
      <c r="AZ44" s="11"/>
      <c r="BA44" s="11"/>
      <c r="BB44" s="11"/>
      <c r="BC44" s="178"/>
      <c r="BD44" s="11"/>
      <c r="BE44" s="11"/>
      <c r="BF44" s="11"/>
      <c r="BG44" s="119" t="s">
        <v>0</v>
      </c>
      <c r="BH44" s="11">
        <v>33772</v>
      </c>
      <c r="BI44" s="11"/>
      <c r="BJ44" s="11"/>
      <c r="BK44" s="11"/>
      <c r="BL44" s="11"/>
      <c r="BM44" s="12"/>
      <c r="BN44" s="12"/>
      <c r="BO44" s="12"/>
      <c r="BP44" s="11"/>
      <c r="BQ44" s="11"/>
      <c r="BR44" s="9"/>
      <c r="BS44" s="9"/>
      <c r="BT44" s="9"/>
      <c r="BU44" s="9"/>
      <c r="BV44" s="12"/>
      <c r="BW44" s="12"/>
      <c r="BX44" s="12"/>
      <c r="BY44" s="12"/>
      <c r="BZ44" s="12"/>
      <c r="CA44" s="12"/>
      <c r="CB44" s="12"/>
      <c r="CC44" s="12"/>
      <c r="CD44" s="12"/>
      <c r="CE44" s="11"/>
      <c r="CF44" s="11"/>
      <c r="CG44" s="11"/>
      <c r="CH44" s="9"/>
      <c r="CI44" s="11"/>
      <c r="CJ44" s="11"/>
      <c r="CK44" s="11"/>
      <c r="CM44" s="5"/>
      <c r="CQ44" s="7"/>
    </row>
    <row r="45" spans="1:96" s="4" customFormat="1">
      <c r="A45" s="14" t="s">
        <v>109</v>
      </c>
      <c r="B45" s="16"/>
      <c r="C45" s="16"/>
      <c r="D45" s="127" t="s">
        <v>0</v>
      </c>
      <c r="E45" s="18">
        <v>6.1919000000000002E-3</v>
      </c>
      <c r="F45" s="18">
        <v>6.1919000000000002E-3</v>
      </c>
      <c r="G45" s="18"/>
      <c r="H45" s="289">
        <f t="shared" si="79"/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/>
      <c r="P45" s="16"/>
      <c r="Q45" s="128"/>
      <c r="R45" s="11"/>
      <c r="S45" s="11"/>
      <c r="T45" s="9"/>
      <c r="U45" s="17">
        <v>0</v>
      </c>
      <c r="V45" s="13"/>
      <c r="W45" s="17">
        <v>0</v>
      </c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55"/>
      <c r="AR45" s="55"/>
      <c r="AS45" s="55"/>
      <c r="AT45" s="55"/>
      <c r="AU45" s="9"/>
      <c r="AV45" s="9"/>
      <c r="AW45" s="9"/>
      <c r="AX45" s="9"/>
      <c r="AY45" s="9"/>
      <c r="AZ45" s="11"/>
      <c r="BA45" s="11"/>
      <c r="BB45" s="11"/>
      <c r="BC45" s="178"/>
      <c r="BD45" s="11"/>
      <c r="BE45" s="11"/>
      <c r="BF45" s="11"/>
      <c r="BG45" s="119"/>
      <c r="BH45" s="11"/>
      <c r="BI45" s="11"/>
      <c r="BJ45" s="11"/>
      <c r="BK45" s="11"/>
      <c r="BL45" s="11"/>
      <c r="BM45" s="12"/>
      <c r="BN45" s="12"/>
      <c r="BO45" s="12"/>
      <c r="BP45" s="11"/>
      <c r="BQ45" s="11"/>
      <c r="BR45" s="9"/>
      <c r="BS45" s="9"/>
      <c r="BT45" s="9"/>
      <c r="BU45" s="9"/>
      <c r="BV45" s="12"/>
      <c r="BW45" s="12"/>
      <c r="BX45" s="12"/>
      <c r="BY45" s="12"/>
      <c r="BZ45" s="12"/>
      <c r="CA45" s="12"/>
      <c r="CB45" s="12"/>
      <c r="CC45" s="12"/>
      <c r="CD45" s="12"/>
      <c r="CE45" s="11"/>
      <c r="CF45" s="11"/>
      <c r="CG45" s="11"/>
      <c r="CH45" s="9"/>
      <c r="CI45" s="11"/>
      <c r="CJ45" s="11"/>
      <c r="CK45" s="11"/>
      <c r="CM45" s="5"/>
      <c r="CQ45" s="7"/>
    </row>
    <row r="46" spans="1:96" s="4" customFormat="1">
      <c r="A46" s="14" t="s">
        <v>110</v>
      </c>
      <c r="B46" s="16"/>
      <c r="C46" s="16"/>
      <c r="D46" s="127" t="s">
        <v>0</v>
      </c>
      <c r="E46" s="162">
        <v>1.1900000000000001E-2</v>
      </c>
      <c r="F46" s="162">
        <v>1.1900000000000001E-2</v>
      </c>
      <c r="G46" s="15"/>
      <c r="H46" s="289">
        <f t="shared" si="79"/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/>
      <c r="P46" s="16"/>
      <c r="Q46" s="128"/>
      <c r="R46" s="11"/>
      <c r="S46" s="11"/>
      <c r="T46" s="9"/>
      <c r="U46" s="17">
        <v>0</v>
      </c>
      <c r="V46" s="13"/>
      <c r="W46" s="17">
        <v>0</v>
      </c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55"/>
      <c r="AR46" s="55"/>
      <c r="AS46" s="55"/>
      <c r="AT46" s="55"/>
      <c r="AU46" s="9"/>
      <c r="AV46" s="9"/>
      <c r="AW46" s="9"/>
      <c r="AX46" s="9"/>
      <c r="AY46" s="9"/>
      <c r="AZ46" s="11"/>
      <c r="BA46" s="11"/>
      <c r="BB46" s="11"/>
      <c r="BC46" s="178"/>
      <c r="BD46" s="11"/>
      <c r="BE46" s="11"/>
      <c r="BF46" s="11"/>
      <c r="BG46" s="119"/>
      <c r="BH46" s="11"/>
      <c r="BI46" s="11"/>
      <c r="BJ46" s="11"/>
      <c r="BK46" s="11"/>
      <c r="BL46" s="11"/>
      <c r="BM46" s="12"/>
      <c r="BN46" s="12"/>
      <c r="BO46" s="12"/>
      <c r="BP46" s="11"/>
      <c r="BQ46" s="11"/>
      <c r="BR46" s="9"/>
      <c r="BS46" s="9"/>
      <c r="BT46" s="9"/>
      <c r="BU46" s="9"/>
      <c r="BV46" s="12"/>
      <c r="BW46" s="12"/>
      <c r="BX46" s="12"/>
      <c r="BY46" s="12"/>
      <c r="BZ46" s="12"/>
      <c r="CA46" s="12"/>
      <c r="CB46" s="12"/>
      <c r="CC46" s="12"/>
      <c r="CD46" s="12"/>
      <c r="CE46" s="11"/>
      <c r="CF46" s="11"/>
      <c r="CG46" s="11"/>
      <c r="CH46" s="9"/>
      <c r="CI46" s="11"/>
      <c r="CJ46" s="11"/>
      <c r="CK46" s="11"/>
      <c r="CM46" s="5"/>
      <c r="CQ46" s="7"/>
    </row>
    <row r="47" spans="1:96" s="4" customFormat="1">
      <c r="A47" s="14" t="s">
        <v>111</v>
      </c>
      <c r="B47" s="16"/>
      <c r="C47" s="16"/>
      <c r="D47" s="127" t="s">
        <v>0</v>
      </c>
      <c r="E47" s="15">
        <v>0</v>
      </c>
      <c r="F47" s="15">
        <v>0</v>
      </c>
      <c r="G47" s="15"/>
      <c r="H47" s="289">
        <f t="shared" si="79"/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/>
      <c r="P47" s="16"/>
      <c r="Q47" s="128"/>
      <c r="R47" s="11"/>
      <c r="S47" s="11"/>
      <c r="T47" s="9"/>
      <c r="U47" s="17">
        <v>0</v>
      </c>
      <c r="V47" s="13"/>
      <c r="W47" s="17">
        <v>0</v>
      </c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55"/>
      <c r="AR47" s="55"/>
      <c r="AS47" s="55"/>
      <c r="AT47" s="55"/>
      <c r="AU47" s="9"/>
      <c r="AV47" s="9"/>
      <c r="AW47" s="9"/>
      <c r="AX47" s="9"/>
      <c r="AY47" s="9"/>
      <c r="AZ47" s="11"/>
      <c r="BA47" s="11"/>
      <c r="BB47" s="11"/>
      <c r="BC47" s="178"/>
      <c r="BD47" s="11"/>
      <c r="BE47" s="11"/>
      <c r="BF47" s="11"/>
      <c r="BG47" s="119"/>
      <c r="BH47" s="11"/>
      <c r="BI47" s="11"/>
      <c r="BJ47" s="11"/>
      <c r="BK47" s="11"/>
      <c r="BL47" s="11"/>
      <c r="BM47" s="12"/>
      <c r="BN47" s="12"/>
      <c r="BO47" s="12"/>
      <c r="BP47" s="11"/>
      <c r="BQ47" s="11"/>
      <c r="BR47" s="9"/>
      <c r="BS47" s="9"/>
      <c r="BT47" s="9"/>
      <c r="BU47" s="9"/>
      <c r="BV47" s="12"/>
      <c r="BW47" s="12"/>
      <c r="BX47" s="12"/>
      <c r="BY47" s="12"/>
      <c r="BZ47" s="12"/>
      <c r="CA47" s="12"/>
      <c r="CB47" s="12"/>
      <c r="CC47" s="12"/>
      <c r="CD47" s="12"/>
      <c r="CE47" s="11"/>
      <c r="CF47" s="11"/>
      <c r="CG47" s="11"/>
      <c r="CH47" s="9"/>
      <c r="CI47" s="11"/>
      <c r="CJ47" s="11"/>
      <c r="CK47" s="11"/>
      <c r="CM47" s="5"/>
      <c r="CQ47" s="7"/>
    </row>
    <row r="48" spans="1:96" s="4" customFormat="1">
      <c r="A48" s="14" t="s">
        <v>112</v>
      </c>
      <c r="B48" s="16"/>
      <c r="C48" s="16"/>
      <c r="D48" s="127" t="s">
        <v>0</v>
      </c>
      <c r="E48" s="15">
        <v>4.8300000000000001E-3</v>
      </c>
      <c r="F48" s="15">
        <v>4.8300000000000001E-3</v>
      </c>
      <c r="G48" s="15"/>
      <c r="H48" s="289">
        <f t="shared" si="79"/>
        <v>0</v>
      </c>
      <c r="I48" s="17"/>
      <c r="J48" s="17"/>
      <c r="K48" s="17"/>
      <c r="L48" s="17"/>
      <c r="M48" s="17"/>
      <c r="N48" s="17"/>
      <c r="O48" s="17"/>
      <c r="P48" s="16"/>
      <c r="Q48" s="128"/>
      <c r="R48" s="11"/>
      <c r="S48" s="11"/>
      <c r="T48" s="9"/>
      <c r="U48" s="17"/>
      <c r="V48" s="13"/>
      <c r="W48" s="17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55"/>
      <c r="AR48" s="55"/>
      <c r="AS48" s="55"/>
      <c r="AT48" s="55"/>
      <c r="AU48" s="9"/>
      <c r="AV48" s="9"/>
      <c r="AW48" s="9"/>
      <c r="AX48" s="9"/>
      <c r="AY48" s="9"/>
      <c r="AZ48" s="11"/>
      <c r="BA48" s="11"/>
      <c r="BB48" s="11"/>
      <c r="BC48" s="178"/>
      <c r="BD48" s="11"/>
      <c r="BE48" s="11"/>
      <c r="BF48" s="11"/>
      <c r="BG48" s="11"/>
      <c r="BH48" s="11"/>
      <c r="BI48" s="11"/>
      <c r="BJ48" s="11"/>
      <c r="BK48" s="11"/>
      <c r="BL48" s="11"/>
      <c r="BM48" s="12"/>
      <c r="BN48" s="12"/>
      <c r="BO48" s="12"/>
      <c r="BP48" s="11"/>
      <c r="BQ48" s="11"/>
      <c r="BR48" s="9"/>
      <c r="BS48" s="9"/>
      <c r="BT48" s="9"/>
      <c r="BU48" s="9"/>
      <c r="BV48" s="12"/>
      <c r="BW48" s="12"/>
      <c r="BX48" s="12"/>
      <c r="BY48" s="12"/>
      <c r="BZ48" s="12"/>
      <c r="CA48" s="12"/>
      <c r="CB48" s="12"/>
      <c r="CC48" s="12"/>
      <c r="CD48" s="12"/>
      <c r="CE48" s="11"/>
      <c r="CF48" s="11"/>
      <c r="CG48" s="11"/>
      <c r="CH48" s="9"/>
      <c r="CI48" s="11"/>
      <c r="CJ48" s="11"/>
      <c r="CK48" s="11"/>
      <c r="CM48" s="5"/>
      <c r="CQ48" s="7"/>
    </row>
    <row r="49" spans="1:95" s="4" customFormat="1">
      <c r="A49" s="14" t="s">
        <v>113</v>
      </c>
      <c r="B49" s="16"/>
      <c r="C49" s="16"/>
      <c r="D49" s="127" t="s">
        <v>0</v>
      </c>
      <c r="E49" s="15">
        <v>6.7000000000000002E-3</v>
      </c>
      <c r="F49" s="15">
        <v>6.7000000000000002E-3</v>
      </c>
      <c r="G49" s="15"/>
      <c r="H49" s="289">
        <f t="shared" si="79"/>
        <v>0</v>
      </c>
      <c r="I49" s="19">
        <v>1.055056</v>
      </c>
      <c r="J49" s="19">
        <v>1.055056</v>
      </c>
      <c r="K49" s="19">
        <v>1.055056</v>
      </c>
      <c r="L49" s="19">
        <v>1.055056</v>
      </c>
      <c r="M49" s="19">
        <v>1.055056</v>
      </c>
      <c r="N49" s="19">
        <v>1.055056</v>
      </c>
      <c r="O49" s="19"/>
      <c r="P49" s="16"/>
      <c r="Q49" s="128"/>
      <c r="R49" s="11"/>
      <c r="S49" s="11"/>
      <c r="T49" s="9"/>
      <c r="U49" s="19">
        <v>1.055056</v>
      </c>
      <c r="V49" s="13"/>
      <c r="W49" s="19">
        <v>1.055056</v>
      </c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55"/>
      <c r="AR49" s="55"/>
      <c r="AS49" s="55"/>
      <c r="AT49" s="55"/>
      <c r="AU49" s="9"/>
      <c r="AV49" s="9"/>
      <c r="AW49" s="9"/>
      <c r="AX49" s="9"/>
      <c r="AY49" s="9"/>
      <c r="AZ49" s="11"/>
      <c r="BA49" s="11"/>
      <c r="BB49" s="11"/>
      <c r="BC49" s="178"/>
      <c r="BD49" s="11"/>
      <c r="BE49" s="11"/>
      <c r="BF49" s="11"/>
      <c r="BG49" s="11"/>
      <c r="BH49" s="11"/>
      <c r="BI49" s="11"/>
      <c r="BJ49" s="11"/>
      <c r="BK49" s="11"/>
      <c r="BL49" s="11"/>
      <c r="BM49" s="12"/>
      <c r="BN49" s="12"/>
      <c r="BO49" s="12"/>
      <c r="BP49" s="11"/>
      <c r="BQ49" s="11"/>
      <c r="BR49" s="9"/>
      <c r="BS49" s="9"/>
      <c r="BT49" s="9"/>
      <c r="BU49" s="9"/>
      <c r="BV49" s="12"/>
      <c r="BW49" s="12"/>
      <c r="BX49" s="12"/>
      <c r="BY49" s="12"/>
      <c r="BZ49" s="12"/>
      <c r="CA49" s="12"/>
      <c r="CB49" s="12"/>
      <c r="CC49" s="12"/>
      <c r="CD49" s="12"/>
      <c r="CE49" s="11"/>
      <c r="CF49" s="11"/>
      <c r="CG49" s="11"/>
      <c r="CH49" s="9"/>
      <c r="CI49" s="11"/>
      <c r="CJ49" s="11"/>
      <c r="CK49" s="11"/>
      <c r="CM49" s="5"/>
      <c r="CQ49" s="7"/>
    </row>
    <row r="50" spans="1:95" s="4" customFormat="1">
      <c r="A50" s="14" t="s">
        <v>114</v>
      </c>
      <c r="B50" s="16"/>
      <c r="C50" s="16"/>
      <c r="D50" s="127" t="s">
        <v>0</v>
      </c>
      <c r="E50" s="15">
        <v>3.0000000000000001E-3</v>
      </c>
      <c r="F50" s="15">
        <v>3.0000000000000001E-3</v>
      </c>
      <c r="G50" s="15"/>
      <c r="H50" s="289">
        <f t="shared" si="79"/>
        <v>0</v>
      </c>
      <c r="I50" s="16"/>
      <c r="J50" s="16"/>
      <c r="K50" s="16"/>
      <c r="L50" s="16"/>
      <c r="M50" s="16"/>
      <c r="N50" s="16"/>
      <c r="O50" s="16"/>
      <c r="P50" s="16"/>
      <c r="Q50" s="128"/>
      <c r="R50" s="11"/>
      <c r="S50" s="11"/>
      <c r="T50" s="9"/>
      <c r="U50" s="16"/>
      <c r="V50" s="13"/>
      <c r="W50" s="16"/>
      <c r="X50" s="1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55"/>
      <c r="AR50" s="55"/>
      <c r="AS50" s="55"/>
      <c r="AT50" s="55"/>
      <c r="AU50" s="9"/>
      <c r="AV50" s="9"/>
      <c r="AW50" s="9"/>
      <c r="AX50" s="9"/>
      <c r="AY50" s="9"/>
      <c r="AZ50" s="11"/>
      <c r="BA50" s="11"/>
      <c r="BB50" s="11"/>
      <c r="BC50" s="178"/>
      <c r="BD50" s="11"/>
      <c r="BE50" s="11"/>
      <c r="BF50" s="11"/>
      <c r="BG50" s="11"/>
      <c r="BH50" s="11"/>
      <c r="BI50" s="11"/>
      <c r="BJ50" s="11"/>
      <c r="BK50" s="11"/>
      <c r="BL50" s="11"/>
      <c r="BM50" s="12"/>
      <c r="BN50" s="12"/>
      <c r="BO50" s="12"/>
      <c r="BP50" s="11"/>
      <c r="BQ50" s="11"/>
      <c r="BR50" s="9"/>
      <c r="BS50" s="9"/>
      <c r="BT50" s="9"/>
      <c r="BU50" s="9"/>
      <c r="BV50" s="12"/>
      <c r="BW50" s="12"/>
      <c r="BX50" s="12"/>
      <c r="BY50" s="12"/>
      <c r="BZ50" s="12"/>
      <c r="CA50" s="12"/>
      <c r="CB50" s="12"/>
      <c r="CC50" s="12"/>
      <c r="CD50" s="12"/>
      <c r="CE50" s="11"/>
      <c r="CF50" s="11"/>
      <c r="CG50" s="11"/>
      <c r="CH50" s="9"/>
      <c r="CI50" s="11"/>
      <c r="CJ50" s="11"/>
      <c r="CK50" s="11"/>
      <c r="CM50" s="5"/>
      <c r="CQ50" s="7"/>
    </row>
    <row r="51" spans="1:95" s="4" customFormat="1">
      <c r="A51" s="207" t="s">
        <v>115</v>
      </c>
      <c r="B51" s="208"/>
      <c r="C51" s="208"/>
      <c r="D51" s="209" t="s">
        <v>0</v>
      </c>
      <c r="E51" s="210">
        <v>7.8E-2</v>
      </c>
      <c r="F51" s="210">
        <v>7.8E-2</v>
      </c>
      <c r="G51" s="15"/>
      <c r="H51" s="289">
        <f t="shared" si="79"/>
        <v>0</v>
      </c>
      <c r="I51" s="16"/>
      <c r="J51" s="16"/>
      <c r="K51" s="16"/>
      <c r="L51" s="16"/>
      <c r="M51" s="16"/>
      <c r="N51" s="16"/>
      <c r="O51" s="16"/>
      <c r="P51" s="8"/>
      <c r="Q51" s="128"/>
      <c r="R51" s="11"/>
      <c r="S51" s="11"/>
      <c r="T51" s="9"/>
      <c r="U51" s="16"/>
      <c r="V51" s="13"/>
      <c r="W51" s="16"/>
      <c r="X51" s="1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55"/>
      <c r="AR51" s="55"/>
      <c r="AS51" s="55"/>
      <c r="AT51" s="55"/>
      <c r="AU51" s="9"/>
      <c r="AV51" s="9"/>
      <c r="AW51" s="9"/>
      <c r="AX51" s="9"/>
      <c r="AY51" s="9"/>
      <c r="AZ51" s="11"/>
      <c r="BA51" s="11"/>
      <c r="BB51" s="11"/>
      <c r="BC51" s="178"/>
      <c r="BD51" s="11"/>
      <c r="BE51" s="11"/>
      <c r="BF51" s="11"/>
      <c r="BG51" s="11"/>
      <c r="BH51" s="11"/>
      <c r="BI51" s="11"/>
      <c r="BJ51" s="11"/>
      <c r="BK51" s="11"/>
      <c r="BL51" s="11"/>
      <c r="BM51" s="12"/>
      <c r="BN51" s="12"/>
      <c r="BO51" s="12"/>
      <c r="BP51" s="11"/>
      <c r="BQ51" s="11"/>
      <c r="BR51" s="9"/>
      <c r="BS51" s="9"/>
      <c r="BT51" s="9"/>
      <c r="BU51" s="9"/>
      <c r="BV51" s="12"/>
      <c r="BW51" s="12"/>
      <c r="BX51" s="12"/>
      <c r="BY51" s="12"/>
      <c r="BZ51" s="12"/>
      <c r="CA51" s="12"/>
      <c r="CB51" s="12"/>
      <c r="CC51" s="12"/>
      <c r="CD51" s="12"/>
      <c r="CE51" s="11"/>
      <c r="CF51" s="11"/>
      <c r="CG51" s="11"/>
      <c r="CH51" s="9"/>
      <c r="CI51" s="11"/>
      <c r="CJ51" s="11"/>
      <c r="CK51" s="11"/>
      <c r="CM51" s="5"/>
      <c r="CQ51" s="7"/>
    </row>
    <row r="52" spans="1:95" s="4" customFormat="1">
      <c r="A52" s="4" t="s">
        <v>146</v>
      </c>
      <c r="D52" s="6" t="s">
        <v>0</v>
      </c>
      <c r="E52" s="148">
        <v>3.4521799999999998E-2</v>
      </c>
      <c r="F52" s="148">
        <v>3.4521799999999998E-2</v>
      </c>
      <c r="G52" s="15"/>
      <c r="H52" s="289">
        <f t="shared" si="79"/>
        <v>0</v>
      </c>
      <c r="I52" s="148"/>
      <c r="Q52" s="128"/>
      <c r="R52" s="11"/>
      <c r="S52" s="11"/>
      <c r="T52" s="9"/>
      <c r="V52" s="13"/>
      <c r="X52" s="1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55"/>
      <c r="AR52" s="55"/>
      <c r="AS52" s="55"/>
      <c r="AT52" s="55"/>
      <c r="AU52" s="9"/>
      <c r="AV52" s="9"/>
      <c r="AW52" s="9"/>
      <c r="AX52" s="9"/>
      <c r="AY52" s="9"/>
      <c r="AZ52" s="11"/>
      <c r="BA52" s="11"/>
      <c r="BB52" s="11"/>
      <c r="BC52" s="178"/>
      <c r="BD52" s="11"/>
      <c r="BE52" s="11"/>
      <c r="BF52" s="11"/>
      <c r="BG52" s="11"/>
      <c r="BH52" s="11"/>
      <c r="BI52" s="11"/>
      <c r="BJ52" s="11"/>
      <c r="BK52" s="11"/>
      <c r="BL52" s="11"/>
      <c r="BM52" s="12"/>
      <c r="BN52" s="12"/>
      <c r="BO52" s="12"/>
      <c r="BP52" s="11"/>
      <c r="BQ52" s="11"/>
      <c r="BR52" s="9"/>
      <c r="BS52" s="9"/>
      <c r="BT52" s="9"/>
      <c r="BU52" s="9"/>
      <c r="BV52" s="12"/>
      <c r="BW52" s="12"/>
      <c r="BX52" s="12"/>
      <c r="BY52" s="12"/>
      <c r="BZ52" s="12"/>
      <c r="CA52" s="12"/>
      <c r="CB52" s="12"/>
      <c r="CC52" s="12"/>
      <c r="CD52" s="12"/>
      <c r="CE52" s="11"/>
      <c r="CF52" s="11"/>
      <c r="CG52" s="11"/>
      <c r="CH52" s="9"/>
      <c r="CI52" s="11"/>
      <c r="CJ52" s="11"/>
      <c r="CK52" s="11"/>
      <c r="CM52" s="5"/>
      <c r="CQ52" s="7"/>
    </row>
    <row r="53" spans="1:95" s="4" customFormat="1">
      <c r="A53" s="4" t="s">
        <v>173</v>
      </c>
      <c r="B53" s="8"/>
      <c r="C53" s="8"/>
      <c r="D53" s="10" t="s">
        <v>0</v>
      </c>
      <c r="E53" s="148">
        <v>1.78169E-2</v>
      </c>
      <c r="F53" s="148">
        <v>1.78169E-2</v>
      </c>
      <c r="G53" s="15"/>
      <c r="H53" s="289">
        <f t="shared" si="79"/>
        <v>0</v>
      </c>
      <c r="I53" s="8"/>
      <c r="J53" s="8"/>
      <c r="K53" s="8"/>
      <c r="L53" s="8"/>
      <c r="M53" s="8"/>
      <c r="N53" s="8"/>
      <c r="O53" s="8"/>
      <c r="P53" s="8"/>
      <c r="Q53" s="128"/>
      <c r="R53" s="11"/>
      <c r="S53" s="11"/>
      <c r="T53" s="9"/>
      <c r="U53" s="8"/>
      <c r="V53" s="13"/>
      <c r="W53" s="8"/>
      <c r="X53" s="13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55"/>
      <c r="AR53" s="55"/>
      <c r="AS53" s="55"/>
      <c r="AT53" s="55"/>
      <c r="AU53" s="9"/>
      <c r="AV53" s="9"/>
      <c r="AW53" s="9"/>
      <c r="AX53" s="9"/>
      <c r="AY53" s="9"/>
      <c r="AZ53" s="11"/>
      <c r="BA53" s="11"/>
      <c r="BB53" s="11"/>
      <c r="BC53" s="178"/>
      <c r="BD53" s="11"/>
      <c r="BE53" s="11"/>
      <c r="BF53" s="11"/>
      <c r="BG53" s="11"/>
      <c r="BH53" s="11"/>
      <c r="BI53" s="11"/>
      <c r="BJ53" s="11"/>
      <c r="BK53" s="11"/>
      <c r="BL53" s="11"/>
      <c r="BM53" s="12"/>
      <c r="BN53" s="12"/>
      <c r="BO53" s="12"/>
      <c r="BP53" s="11"/>
      <c r="BQ53" s="11"/>
      <c r="BR53" s="9"/>
      <c r="BS53" s="9"/>
      <c r="BT53" s="9"/>
      <c r="BU53" s="9"/>
      <c r="BV53" s="12"/>
      <c r="BW53" s="12"/>
      <c r="BX53" s="12"/>
      <c r="BY53" s="12"/>
      <c r="BZ53" s="12"/>
      <c r="CA53" s="12"/>
      <c r="CB53" s="12"/>
      <c r="CC53" s="12"/>
      <c r="CD53" s="12"/>
      <c r="CE53" s="11"/>
      <c r="CF53" s="11"/>
      <c r="CG53" s="11"/>
      <c r="CH53" s="9"/>
      <c r="CI53" s="11"/>
      <c r="CJ53" s="11"/>
      <c r="CK53" s="11"/>
      <c r="CM53" s="5"/>
      <c r="CQ53" s="7"/>
    </row>
    <row r="54" spans="1:95" s="4" customFormat="1">
      <c r="A54" s="4" t="s">
        <v>118</v>
      </c>
      <c r="B54" s="8"/>
      <c r="C54" s="8"/>
      <c r="D54" s="10" t="s">
        <v>0</v>
      </c>
      <c r="E54" s="163">
        <v>3.45218E-4</v>
      </c>
      <c r="F54" s="163">
        <v>3.45218E-4</v>
      </c>
      <c r="G54" s="163">
        <f>1-E54*AO10</f>
        <v>1</v>
      </c>
      <c r="H54" s="289">
        <f t="shared" si="79"/>
        <v>0</v>
      </c>
      <c r="I54" s="8"/>
      <c r="J54" s="8"/>
      <c r="K54" s="8"/>
      <c r="L54" s="8"/>
      <c r="M54" s="8"/>
      <c r="N54" s="8"/>
      <c r="O54" s="8"/>
      <c r="P54" s="8"/>
      <c r="Q54" s="128"/>
      <c r="R54" s="11"/>
      <c r="S54" s="11"/>
      <c r="T54" s="9"/>
      <c r="U54" s="8"/>
      <c r="V54" s="13"/>
      <c r="W54" s="8"/>
      <c r="X54" s="1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55"/>
      <c r="AR54" s="55"/>
      <c r="AS54" s="55"/>
      <c r="AT54" s="55"/>
      <c r="AU54" s="9"/>
      <c r="AV54" s="9"/>
      <c r="AW54" s="9"/>
      <c r="AX54" s="9"/>
      <c r="AY54" s="9"/>
      <c r="AZ54" s="11"/>
      <c r="BA54" s="11"/>
      <c r="BB54" s="11"/>
      <c r="BC54" s="178"/>
      <c r="BD54" s="11"/>
      <c r="BE54" s="11"/>
      <c r="BF54" s="11"/>
      <c r="BG54" s="11"/>
      <c r="BH54" s="11"/>
      <c r="BI54" s="11"/>
      <c r="BJ54" s="11"/>
      <c r="BK54" s="11"/>
      <c r="BL54" s="11"/>
      <c r="BM54" s="12"/>
      <c r="BN54" s="12"/>
      <c r="BO54" s="12"/>
      <c r="BP54" s="11"/>
      <c r="BQ54" s="11"/>
      <c r="BR54" s="9"/>
      <c r="BS54" s="9"/>
      <c r="BT54" s="9"/>
      <c r="BU54" s="9"/>
      <c r="BV54" s="12"/>
      <c r="BW54" s="12"/>
      <c r="BX54" s="12"/>
      <c r="BY54" s="12"/>
      <c r="BZ54" s="12"/>
      <c r="CA54" s="12"/>
      <c r="CB54" s="12"/>
      <c r="CC54" s="12"/>
      <c r="CD54" s="12"/>
      <c r="CE54" s="11"/>
      <c r="CF54" s="11"/>
      <c r="CG54" s="11"/>
      <c r="CH54" s="9"/>
      <c r="CI54" s="11"/>
      <c r="CJ54" s="11"/>
      <c r="CK54" s="11"/>
      <c r="CM54" s="5"/>
      <c r="CQ54" s="7"/>
    </row>
    <row r="55" spans="1:95" s="4" customFormat="1">
      <c r="A55" s="4" t="s">
        <v>174</v>
      </c>
      <c r="B55" s="8"/>
      <c r="C55" s="8"/>
      <c r="D55" s="10" t="s">
        <v>0</v>
      </c>
      <c r="E55" s="164">
        <v>9.1239000000000008E-3</v>
      </c>
      <c r="F55" s="164">
        <v>9.1239000000000008E-3</v>
      </c>
      <c r="G55" s="15"/>
      <c r="H55" s="289">
        <f t="shared" si="79"/>
        <v>0</v>
      </c>
      <c r="I55" s="7"/>
      <c r="J55" s="15">
        <v>1.4933E-2</v>
      </c>
      <c r="K55" s="8"/>
      <c r="L55" s="8"/>
      <c r="M55" s="8"/>
      <c r="N55" s="8"/>
      <c r="O55" s="8"/>
      <c r="P55" s="8"/>
      <c r="Q55" s="128"/>
      <c r="R55" s="11"/>
      <c r="S55" s="11"/>
      <c r="T55" s="9"/>
      <c r="U55" s="9"/>
      <c r="V55" s="13"/>
      <c r="W55" s="9"/>
      <c r="X55" s="1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55"/>
      <c r="AR55" s="55"/>
      <c r="AS55" s="55"/>
      <c r="AT55" s="55"/>
      <c r="AU55" s="9"/>
      <c r="AV55" s="9"/>
      <c r="AW55" s="9"/>
      <c r="AX55" s="9"/>
      <c r="AY55" s="9"/>
      <c r="AZ55" s="11"/>
      <c r="BA55" s="11"/>
      <c r="BB55" s="11"/>
      <c r="BC55" s="178"/>
      <c r="BD55" s="11"/>
      <c r="BE55" s="11"/>
      <c r="BF55" s="11"/>
      <c r="BG55" s="11"/>
      <c r="BH55" s="11"/>
      <c r="BI55" s="11"/>
      <c r="BJ55" s="11"/>
      <c r="BK55" s="11"/>
      <c r="BL55" s="11"/>
      <c r="BM55" s="12"/>
      <c r="BN55" s="12"/>
      <c r="BO55" s="12"/>
      <c r="BP55" s="11"/>
      <c r="BQ55" s="11"/>
      <c r="BR55" s="9"/>
      <c r="BS55" s="9"/>
      <c r="BT55" s="9"/>
      <c r="BU55" s="9"/>
      <c r="BV55" s="12"/>
      <c r="BW55" s="12"/>
      <c r="BX55" s="12"/>
      <c r="BY55" s="12"/>
      <c r="BZ55" s="12"/>
      <c r="CA55" s="12"/>
      <c r="CB55" s="12"/>
      <c r="CC55" s="12"/>
      <c r="CD55" s="12"/>
      <c r="CE55" s="11"/>
      <c r="CF55" s="11"/>
      <c r="CG55" s="11"/>
      <c r="CH55" s="9"/>
      <c r="CI55" s="11"/>
      <c r="CJ55" s="11"/>
      <c r="CK55" s="11"/>
      <c r="CM55" s="5"/>
      <c r="CQ55" s="7"/>
    </row>
    <row r="56" spans="1:95" s="4" customFormat="1">
      <c r="A56" s="4" t="s">
        <v>175</v>
      </c>
      <c r="B56" s="8"/>
      <c r="C56" s="8"/>
      <c r="D56" s="10" t="s">
        <v>181</v>
      </c>
      <c r="E56" s="164">
        <v>3.1971199999999998E-2</v>
      </c>
      <c r="F56" s="164">
        <v>3.1971199999999998E-2</v>
      </c>
      <c r="G56" s="15"/>
      <c r="H56" s="289">
        <f t="shared" si="79"/>
        <v>0</v>
      </c>
      <c r="I56" s="7"/>
      <c r="J56" s="15">
        <v>4.3177399999999998E-2</v>
      </c>
      <c r="K56" s="9"/>
      <c r="L56" s="9"/>
      <c r="M56" s="9"/>
      <c r="N56" s="9"/>
      <c r="O56" s="9"/>
      <c r="P56" s="9"/>
      <c r="Q56" s="12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  <c r="AJ56" s="9"/>
      <c r="AK56" s="9"/>
      <c r="AL56" s="9"/>
      <c r="AM56" s="11"/>
      <c r="AN56" s="11"/>
      <c r="AO56" s="11"/>
      <c r="AP56" s="11"/>
      <c r="AQ56" s="55"/>
      <c r="AR56" s="55"/>
      <c r="AS56" s="55"/>
      <c r="AT56" s="55"/>
      <c r="AU56" s="11"/>
      <c r="AV56" s="11"/>
      <c r="AW56" s="11"/>
      <c r="AX56" s="12"/>
      <c r="AY56" s="12"/>
      <c r="AZ56" s="12"/>
      <c r="BA56" s="11"/>
      <c r="BB56" s="11"/>
      <c r="BC56" s="179"/>
      <c r="BD56" s="9"/>
      <c r="BE56" s="9"/>
      <c r="BF56" s="9"/>
      <c r="BG56" s="9"/>
      <c r="BH56" s="9"/>
      <c r="BI56" s="12"/>
      <c r="BJ56" s="12"/>
      <c r="BK56" s="12"/>
      <c r="BL56" s="12"/>
      <c r="BM56" s="12"/>
      <c r="BN56" s="12"/>
      <c r="BO56" s="12"/>
      <c r="BP56" s="12"/>
      <c r="BQ56" s="12"/>
      <c r="BR56" s="11"/>
      <c r="BS56" s="11"/>
      <c r="BT56" s="11"/>
      <c r="BU56" s="9"/>
      <c r="BV56" s="11"/>
      <c r="BW56" s="11"/>
      <c r="BX56" s="11"/>
      <c r="BZ56" s="8"/>
      <c r="CD56" s="7"/>
      <c r="CM56" s="191"/>
      <c r="CN56" s="191"/>
      <c r="CO56" s="8"/>
    </row>
    <row r="57" spans="1:95" s="4" customFormat="1">
      <c r="A57" s="4" t="s">
        <v>121</v>
      </c>
      <c r="B57" s="8"/>
      <c r="C57" s="8"/>
      <c r="D57" s="10" t="s">
        <v>0</v>
      </c>
      <c r="E57" s="164">
        <v>2.91731E-2</v>
      </c>
      <c r="F57" s="164">
        <v>2.91731E-2</v>
      </c>
      <c r="G57" s="15"/>
      <c r="H57" s="289">
        <f t="shared" si="79"/>
        <v>0</v>
      </c>
      <c r="I57" s="13"/>
      <c r="J57" s="15">
        <v>3.6988899999999998E-2</v>
      </c>
      <c r="K57" s="8"/>
      <c r="L57" s="8"/>
      <c r="M57" s="8"/>
      <c r="N57" s="8"/>
      <c r="O57" s="8"/>
      <c r="P57" s="8"/>
      <c r="Q57" s="128"/>
      <c r="R57" s="11"/>
      <c r="S57" s="11"/>
      <c r="T57" s="9"/>
      <c r="U57" s="9"/>
      <c r="V57" s="13"/>
      <c r="W57" s="9"/>
      <c r="X57" s="13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55"/>
      <c r="AR57" s="55"/>
      <c r="AS57" s="55"/>
      <c r="AT57" s="55"/>
      <c r="AU57" s="9"/>
      <c r="AV57" s="9"/>
      <c r="AW57" s="9"/>
      <c r="AX57" s="9"/>
      <c r="AY57" s="9"/>
      <c r="AZ57" s="11"/>
      <c r="BA57" s="11"/>
      <c r="BB57" s="11"/>
      <c r="BC57" s="178"/>
      <c r="BD57" s="11"/>
      <c r="BE57" s="11"/>
      <c r="BF57" s="11"/>
      <c r="BG57" s="11"/>
      <c r="BH57" s="11"/>
      <c r="BI57" s="11"/>
      <c r="BJ57" s="11"/>
      <c r="BK57" s="11"/>
      <c r="BL57" s="11"/>
      <c r="BM57" s="12"/>
      <c r="BN57" s="12"/>
      <c r="BO57" s="12"/>
      <c r="BP57" s="11"/>
      <c r="BQ57" s="11"/>
      <c r="BR57" s="9"/>
      <c r="BS57" s="9"/>
      <c r="BT57" s="9"/>
      <c r="BU57" s="9"/>
      <c r="BV57" s="12"/>
      <c r="BW57" s="12"/>
      <c r="BX57" s="12"/>
      <c r="BY57" s="12"/>
      <c r="BZ57" s="12"/>
      <c r="CA57" s="12"/>
      <c r="CB57" s="12"/>
      <c r="CC57" s="12"/>
      <c r="CD57" s="12"/>
      <c r="CE57" s="11"/>
      <c r="CF57" s="11"/>
      <c r="CG57" s="11"/>
      <c r="CH57" s="9"/>
      <c r="CI57" s="11"/>
      <c r="CJ57" s="11"/>
      <c r="CK57" s="11"/>
      <c r="CM57" s="5"/>
      <c r="CQ57" s="7"/>
    </row>
    <row r="58" spans="1:95">
      <c r="A58" s="4" t="s">
        <v>192</v>
      </c>
      <c r="E58" s="164">
        <v>3.2426E-3</v>
      </c>
      <c r="F58" s="164">
        <v>3.2426E-3</v>
      </c>
      <c r="Q58" s="121"/>
      <c r="R58" s="104"/>
      <c r="S58" s="104"/>
      <c r="T58" s="55"/>
      <c r="U58" s="55"/>
      <c r="V58" s="122"/>
      <c r="W58" s="55"/>
      <c r="X58" s="122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104"/>
      <c r="BA58" s="104"/>
      <c r="BB58" s="104"/>
      <c r="BC58" s="97"/>
      <c r="BD58" s="104"/>
      <c r="BE58" s="104"/>
      <c r="BF58" s="104"/>
      <c r="BG58" s="104"/>
      <c r="BH58" s="104"/>
      <c r="BI58" s="104"/>
      <c r="BJ58" s="104"/>
      <c r="BK58" s="104"/>
      <c r="BL58" s="104"/>
      <c r="BM58" s="114"/>
      <c r="BN58" s="114"/>
      <c r="BO58" s="114"/>
      <c r="BP58" s="104"/>
      <c r="BQ58" s="104"/>
      <c r="BR58" s="55"/>
      <c r="BS58" s="55"/>
      <c r="BT58" s="55"/>
      <c r="BU58" s="55"/>
      <c r="BV58" s="114"/>
      <c r="BW58" s="114"/>
      <c r="BX58" s="114"/>
      <c r="BY58" s="114"/>
      <c r="BZ58" s="114"/>
      <c r="CA58" s="114"/>
      <c r="CB58" s="114"/>
      <c r="CC58" s="114"/>
      <c r="CD58" s="114"/>
      <c r="CE58" s="104"/>
      <c r="CF58" s="104"/>
      <c r="CG58" s="104"/>
      <c r="CH58" s="55"/>
      <c r="CI58" s="104"/>
      <c r="CJ58" s="104"/>
      <c r="CK58" s="104"/>
    </row>
    <row r="59" spans="1:95">
      <c r="F59" s="164"/>
      <c r="Q59" s="121"/>
      <c r="R59" s="104"/>
      <c r="S59" s="104"/>
      <c r="T59" s="55"/>
      <c r="U59" s="55"/>
      <c r="V59" s="122"/>
      <c r="W59" s="55"/>
      <c r="X59" s="122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104"/>
      <c r="BA59" s="104"/>
      <c r="BB59" s="104"/>
      <c r="BC59" s="97"/>
      <c r="BD59" s="104"/>
      <c r="BE59" s="104"/>
      <c r="BF59" s="104"/>
      <c r="BG59" s="104"/>
      <c r="BH59" s="104"/>
      <c r="BI59" s="104"/>
      <c r="BJ59" s="104"/>
      <c r="BK59" s="104"/>
      <c r="BL59" s="104"/>
      <c r="BM59" s="114"/>
      <c r="BN59" s="114"/>
      <c r="BO59" s="114"/>
      <c r="BP59" s="104"/>
      <c r="BQ59" s="104"/>
      <c r="BR59" s="55"/>
      <c r="BS59" s="55"/>
      <c r="BT59" s="55"/>
      <c r="BU59" s="55"/>
      <c r="BV59" s="114"/>
      <c r="BW59" s="114"/>
      <c r="BX59" s="114"/>
      <c r="BY59" s="114"/>
      <c r="BZ59" s="114"/>
      <c r="CA59" s="114"/>
      <c r="CB59" s="114"/>
      <c r="CC59" s="114"/>
      <c r="CD59" s="114"/>
      <c r="CE59" s="104"/>
      <c r="CF59" s="104"/>
      <c r="CG59" s="104"/>
      <c r="CH59" s="55"/>
      <c r="CI59" s="104"/>
      <c r="CJ59" s="104"/>
      <c r="CK59" s="104"/>
    </row>
    <row r="60" spans="1:95">
      <c r="Q60" s="121"/>
      <c r="R60" s="104"/>
      <c r="S60" s="104"/>
      <c r="T60" s="55"/>
      <c r="U60" s="55"/>
      <c r="V60" s="122"/>
      <c r="W60" s="55"/>
      <c r="X60" s="122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104"/>
      <c r="BA60" s="104"/>
      <c r="BB60" s="104"/>
      <c r="BC60" s="97"/>
      <c r="BD60" s="104"/>
      <c r="BE60" s="104"/>
      <c r="BF60" s="104"/>
      <c r="BG60" s="104"/>
      <c r="BH60" s="104"/>
      <c r="BI60" s="104"/>
      <c r="BJ60" s="104"/>
      <c r="BK60" s="104"/>
      <c r="BL60" s="104"/>
      <c r="BM60" s="114"/>
      <c r="BN60" s="114"/>
      <c r="BO60" s="114"/>
      <c r="BP60" s="104"/>
      <c r="BQ60" s="104"/>
      <c r="BR60" s="55"/>
      <c r="BS60" s="55"/>
      <c r="BT60" s="55"/>
      <c r="BU60" s="55"/>
      <c r="BV60" s="114"/>
      <c r="BW60" s="114"/>
      <c r="BX60" s="114"/>
      <c r="BY60" s="114"/>
      <c r="BZ60" s="114"/>
      <c r="CA60" s="114"/>
      <c r="CB60" s="114"/>
      <c r="CC60" s="114"/>
      <c r="CD60" s="114"/>
      <c r="CE60" s="104"/>
      <c r="CF60" s="104"/>
      <c r="CG60" s="104"/>
      <c r="CH60" s="55"/>
      <c r="CI60" s="104"/>
      <c r="CJ60" s="104"/>
      <c r="CK60" s="104"/>
    </row>
    <row r="61" spans="1:95">
      <c r="Q61" s="121"/>
      <c r="R61" s="104"/>
      <c r="S61" s="104"/>
      <c r="T61" s="55"/>
      <c r="U61" s="55"/>
      <c r="V61" s="122"/>
      <c r="W61" s="55"/>
      <c r="X61" s="122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104"/>
      <c r="BA61" s="104"/>
      <c r="BB61" s="104"/>
      <c r="BC61" s="97"/>
      <c r="BD61" s="104"/>
      <c r="BE61" s="104"/>
      <c r="BF61" s="104"/>
      <c r="BG61" s="104"/>
      <c r="BH61" s="104"/>
      <c r="BI61" s="104"/>
      <c r="BJ61" s="104"/>
      <c r="BK61" s="104"/>
      <c r="BL61" s="104"/>
      <c r="BM61" s="114"/>
      <c r="BN61" s="114"/>
      <c r="BO61" s="114"/>
      <c r="BP61" s="104"/>
      <c r="BQ61" s="104"/>
      <c r="BR61" s="55"/>
      <c r="BS61" s="55"/>
      <c r="BT61" s="55"/>
      <c r="BU61" s="55"/>
      <c r="BV61" s="114"/>
      <c r="BW61" s="114"/>
      <c r="BX61" s="114"/>
      <c r="BY61" s="114"/>
      <c r="BZ61" s="114"/>
      <c r="CA61" s="114"/>
      <c r="CB61" s="114"/>
      <c r="CC61" s="114"/>
      <c r="CD61" s="114"/>
      <c r="CE61" s="104"/>
      <c r="CF61" s="104"/>
      <c r="CG61" s="104"/>
      <c r="CH61" s="55"/>
      <c r="CI61" s="104"/>
      <c r="CJ61" s="104"/>
      <c r="CK61" s="104"/>
    </row>
    <row r="62" spans="1:95">
      <c r="Q62" s="121"/>
      <c r="R62" s="104"/>
      <c r="S62" s="104"/>
      <c r="T62" s="55"/>
      <c r="U62" s="55"/>
      <c r="V62" s="122"/>
      <c r="W62" s="55"/>
      <c r="X62" s="122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104"/>
      <c r="BA62" s="104"/>
      <c r="BB62" s="104"/>
      <c r="BC62" s="97"/>
      <c r="BD62" s="104"/>
      <c r="BE62" s="104"/>
      <c r="BF62" s="104"/>
      <c r="BG62" s="104"/>
      <c r="BH62" s="104"/>
      <c r="BI62" s="104"/>
      <c r="BJ62" s="104"/>
      <c r="BK62" s="104"/>
      <c r="BL62" s="104"/>
      <c r="BM62" s="114"/>
      <c r="BN62" s="114"/>
      <c r="BO62" s="114"/>
      <c r="BP62" s="104"/>
      <c r="BQ62" s="104"/>
      <c r="BR62" s="55"/>
      <c r="BS62" s="55"/>
      <c r="BT62" s="55"/>
      <c r="BU62" s="55"/>
      <c r="BV62" s="114"/>
      <c r="BW62" s="114"/>
      <c r="BX62" s="114"/>
      <c r="BY62" s="114"/>
      <c r="BZ62" s="114"/>
      <c r="CA62" s="114"/>
      <c r="CB62" s="114"/>
      <c r="CC62" s="114"/>
      <c r="CD62" s="114"/>
      <c r="CE62" s="104"/>
      <c r="CF62" s="104"/>
      <c r="CG62" s="104"/>
      <c r="CH62" s="55"/>
      <c r="CI62" s="104"/>
      <c r="CJ62" s="104"/>
      <c r="CK62" s="104"/>
    </row>
    <row r="63" spans="1:95">
      <c r="Q63" s="121"/>
      <c r="R63" s="104"/>
      <c r="S63" s="104"/>
      <c r="T63" s="55"/>
      <c r="U63" s="55"/>
      <c r="V63" s="122"/>
      <c r="W63" s="55"/>
      <c r="X63" s="122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104"/>
      <c r="BA63" s="104"/>
      <c r="BB63" s="104"/>
      <c r="BC63" s="97"/>
      <c r="BD63" s="104"/>
      <c r="BE63" s="104"/>
      <c r="BF63" s="104"/>
      <c r="BG63" s="104"/>
      <c r="BH63" s="104"/>
      <c r="BI63" s="104"/>
      <c r="BJ63" s="104"/>
      <c r="BK63" s="104"/>
      <c r="BL63" s="104"/>
      <c r="BM63" s="114"/>
      <c r="BN63" s="114"/>
      <c r="BO63" s="114"/>
      <c r="BP63" s="104"/>
      <c r="BQ63" s="104"/>
      <c r="BR63" s="55"/>
      <c r="BS63" s="55"/>
      <c r="BT63" s="55"/>
      <c r="BU63" s="55"/>
      <c r="BV63" s="114"/>
      <c r="BW63" s="114"/>
      <c r="BX63" s="114"/>
      <c r="BY63" s="114"/>
      <c r="BZ63" s="114"/>
      <c r="CA63" s="114"/>
      <c r="CB63" s="114"/>
      <c r="CC63" s="114"/>
      <c r="CD63" s="114"/>
      <c r="CE63" s="104"/>
      <c r="CF63" s="104"/>
      <c r="CG63" s="104"/>
      <c r="CH63" s="55"/>
      <c r="CI63" s="104"/>
      <c r="CJ63" s="104"/>
      <c r="CK63" s="104"/>
    </row>
    <row r="64" spans="1:95">
      <c r="Q64" s="121"/>
      <c r="R64" s="104"/>
      <c r="S64" s="104"/>
      <c r="T64" s="55"/>
      <c r="U64" s="55"/>
      <c r="V64" s="122"/>
      <c r="W64" s="55"/>
      <c r="X64" s="122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104"/>
      <c r="BA64" s="104"/>
      <c r="BB64" s="104"/>
      <c r="BC64" s="97"/>
      <c r="BD64" s="104"/>
      <c r="BE64" s="104"/>
      <c r="BF64" s="104"/>
      <c r="BG64" s="104"/>
      <c r="BH64" s="104"/>
      <c r="BI64" s="104"/>
      <c r="BJ64" s="104"/>
      <c r="BK64" s="104"/>
      <c r="BL64" s="104"/>
      <c r="BM64" s="114"/>
      <c r="BN64" s="114"/>
      <c r="BO64" s="114"/>
      <c r="BP64" s="104"/>
      <c r="BQ64" s="104"/>
      <c r="BR64" s="55"/>
      <c r="BS64" s="55"/>
      <c r="BT64" s="55"/>
      <c r="BU64" s="55"/>
      <c r="BV64" s="114"/>
      <c r="BW64" s="114"/>
      <c r="BX64" s="114"/>
      <c r="BY64" s="114"/>
      <c r="BZ64" s="114"/>
      <c r="CA64" s="114"/>
      <c r="CB64" s="114"/>
      <c r="CC64" s="114"/>
      <c r="CD64" s="114"/>
      <c r="CE64" s="104"/>
      <c r="CF64" s="104"/>
      <c r="CG64" s="104"/>
      <c r="CH64" s="55"/>
      <c r="CI64" s="104"/>
      <c r="CJ64" s="104"/>
      <c r="CK64" s="104"/>
    </row>
    <row r="65" spans="17:89">
      <c r="Q65" s="121"/>
      <c r="R65" s="104"/>
      <c r="S65" s="104"/>
      <c r="T65" s="55"/>
      <c r="U65" s="55"/>
      <c r="V65" s="122"/>
      <c r="W65" s="55"/>
      <c r="X65" s="122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104"/>
      <c r="BA65" s="104"/>
      <c r="BB65" s="104"/>
      <c r="BC65" s="97"/>
      <c r="BD65" s="104"/>
      <c r="BE65" s="104"/>
      <c r="BF65" s="104"/>
      <c r="BG65" s="104"/>
      <c r="BH65" s="104"/>
      <c r="BI65" s="104"/>
      <c r="BJ65" s="104"/>
      <c r="BK65" s="104"/>
      <c r="BL65" s="104"/>
      <c r="BM65" s="114"/>
      <c r="BN65" s="114"/>
      <c r="BO65" s="114"/>
      <c r="BP65" s="104"/>
      <c r="BQ65" s="104"/>
      <c r="BR65" s="55"/>
      <c r="BS65" s="55"/>
      <c r="BT65" s="55"/>
      <c r="BU65" s="55"/>
      <c r="BV65" s="114"/>
      <c r="BW65" s="114"/>
      <c r="BX65" s="114"/>
      <c r="BY65" s="114"/>
      <c r="BZ65" s="114"/>
      <c r="CA65" s="114"/>
      <c r="CB65" s="114"/>
      <c r="CC65" s="114"/>
      <c r="CD65" s="114"/>
      <c r="CE65" s="104"/>
      <c r="CF65" s="104"/>
      <c r="CG65" s="104"/>
      <c r="CH65" s="55"/>
      <c r="CI65" s="104"/>
      <c r="CJ65" s="104"/>
      <c r="CK65" s="104"/>
    </row>
    <row r="66" spans="17:89">
      <c r="Q66" s="121"/>
      <c r="R66" s="104"/>
      <c r="S66" s="104"/>
      <c r="T66" s="55"/>
      <c r="U66" s="55"/>
      <c r="V66" s="122"/>
      <c r="W66" s="55"/>
      <c r="X66" s="122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104"/>
      <c r="BA66" s="104"/>
      <c r="BB66" s="104"/>
      <c r="BC66" s="97"/>
      <c r="BD66" s="104"/>
      <c r="BE66" s="104"/>
      <c r="BF66" s="104"/>
      <c r="BG66" s="104"/>
      <c r="BH66" s="104"/>
      <c r="BI66" s="104"/>
      <c r="BJ66" s="104"/>
      <c r="BK66" s="104"/>
      <c r="BL66" s="104"/>
      <c r="BM66" s="114"/>
      <c r="BN66" s="114"/>
      <c r="BO66" s="114"/>
      <c r="BP66" s="104"/>
      <c r="BQ66" s="104"/>
      <c r="BR66" s="55"/>
      <c r="BS66" s="55"/>
      <c r="BT66" s="55"/>
      <c r="BU66" s="55"/>
      <c r="BV66" s="114"/>
      <c r="BW66" s="114"/>
      <c r="BX66" s="114"/>
      <c r="BY66" s="114"/>
      <c r="BZ66" s="114"/>
      <c r="CA66" s="114"/>
      <c r="CB66" s="114"/>
      <c r="CC66" s="114"/>
      <c r="CD66" s="114"/>
      <c r="CE66" s="104"/>
      <c r="CF66" s="104"/>
      <c r="CG66" s="104"/>
      <c r="CH66" s="55"/>
      <c r="CI66" s="104"/>
      <c r="CJ66" s="104"/>
      <c r="CK66" s="104"/>
    </row>
    <row r="67" spans="17:89">
      <c r="Q67" s="121"/>
      <c r="R67" s="104"/>
      <c r="S67" s="104"/>
      <c r="T67" s="55"/>
      <c r="U67" s="55"/>
      <c r="V67" s="122"/>
      <c r="W67" s="55"/>
      <c r="X67" s="122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104"/>
      <c r="BA67" s="104"/>
      <c r="BB67" s="104"/>
      <c r="BC67" s="97"/>
      <c r="BD67" s="104"/>
      <c r="BE67" s="104"/>
      <c r="BF67" s="104"/>
      <c r="BG67" s="104"/>
      <c r="BH67" s="104"/>
      <c r="BI67" s="104"/>
      <c r="BJ67" s="104"/>
      <c r="BK67" s="104"/>
      <c r="BL67" s="104"/>
      <c r="BM67" s="114"/>
      <c r="BN67" s="114"/>
      <c r="BO67" s="114"/>
      <c r="BP67" s="104"/>
      <c r="BQ67" s="104"/>
      <c r="BR67" s="55"/>
      <c r="BS67" s="55"/>
      <c r="BT67" s="55"/>
      <c r="BU67" s="55"/>
      <c r="BV67" s="114"/>
      <c r="BW67" s="114"/>
      <c r="BX67" s="114"/>
      <c r="BY67" s="114"/>
      <c r="BZ67" s="114"/>
      <c r="CA67" s="114"/>
      <c r="CB67" s="114"/>
      <c r="CC67" s="114"/>
      <c r="CD67" s="114"/>
      <c r="CE67" s="104"/>
      <c r="CF67" s="104"/>
      <c r="CG67" s="104"/>
      <c r="CH67" s="55"/>
      <c r="CI67" s="104"/>
      <c r="CJ67" s="104"/>
      <c r="CK67" s="104"/>
    </row>
    <row r="68" spans="17:89">
      <c r="Q68" s="121"/>
      <c r="R68" s="104"/>
      <c r="S68" s="104"/>
      <c r="T68" s="55"/>
      <c r="U68" s="55"/>
      <c r="V68" s="122"/>
      <c r="W68" s="55"/>
      <c r="X68" s="122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104"/>
      <c r="BA68" s="104"/>
      <c r="BB68" s="104"/>
      <c r="BC68" s="97"/>
      <c r="BD68" s="104"/>
      <c r="BE68" s="104"/>
      <c r="BF68" s="104"/>
      <c r="BG68" s="104"/>
      <c r="BH68" s="104"/>
      <c r="BI68" s="104"/>
      <c r="BJ68" s="104"/>
      <c r="BK68" s="104"/>
      <c r="BL68" s="104"/>
      <c r="BM68" s="114"/>
      <c r="BN68" s="114"/>
      <c r="BO68" s="114"/>
      <c r="BP68" s="104"/>
      <c r="BQ68" s="104"/>
      <c r="BR68" s="55"/>
      <c r="BS68" s="55"/>
      <c r="BT68" s="55"/>
      <c r="BU68" s="55"/>
      <c r="BV68" s="114"/>
      <c r="BW68" s="114"/>
      <c r="BX68" s="114"/>
      <c r="BY68" s="114"/>
      <c r="BZ68" s="114"/>
      <c r="CA68" s="114"/>
      <c r="CB68" s="114"/>
      <c r="CC68" s="114"/>
      <c r="CD68" s="114"/>
      <c r="CE68" s="104"/>
      <c r="CF68" s="104"/>
      <c r="CG68" s="104"/>
      <c r="CH68" s="55"/>
      <c r="CI68" s="104"/>
      <c r="CJ68" s="104"/>
      <c r="CK68" s="104"/>
    </row>
    <row r="69" spans="17:89">
      <c r="Q69" s="121"/>
      <c r="R69" s="104"/>
      <c r="S69" s="104"/>
      <c r="T69" s="55"/>
      <c r="U69" s="55"/>
      <c r="V69" s="122"/>
      <c r="W69" s="55"/>
      <c r="X69" s="122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104"/>
      <c r="BA69" s="104"/>
      <c r="BB69" s="104"/>
      <c r="BC69" s="97"/>
      <c r="BD69" s="104"/>
      <c r="BE69" s="104"/>
      <c r="BF69" s="104"/>
      <c r="BG69" s="104"/>
      <c r="BH69" s="104"/>
      <c r="BI69" s="104"/>
      <c r="BJ69" s="104"/>
      <c r="BK69" s="104"/>
      <c r="BL69" s="104"/>
      <c r="BM69" s="114"/>
      <c r="BN69" s="114"/>
      <c r="BO69" s="114"/>
      <c r="BP69" s="104"/>
      <c r="BQ69" s="104"/>
      <c r="BR69" s="55"/>
      <c r="BS69" s="55"/>
      <c r="BT69" s="55"/>
      <c r="BU69" s="55"/>
      <c r="BV69" s="114"/>
      <c r="BW69" s="114"/>
      <c r="BX69" s="114"/>
      <c r="BY69" s="114"/>
      <c r="BZ69" s="114"/>
      <c r="CA69" s="114"/>
      <c r="CB69" s="114"/>
      <c r="CC69" s="114"/>
      <c r="CD69" s="114"/>
      <c r="CE69" s="104"/>
      <c r="CF69" s="104"/>
      <c r="CG69" s="104"/>
      <c r="CH69" s="55"/>
      <c r="CI69" s="104"/>
      <c r="CJ69" s="104"/>
      <c r="CK69" s="104"/>
    </row>
    <row r="70" spans="17:89">
      <c r="Q70" s="121"/>
      <c r="R70" s="104"/>
      <c r="S70" s="104"/>
      <c r="T70" s="55"/>
      <c r="U70" s="55"/>
      <c r="V70" s="122"/>
      <c r="W70" s="55"/>
      <c r="X70" s="122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104"/>
      <c r="BA70" s="104"/>
      <c r="BB70" s="104"/>
      <c r="BC70" s="97"/>
      <c r="BD70" s="104"/>
      <c r="BE70" s="104"/>
      <c r="BF70" s="104"/>
      <c r="BG70" s="104"/>
      <c r="BH70" s="104"/>
      <c r="BI70" s="104"/>
      <c r="BJ70" s="104"/>
      <c r="BK70" s="104"/>
      <c r="BL70" s="104"/>
      <c r="BM70" s="114"/>
      <c r="BN70" s="114"/>
      <c r="BO70" s="114"/>
      <c r="BP70" s="104"/>
      <c r="BQ70" s="104"/>
      <c r="BR70" s="55"/>
      <c r="BS70" s="55"/>
      <c r="BT70" s="55"/>
      <c r="BU70" s="55"/>
      <c r="BV70" s="114"/>
      <c r="BW70" s="114"/>
      <c r="BX70" s="114"/>
      <c r="BY70" s="114"/>
      <c r="BZ70" s="114"/>
      <c r="CA70" s="114"/>
      <c r="CB70" s="114"/>
      <c r="CC70" s="114"/>
      <c r="CD70" s="114"/>
      <c r="CE70" s="104"/>
      <c r="CF70" s="104"/>
      <c r="CG70" s="104"/>
      <c r="CH70" s="55"/>
      <c r="CI70" s="104"/>
      <c r="CJ70" s="104"/>
      <c r="CK70" s="104"/>
    </row>
    <row r="71" spans="17:89">
      <c r="Q71" s="121"/>
      <c r="R71" s="104"/>
      <c r="S71" s="104"/>
      <c r="T71" s="55"/>
      <c r="U71" s="55"/>
      <c r="V71" s="122"/>
      <c r="W71" s="55"/>
      <c r="X71" s="122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104"/>
      <c r="BA71" s="104"/>
      <c r="BB71" s="104"/>
      <c r="BC71" s="97"/>
      <c r="BD71" s="104"/>
      <c r="BE71" s="104"/>
      <c r="BF71" s="104"/>
      <c r="BG71" s="104"/>
      <c r="BH71" s="104"/>
      <c r="BI71" s="104"/>
      <c r="BJ71" s="104"/>
      <c r="BK71" s="104"/>
      <c r="BL71" s="104"/>
      <c r="BM71" s="114"/>
      <c r="BN71" s="114"/>
      <c r="BO71" s="114"/>
      <c r="BP71" s="104"/>
      <c r="BQ71" s="104"/>
      <c r="BR71" s="55"/>
      <c r="BS71" s="55"/>
      <c r="BT71" s="55"/>
      <c r="BU71" s="55"/>
      <c r="BV71" s="114"/>
      <c r="BW71" s="114"/>
      <c r="BX71" s="114"/>
      <c r="BY71" s="114"/>
      <c r="BZ71" s="114"/>
      <c r="CA71" s="114"/>
      <c r="CB71" s="114"/>
      <c r="CC71" s="114"/>
      <c r="CD71" s="114"/>
      <c r="CE71" s="104"/>
      <c r="CF71" s="104"/>
      <c r="CG71" s="104"/>
      <c r="CH71" s="55"/>
      <c r="CI71" s="104"/>
      <c r="CJ71" s="104"/>
      <c r="CK71" s="104"/>
    </row>
    <row r="72" spans="17:89">
      <c r="Q72" s="121"/>
      <c r="R72" s="104"/>
      <c r="S72" s="104"/>
      <c r="T72" s="55"/>
      <c r="U72" s="55"/>
      <c r="V72" s="122"/>
      <c r="W72" s="55"/>
      <c r="X72" s="122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J72" s="55"/>
      <c r="AK72" s="55"/>
      <c r="AL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104"/>
      <c r="BA72" s="104"/>
      <c r="BB72" s="104"/>
      <c r="BC72" s="97"/>
      <c r="BD72" s="104"/>
      <c r="BE72" s="104"/>
      <c r="BF72" s="104"/>
      <c r="BG72" s="104"/>
      <c r="BH72" s="104"/>
      <c r="BI72" s="104"/>
      <c r="BJ72" s="104"/>
      <c r="BK72" s="104"/>
      <c r="BL72" s="104"/>
      <c r="BM72" s="114"/>
      <c r="BN72" s="114"/>
      <c r="BO72" s="114"/>
      <c r="BP72" s="104"/>
      <c r="BQ72" s="104"/>
      <c r="BR72" s="55"/>
      <c r="BS72" s="55"/>
      <c r="BT72" s="55"/>
      <c r="BU72" s="55"/>
      <c r="BV72" s="114"/>
      <c r="BW72" s="114"/>
      <c r="BX72" s="114"/>
      <c r="BY72" s="114"/>
      <c r="BZ72" s="114"/>
      <c r="CA72" s="114"/>
      <c r="CB72" s="114"/>
      <c r="CC72" s="114"/>
      <c r="CD72" s="114"/>
      <c r="CE72" s="104"/>
      <c r="CF72" s="104"/>
      <c r="CG72" s="104"/>
      <c r="CH72" s="55"/>
      <c r="CI72" s="104"/>
      <c r="CJ72" s="104"/>
      <c r="CK72" s="104"/>
    </row>
    <row r="73" spans="17:89">
      <c r="Q73" s="22"/>
      <c r="AQ73" s="55"/>
      <c r="AR73" s="55"/>
      <c r="AS73" s="55"/>
      <c r="AT73" s="55"/>
    </row>
    <row r="74" spans="17:89">
      <c r="Q74" s="22"/>
      <c r="AQ74" s="55"/>
      <c r="AR74" s="55"/>
      <c r="AS74" s="55"/>
      <c r="AT74" s="55"/>
    </row>
    <row r="75" spans="17:89">
      <c r="Q75" s="22"/>
      <c r="AQ75" s="55"/>
      <c r="AR75" s="55"/>
      <c r="AS75" s="55"/>
      <c r="AT75" s="55"/>
    </row>
    <row r="76" spans="17:89">
      <c r="Q76" s="22"/>
      <c r="AQ76" s="55"/>
      <c r="AR76" s="55"/>
      <c r="AS76" s="55"/>
      <c r="AT76" s="55"/>
    </row>
    <row r="77" spans="17:89">
      <c r="Q77" s="22"/>
      <c r="AQ77" s="55"/>
      <c r="AR77" s="55"/>
      <c r="AS77" s="55"/>
      <c r="AT77" s="55"/>
    </row>
    <row r="78" spans="17:89">
      <c r="Q78" s="22"/>
    </row>
    <row r="79" spans="17:89">
      <c r="Q79" s="22"/>
    </row>
    <row r="80" spans="17:89">
      <c r="Q80" s="22"/>
    </row>
    <row r="81" spans="17:96">
      <c r="Q81" s="22"/>
    </row>
    <row r="82" spans="17:96">
      <c r="Q82" s="22"/>
    </row>
    <row r="83" spans="17:96">
      <c r="Q83" s="22"/>
    </row>
    <row r="84" spans="17:96">
      <c r="Q84" s="22"/>
    </row>
    <row r="85" spans="17:96">
      <c r="Q85" s="22"/>
      <c r="CG85" s="53"/>
      <c r="CH85" s="53"/>
      <c r="CI85" s="53"/>
      <c r="CJ85" s="53"/>
      <c r="CK85" s="53"/>
      <c r="CL85" s="53"/>
      <c r="CM85" s="71"/>
      <c r="CN85" s="53"/>
      <c r="CO85" s="53"/>
      <c r="CP85" s="53"/>
      <c r="CQ85" s="125"/>
      <c r="CR85" s="53"/>
    </row>
    <row r="86" spans="17:96">
      <c r="Q86" s="22"/>
      <c r="CG86" s="53"/>
      <c r="CH86" s="53"/>
      <c r="CI86" s="53"/>
      <c r="CJ86" s="53"/>
      <c r="CK86" s="53"/>
      <c r="CL86" s="53"/>
      <c r="CM86" s="71"/>
      <c r="CN86" s="53"/>
      <c r="CO86" s="81"/>
      <c r="CP86" s="81"/>
      <c r="CQ86" s="53"/>
      <c r="CR86" s="53"/>
    </row>
    <row r="87" spans="17:96">
      <c r="Q87" s="22"/>
      <c r="CG87" s="53"/>
      <c r="CH87" s="53"/>
      <c r="CI87" s="53"/>
      <c r="CJ87" s="53"/>
      <c r="CK87" s="53"/>
      <c r="CL87" s="53"/>
      <c r="CM87" s="71"/>
      <c r="CN87" s="53"/>
      <c r="CO87" s="81"/>
      <c r="CP87" s="81"/>
      <c r="CQ87" s="81"/>
      <c r="CR87" s="81"/>
    </row>
    <row r="88" spans="17:96">
      <c r="Q88" s="22"/>
      <c r="CG88" s="91"/>
      <c r="CH88" s="91"/>
      <c r="CI88" s="91"/>
      <c r="CJ88" s="91"/>
      <c r="CK88" s="91"/>
      <c r="CL88" s="91"/>
      <c r="CM88" s="71"/>
      <c r="CN88" s="91"/>
      <c r="CO88" s="126"/>
      <c r="CP88" s="126"/>
      <c r="CQ88" s="91"/>
      <c r="CR88" s="91"/>
    </row>
    <row r="89" spans="17:96">
      <c r="Q89" s="22"/>
      <c r="CG89" s="104"/>
      <c r="CH89" s="104"/>
      <c r="CI89" s="104"/>
      <c r="CJ89" s="104"/>
      <c r="CK89" s="104"/>
      <c r="CL89" s="104"/>
      <c r="CM89" s="117"/>
      <c r="CN89" s="104"/>
      <c r="CO89" s="104"/>
      <c r="CP89" s="104"/>
      <c r="CQ89" s="104"/>
      <c r="CR89" s="104"/>
    </row>
    <row r="90" spans="17:96">
      <c r="Q90" s="22"/>
    </row>
    <row r="91" spans="17:96">
      <c r="Q91" s="22"/>
    </row>
    <row r="92" spans="17:96">
      <c r="Q92" s="22"/>
    </row>
    <row r="93" spans="17:96">
      <c r="Q93" s="22"/>
    </row>
    <row r="94" spans="17:96">
      <c r="Q94" s="22"/>
    </row>
    <row r="95" spans="17:96">
      <c r="Q95" s="22"/>
    </row>
    <row r="96" spans="17:96">
      <c r="Q96" s="22"/>
    </row>
    <row r="97" spans="17:17">
      <c r="Q97" s="22"/>
    </row>
    <row r="98" spans="17:17">
      <c r="Q98" s="22"/>
    </row>
    <row r="99" spans="17:17">
      <c r="Q99" s="22"/>
    </row>
    <row r="100" spans="17:17">
      <c r="Q100" s="22"/>
    </row>
    <row r="101" spans="17:17">
      <c r="Q101" s="22"/>
    </row>
    <row r="102" spans="17:17">
      <c r="Q102" s="22"/>
    </row>
    <row r="103" spans="17:17">
      <c r="Q103" s="22"/>
    </row>
    <row r="104" spans="17:17">
      <c r="Q104" s="22"/>
    </row>
    <row r="105" spans="17:17">
      <c r="Q105" s="22"/>
    </row>
    <row r="106" spans="17:17">
      <c r="Q106" s="22"/>
    </row>
    <row r="107" spans="17:17">
      <c r="Q107" s="22"/>
    </row>
    <row r="108" spans="17:17">
      <c r="Q108" s="22"/>
    </row>
    <row r="109" spans="17:17">
      <c r="Q109" s="22"/>
    </row>
    <row r="110" spans="17:17">
      <c r="Q110" s="22"/>
    </row>
    <row r="111" spans="17:17">
      <c r="Q111" s="22"/>
    </row>
    <row r="112" spans="17:17">
      <c r="Q112" s="22"/>
    </row>
    <row r="113" spans="17:17">
      <c r="Q113" s="22"/>
    </row>
    <row r="114" spans="17:17">
      <c r="Q114" s="22"/>
    </row>
    <row r="115" spans="17:17">
      <c r="Q115" s="22"/>
    </row>
    <row r="116" spans="17:17">
      <c r="Q116" s="22"/>
    </row>
    <row r="117" spans="17:17">
      <c r="Q117" s="22"/>
    </row>
    <row r="118" spans="17:17">
      <c r="Q118" s="22"/>
    </row>
    <row r="119" spans="17:17">
      <c r="Q119" s="22"/>
    </row>
    <row r="120" spans="17:17">
      <c r="Q120" s="22"/>
    </row>
    <row r="121" spans="17:17">
      <c r="Q121" s="22"/>
    </row>
    <row r="122" spans="17:17">
      <c r="Q122" s="22"/>
    </row>
    <row r="123" spans="17:17">
      <c r="Q123" s="22"/>
    </row>
    <row r="124" spans="17:17">
      <c r="Q124" s="22"/>
    </row>
    <row r="125" spans="17:17">
      <c r="Q125" s="22"/>
    </row>
    <row r="126" spans="17:17">
      <c r="Q126" s="22"/>
    </row>
    <row r="127" spans="17:17">
      <c r="Q127" s="22"/>
    </row>
    <row r="128" spans="17:17">
      <c r="Q128" s="22"/>
    </row>
    <row r="129" spans="17:17">
      <c r="Q129" s="22"/>
    </row>
    <row r="130" spans="17:17">
      <c r="Q130" s="22"/>
    </row>
    <row r="131" spans="17:17">
      <c r="Q131" s="22"/>
    </row>
    <row r="132" spans="17:17">
      <c r="Q132" s="22"/>
    </row>
    <row r="133" spans="17:17">
      <c r="Q133" s="22"/>
    </row>
    <row r="134" spans="17:17">
      <c r="Q134" s="22"/>
    </row>
    <row r="135" spans="17:17">
      <c r="Q135" s="22"/>
    </row>
    <row r="136" spans="17:17">
      <c r="Q136" s="22"/>
    </row>
    <row r="137" spans="17:17">
      <c r="Q137" s="22"/>
    </row>
    <row r="138" spans="17:17">
      <c r="Q138" s="22"/>
    </row>
    <row r="139" spans="17:17">
      <c r="Q139" s="22"/>
    </row>
    <row r="140" spans="17:17">
      <c r="Q140" s="22"/>
    </row>
    <row r="141" spans="17:17">
      <c r="Q141" s="22"/>
    </row>
    <row r="142" spans="17:17">
      <c r="Q142" s="22"/>
    </row>
    <row r="143" spans="17:17">
      <c r="Q143" s="22"/>
    </row>
    <row r="144" spans="17:17">
      <c r="Q144" s="22"/>
    </row>
    <row r="145" spans="17:17">
      <c r="Q145" s="22"/>
    </row>
    <row r="146" spans="17:17">
      <c r="Q146" s="22"/>
    </row>
    <row r="147" spans="17:17">
      <c r="Q147" s="22"/>
    </row>
    <row r="148" spans="17:17">
      <c r="Q148" s="22"/>
    </row>
    <row r="149" spans="17:17">
      <c r="Q149" s="22"/>
    </row>
    <row r="150" spans="17:17">
      <c r="Q150" s="22"/>
    </row>
    <row r="151" spans="17:17">
      <c r="Q151" s="22"/>
    </row>
    <row r="152" spans="17:17">
      <c r="Q152" s="22"/>
    </row>
    <row r="153" spans="17:17">
      <c r="Q153" s="22"/>
    </row>
    <row r="154" spans="17:17">
      <c r="Q154" s="22"/>
    </row>
    <row r="155" spans="17:17">
      <c r="Q155" s="22"/>
    </row>
    <row r="156" spans="17:17">
      <c r="Q156" s="22"/>
    </row>
    <row r="157" spans="17:17">
      <c r="Q157" s="22"/>
    </row>
    <row r="158" spans="17:17">
      <c r="Q158" s="22"/>
    </row>
    <row r="159" spans="17:17">
      <c r="Q159" s="22"/>
    </row>
    <row r="160" spans="17:17">
      <c r="Q160" s="22"/>
    </row>
    <row r="161" spans="17:17">
      <c r="Q161" s="22"/>
    </row>
    <row r="162" spans="17:17">
      <c r="Q162" s="22"/>
    </row>
    <row r="163" spans="17:17">
      <c r="Q163" s="22"/>
    </row>
    <row r="164" spans="17:17">
      <c r="Q164" s="22"/>
    </row>
    <row r="165" spans="17:17">
      <c r="Q165" s="22"/>
    </row>
    <row r="166" spans="17:17">
      <c r="Q166" s="22"/>
    </row>
    <row r="167" spans="17:17">
      <c r="Q167" s="22"/>
    </row>
    <row r="168" spans="17:17">
      <c r="Q168" s="22"/>
    </row>
    <row r="169" spans="17:17">
      <c r="Q169" s="22"/>
    </row>
    <row r="170" spans="17:17">
      <c r="Q170" s="22"/>
    </row>
    <row r="171" spans="17:17">
      <c r="Q171" s="22"/>
    </row>
    <row r="172" spans="17:17">
      <c r="Q172" s="22"/>
    </row>
    <row r="173" spans="17:17">
      <c r="Q173" s="22"/>
    </row>
    <row r="174" spans="17:17">
      <c r="Q174" s="22"/>
    </row>
    <row r="175" spans="17:17">
      <c r="Q175" s="22"/>
    </row>
    <row r="176" spans="17:17">
      <c r="Q176" s="22"/>
    </row>
  </sheetData>
  <printOptions gridLines="1"/>
  <pageMargins left="0" right="0" top="1" bottom="1" header="0.5" footer="0.5"/>
  <pageSetup paperSize="5" scale="45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A1:DB90"/>
  <sheetViews>
    <sheetView zoomScale="85" workbookViewId="0">
      <pane xSplit="1" ySplit="9" topLeftCell="B17" activePane="bottomRight" state="frozen"/>
      <selection pane="topRight" activeCell="B1" sqref="B1"/>
      <selection pane="bottomLeft" activeCell="A10" sqref="A10"/>
      <selection pane="bottomRight" activeCell="A38" sqref="A38:A39"/>
    </sheetView>
  </sheetViews>
  <sheetFormatPr defaultColWidth="13.7109375" defaultRowHeight="12.75"/>
  <cols>
    <col min="1" max="1" width="28.28515625" style="22" customWidth="1"/>
    <col min="2" max="2" width="10.5703125" style="46" hidden="1" customWidth="1"/>
    <col min="3" max="6" width="10.7109375" style="46" hidden="1" customWidth="1"/>
    <col min="7" max="8" width="10.7109375" hidden="1" customWidth="1"/>
    <col min="9" max="9" width="10.7109375" style="36" hidden="1" customWidth="1"/>
    <col min="10" max="10" width="11.85546875" style="26" hidden="1" customWidth="1"/>
    <col min="11" max="17" width="15.140625" style="26" hidden="1" customWidth="1"/>
    <col min="18" max="18" width="15.140625" style="218" hidden="1" customWidth="1"/>
    <col min="19" max="19" width="15.140625" style="26" hidden="1" customWidth="1"/>
    <col min="20" max="20" width="15.140625" style="152" hidden="1" customWidth="1"/>
    <col min="21" max="25" width="15.140625" style="26" hidden="1" customWidth="1"/>
    <col min="26" max="26" width="15.140625" style="218" hidden="1" customWidth="1"/>
    <col min="27" max="30" width="15.140625" style="26" hidden="1" customWidth="1"/>
    <col min="31" max="31" width="15.28515625" style="26" hidden="1" customWidth="1"/>
    <col min="32" max="32" width="10.5703125" style="218" customWidth="1"/>
    <col min="33" max="37" width="11.85546875" style="26" customWidth="1"/>
    <col min="38" max="38" width="11.85546875" style="218" customWidth="1"/>
    <col min="39" max="39" width="10.5703125" style="26" customWidth="1"/>
    <col min="40" max="40" width="11.85546875" style="26" bestFit="1" customWidth="1"/>
    <col min="41" max="42" width="11.85546875" style="26" customWidth="1"/>
    <col min="43" max="43" width="10.5703125" style="26" customWidth="1"/>
    <col min="44" max="44" width="10.5703125" style="218" customWidth="1"/>
    <col min="45" max="53" width="10.5703125" style="26" customWidth="1"/>
    <col min="54" max="54" width="10.5703125" style="218" customWidth="1"/>
    <col min="55" max="55" width="10.5703125" style="26" customWidth="1"/>
    <col min="56" max="56" width="10.7109375" style="26" customWidth="1"/>
    <col min="57" max="57" width="12.28515625" style="26" customWidth="1"/>
    <col min="58" max="58" width="10.7109375" style="26" customWidth="1"/>
    <col min="59" max="59" width="12.28515625" style="26" customWidth="1"/>
    <col min="60" max="61" width="10.5703125" style="26" customWidth="1"/>
    <col min="62" max="63" width="13.28515625" style="26" customWidth="1"/>
    <col min="64" max="64" width="9.42578125" style="26" customWidth="1"/>
    <col min="65" max="65" width="12.140625" style="26" customWidth="1"/>
    <col min="66" max="66" width="10.5703125" style="152" customWidth="1"/>
    <col min="67" max="68" width="12.140625" customWidth="1"/>
    <col min="69" max="69" width="10.5703125" customWidth="1"/>
    <col min="70" max="70" width="14.5703125" customWidth="1"/>
    <col min="71" max="74" width="10.5703125" customWidth="1"/>
    <col min="75" max="75" width="9.28515625" style="29" customWidth="1"/>
    <col min="76" max="76" width="11.7109375" style="29" customWidth="1"/>
    <col min="77" max="77" width="10.140625" style="29" customWidth="1"/>
    <col min="78" max="78" width="11.28515625" customWidth="1"/>
    <col min="79" max="79" width="12.5703125" customWidth="1"/>
    <col min="80" max="81" width="10.5703125" style="26" customWidth="1"/>
    <col min="82" max="82" width="14" style="26" customWidth="1"/>
    <col min="83" max="83" width="10.5703125" style="26" customWidth="1"/>
    <col min="84" max="87" width="10.5703125" style="29" customWidth="1"/>
    <col min="88" max="88" width="13.28515625" style="29" customWidth="1"/>
    <col min="89" max="89" width="10.5703125" style="29" customWidth="1"/>
    <col min="90" max="90" width="9.85546875" style="29" customWidth="1"/>
    <col min="91" max="92" width="10.5703125" style="29" customWidth="1"/>
    <col min="93" max="93" width="12.28515625" customWidth="1"/>
    <col min="94" max="94" width="10.5703125" customWidth="1"/>
    <col min="95" max="95" width="11.7109375" customWidth="1"/>
    <col min="96" max="96" width="13.7109375" style="26" customWidth="1"/>
    <col min="97" max="100" width="12.7109375" customWidth="1"/>
    <col min="101" max="101" width="12.7109375" style="38" customWidth="1"/>
    <col min="102" max="102" width="12.7109375" customWidth="1"/>
    <col min="103" max="104" width="13.7109375" customWidth="1"/>
    <col min="105" max="105" width="13.7109375" style="32" customWidth="1"/>
  </cols>
  <sheetData>
    <row r="1" spans="1:106" ht="15" customHeight="1">
      <c r="A1" s="20"/>
      <c r="B1" s="21"/>
      <c r="C1" s="21"/>
      <c r="D1" s="21"/>
      <c r="E1" s="21"/>
      <c r="F1" s="21"/>
      <c r="BQ1">
        <v>0.96394000000000002</v>
      </c>
      <c r="CA1" s="30"/>
      <c r="CB1" s="30"/>
      <c r="CC1" s="30"/>
      <c r="CD1" s="30"/>
      <c r="CE1" s="30"/>
      <c r="CF1" s="29" t="s">
        <v>0</v>
      </c>
      <c r="CH1" s="29" t="s">
        <v>0</v>
      </c>
      <c r="CI1" s="29" t="s">
        <v>0</v>
      </c>
      <c r="CJ1" s="29" t="s">
        <v>0</v>
      </c>
      <c r="CK1" s="29" t="s">
        <v>0</v>
      </c>
      <c r="CN1" s="29" t="s">
        <v>0</v>
      </c>
      <c r="CS1" t="s">
        <v>0</v>
      </c>
      <c r="CT1" t="s">
        <v>0</v>
      </c>
      <c r="CV1" t="s">
        <v>0</v>
      </c>
      <c r="CW1" s="31" t="s">
        <v>0</v>
      </c>
    </row>
    <row r="2" spans="1:106" ht="15" customHeight="1">
      <c r="A2" s="33">
        <v>36770</v>
      </c>
      <c r="B2" s="34"/>
      <c r="C2" s="34"/>
      <c r="D2" s="34"/>
      <c r="E2" s="34"/>
      <c r="F2" s="34"/>
      <c r="I2" s="25"/>
      <c r="J2" s="24"/>
      <c r="K2" s="24"/>
      <c r="L2" s="24"/>
      <c r="M2" s="24"/>
      <c r="N2" s="24"/>
      <c r="O2" s="24"/>
      <c r="P2" s="24"/>
      <c r="Q2" s="24"/>
      <c r="R2" s="219"/>
      <c r="S2" s="24"/>
      <c r="T2" s="153"/>
      <c r="U2" s="24"/>
      <c r="V2" s="24"/>
      <c r="W2" s="24"/>
      <c r="X2" s="24"/>
      <c r="Y2" s="24"/>
      <c r="Z2" s="219"/>
      <c r="AA2" s="24"/>
      <c r="AB2" s="24"/>
      <c r="AC2" s="24"/>
      <c r="AD2" s="24"/>
      <c r="AE2" s="24"/>
      <c r="AF2" s="219"/>
      <c r="AG2" s="24"/>
      <c r="AH2" s="24"/>
      <c r="AI2" s="24"/>
      <c r="AJ2" s="24"/>
      <c r="AK2" s="24"/>
      <c r="AL2" s="219"/>
      <c r="AM2" s="24"/>
      <c r="AN2" s="24"/>
      <c r="AO2" s="24"/>
      <c r="AP2" s="24"/>
      <c r="AQ2" s="24"/>
      <c r="AR2" s="219"/>
      <c r="AS2" s="24"/>
      <c r="AT2" s="24"/>
      <c r="AU2" s="24"/>
      <c r="AV2" s="24"/>
      <c r="AW2" s="24"/>
      <c r="AX2" s="24"/>
      <c r="AY2" s="24"/>
      <c r="AZ2" s="24"/>
      <c r="BA2" s="24"/>
      <c r="BB2" s="219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153"/>
      <c r="BO2" s="27"/>
      <c r="BP2" s="27"/>
      <c r="BW2" s="29" t="s">
        <v>0</v>
      </c>
      <c r="BX2" s="29" t="s">
        <v>0</v>
      </c>
      <c r="BY2" s="29" t="s">
        <v>0</v>
      </c>
      <c r="BZ2" t="s">
        <v>0</v>
      </c>
      <c r="CA2" s="30"/>
      <c r="CB2" s="30"/>
      <c r="CC2" s="30"/>
      <c r="CD2" s="30"/>
      <c r="CE2" s="30"/>
      <c r="CO2" t="s">
        <v>0</v>
      </c>
      <c r="CR2" s="37" t="s">
        <v>1</v>
      </c>
      <c r="DA2"/>
    </row>
    <row r="3" spans="1:106" ht="15" customHeight="1" thickBot="1">
      <c r="A3" s="39"/>
      <c r="B3" s="35"/>
      <c r="C3" s="35"/>
      <c r="D3" s="34"/>
      <c r="E3" s="34"/>
      <c r="F3" s="34"/>
      <c r="G3" s="41"/>
      <c r="H3" s="42"/>
      <c r="J3" s="35"/>
      <c r="K3" s="35" t="s">
        <v>182</v>
      </c>
      <c r="L3" s="257" t="s">
        <v>187</v>
      </c>
      <c r="M3" s="258"/>
      <c r="N3" s="286" t="s">
        <v>185</v>
      </c>
      <c r="O3" s="258"/>
      <c r="P3" s="258"/>
      <c r="Q3" s="258"/>
      <c r="R3" s="274"/>
      <c r="S3" s="258"/>
      <c r="T3" s="264" t="s">
        <v>179</v>
      </c>
      <c r="U3" s="258"/>
      <c r="V3" s="258"/>
      <c r="W3" s="258"/>
      <c r="X3" s="258"/>
      <c r="Y3" s="258"/>
      <c r="Z3" s="248" t="s">
        <v>183</v>
      </c>
      <c r="AA3" s="213"/>
      <c r="AB3" s="280" t="s">
        <v>185</v>
      </c>
      <c r="AC3" s="213"/>
      <c r="AD3" s="213"/>
      <c r="AE3" s="213"/>
      <c r="AF3" s="220" t="s">
        <v>171</v>
      </c>
      <c r="AG3" s="171"/>
      <c r="AH3" s="171"/>
      <c r="AI3" s="171"/>
      <c r="AJ3" s="171"/>
      <c r="AK3" s="171"/>
      <c r="AL3" s="230" t="s">
        <v>169</v>
      </c>
      <c r="AM3" s="168"/>
      <c r="AN3" s="172"/>
      <c r="AO3" s="172"/>
      <c r="AP3" s="172"/>
      <c r="AQ3" s="172"/>
      <c r="AR3" s="238"/>
      <c r="AS3" s="173"/>
      <c r="AT3" s="173"/>
      <c r="AU3" s="173"/>
      <c r="AV3" s="206" t="s">
        <v>160</v>
      </c>
      <c r="AW3" s="151"/>
      <c r="AX3" s="173"/>
      <c r="AY3" s="173"/>
      <c r="AZ3" s="173"/>
      <c r="BA3" s="173"/>
      <c r="BB3" s="243"/>
      <c r="BC3" s="166"/>
      <c r="BD3" s="166"/>
      <c r="BE3" s="166"/>
      <c r="BF3" s="35"/>
      <c r="BG3" s="35"/>
      <c r="BH3" s="35"/>
      <c r="BI3" s="35"/>
      <c r="BJ3" s="35"/>
      <c r="BK3" s="35"/>
      <c r="BL3" s="35"/>
      <c r="BM3" s="35"/>
      <c r="BN3" s="154"/>
      <c r="BP3">
        <f>5706+6888</f>
        <v>12594</v>
      </c>
      <c r="BQ3" s="42" t="s">
        <v>2</v>
      </c>
      <c r="CW3" s="45" t="s">
        <v>3</v>
      </c>
      <c r="DA3"/>
    </row>
    <row r="4" spans="1:106" ht="15" customHeight="1" thickBot="1">
      <c r="B4" s="35"/>
      <c r="C4" s="35"/>
      <c r="G4" s="42"/>
      <c r="H4" s="42"/>
      <c r="J4" s="35"/>
      <c r="K4" s="35"/>
      <c r="L4" s="262" t="s">
        <v>186</v>
      </c>
      <c r="M4" s="35"/>
      <c r="N4" s="35"/>
      <c r="O4" s="285"/>
      <c r="P4" s="35"/>
      <c r="Q4" s="35"/>
      <c r="R4" s="222"/>
      <c r="S4" s="35"/>
      <c r="T4" s="265" t="s">
        <v>178</v>
      </c>
      <c r="U4" s="35"/>
      <c r="V4" s="35"/>
      <c r="W4" s="35"/>
      <c r="X4" s="35"/>
      <c r="Y4" s="35"/>
      <c r="Z4" s="221" t="s">
        <v>184</v>
      </c>
      <c r="AA4" s="35"/>
      <c r="AB4" s="35"/>
      <c r="AC4" s="35"/>
      <c r="AD4" s="35"/>
      <c r="AE4" s="35"/>
      <c r="AF4" s="221" t="s">
        <v>99</v>
      </c>
      <c r="AG4" s="35"/>
      <c r="AH4" s="35"/>
      <c r="AI4" s="35"/>
      <c r="AJ4" s="35"/>
      <c r="AK4" s="35"/>
      <c r="AL4" s="231" t="s">
        <v>170</v>
      </c>
      <c r="AM4" s="181" t="s">
        <v>0</v>
      </c>
      <c r="AN4" s="35"/>
      <c r="AO4" s="35"/>
      <c r="AP4" s="35"/>
      <c r="AQ4" s="47"/>
      <c r="AR4" s="239"/>
      <c r="AS4" s="47"/>
      <c r="AT4" s="47"/>
      <c r="AU4" s="47"/>
      <c r="AV4" s="259" t="s">
        <v>159</v>
      </c>
      <c r="AW4" s="182"/>
      <c r="AX4" s="47"/>
      <c r="AY4" s="35"/>
      <c r="AZ4" s="35"/>
      <c r="BA4" s="35"/>
      <c r="BB4" s="239"/>
      <c r="BC4" s="35"/>
      <c r="BD4" s="47"/>
      <c r="BE4" s="35"/>
      <c r="BF4" s="47"/>
      <c r="BG4" s="35"/>
      <c r="BH4" s="35"/>
      <c r="BI4" s="35"/>
      <c r="BJ4" s="35"/>
      <c r="BK4" s="35"/>
      <c r="BL4" s="35"/>
      <c r="BM4" s="130"/>
      <c r="BN4" s="130"/>
      <c r="BQ4" t="s">
        <v>4</v>
      </c>
      <c r="BS4" s="131" t="s">
        <v>150</v>
      </c>
      <c r="BT4" s="131"/>
      <c r="CB4" s="50" t="s">
        <v>5</v>
      </c>
      <c r="CG4" s="29" t="s">
        <v>6</v>
      </c>
      <c r="CH4" s="29" t="s">
        <v>6</v>
      </c>
      <c r="CI4" s="29" t="s">
        <v>6</v>
      </c>
      <c r="CJ4" s="29" t="s">
        <v>6</v>
      </c>
      <c r="CK4" s="29" t="s">
        <v>6</v>
      </c>
      <c r="CN4" s="29" t="s">
        <v>6</v>
      </c>
      <c r="CW4" s="45" t="s">
        <v>7</v>
      </c>
      <c r="CY4" s="51"/>
    </row>
    <row r="5" spans="1:106" ht="18" customHeight="1" thickBot="1">
      <c r="G5" s="53"/>
      <c r="H5" s="53"/>
      <c r="I5" s="54"/>
      <c r="J5" s="54"/>
      <c r="K5" s="54" t="s">
        <v>144</v>
      </c>
      <c r="L5" s="222"/>
      <c r="M5" s="144" t="s">
        <v>0</v>
      </c>
      <c r="N5" s="169" t="s">
        <v>161</v>
      </c>
      <c r="O5" s="144"/>
      <c r="P5" s="144"/>
      <c r="Q5" s="144"/>
      <c r="R5" s="232"/>
      <c r="S5" s="144"/>
      <c r="T5" s="154"/>
      <c r="U5" s="144" t="s">
        <v>0</v>
      </c>
      <c r="V5" s="169" t="s">
        <v>161</v>
      </c>
      <c r="W5" s="144"/>
      <c r="X5" s="144"/>
      <c r="Y5" s="144"/>
      <c r="Z5" s="222"/>
      <c r="AA5" s="144" t="s">
        <v>0</v>
      </c>
      <c r="AB5" s="169" t="s">
        <v>161</v>
      </c>
      <c r="AC5" s="144"/>
      <c r="AD5" s="144"/>
      <c r="AE5" s="144"/>
      <c r="AF5" s="222"/>
      <c r="AG5" s="144" t="s">
        <v>0</v>
      </c>
      <c r="AH5" s="169" t="s">
        <v>161</v>
      </c>
      <c r="AI5" s="144"/>
      <c r="AJ5" s="144"/>
      <c r="AK5" s="144"/>
      <c r="AL5" s="232"/>
      <c r="AM5" s="35"/>
      <c r="AN5" s="55"/>
      <c r="AO5" s="55" t="s">
        <v>0</v>
      </c>
      <c r="AP5" s="55" t="s">
        <v>161</v>
      </c>
      <c r="AQ5" s="57"/>
      <c r="AR5" s="74"/>
      <c r="AS5" s="57"/>
      <c r="AT5" s="57"/>
      <c r="AU5" s="57"/>
      <c r="AV5" s="211" t="s">
        <v>161</v>
      </c>
      <c r="AX5" s="35"/>
      <c r="BB5" s="244" t="s">
        <v>8</v>
      </c>
      <c r="BC5" s="35"/>
      <c r="BD5" s="35"/>
      <c r="BF5" s="35"/>
      <c r="BH5" s="35"/>
      <c r="BI5" s="35"/>
      <c r="BJ5" s="35" t="s">
        <v>9</v>
      </c>
      <c r="BK5" s="35" t="s">
        <v>9</v>
      </c>
      <c r="BL5" s="35"/>
      <c r="BM5" s="132"/>
      <c r="BN5" s="132"/>
      <c r="BQ5" s="141" t="s">
        <v>147</v>
      </c>
      <c r="BR5" s="57"/>
      <c r="BS5" s="57"/>
      <c r="BT5" s="57"/>
      <c r="BU5" s="57"/>
      <c r="BV5" s="57"/>
      <c r="BW5" s="58" t="s">
        <v>10</v>
      </c>
      <c r="BX5" s="58" t="s">
        <v>11</v>
      </c>
      <c r="BY5" s="58" t="s">
        <v>11</v>
      </c>
      <c r="BZ5" t="s">
        <v>0</v>
      </c>
      <c r="CA5" s="53" t="s">
        <v>12</v>
      </c>
      <c r="CB5" s="59" t="s">
        <v>13</v>
      </c>
      <c r="CC5" s="60"/>
      <c r="CD5" s="60"/>
      <c r="CG5" s="29" t="s">
        <v>14</v>
      </c>
      <c r="CH5" s="58" t="s">
        <v>14</v>
      </c>
      <c r="CI5" s="61" t="s">
        <v>15</v>
      </c>
      <c r="CJ5" s="58" t="s">
        <v>15</v>
      </c>
      <c r="CK5" s="61" t="s">
        <v>15</v>
      </c>
      <c r="CM5" s="61"/>
      <c r="CN5" s="61" t="s">
        <v>15</v>
      </c>
      <c r="CW5" s="45" t="s">
        <v>16</v>
      </c>
    </row>
    <row r="6" spans="1:106" ht="15" customHeight="1" thickBot="1">
      <c r="B6" s="63"/>
      <c r="C6" s="63"/>
      <c r="D6" s="63"/>
      <c r="E6" s="63"/>
      <c r="F6" s="63"/>
      <c r="G6" s="53"/>
      <c r="H6" s="53"/>
      <c r="J6" s="53" t="s">
        <v>17</v>
      </c>
      <c r="K6" s="53" t="s">
        <v>17</v>
      </c>
      <c r="L6" s="223" t="s">
        <v>18</v>
      </c>
      <c r="M6" s="57" t="s">
        <v>19</v>
      </c>
      <c r="N6" s="66" t="s">
        <v>18</v>
      </c>
      <c r="O6" s="57" t="s">
        <v>19</v>
      </c>
      <c r="P6" s="66" t="s">
        <v>18</v>
      </c>
      <c r="Q6" s="57" t="s">
        <v>19</v>
      </c>
      <c r="R6" s="223" t="s">
        <v>18</v>
      </c>
      <c r="S6" s="57" t="s">
        <v>19</v>
      </c>
      <c r="T6" s="87" t="s">
        <v>18</v>
      </c>
      <c r="U6" s="57" t="s">
        <v>19</v>
      </c>
      <c r="V6" s="66" t="s">
        <v>18</v>
      </c>
      <c r="W6" s="57" t="s">
        <v>19</v>
      </c>
      <c r="X6" s="66" t="s">
        <v>18</v>
      </c>
      <c r="Y6" s="57" t="s">
        <v>19</v>
      </c>
      <c r="Z6" s="223" t="s">
        <v>18</v>
      </c>
      <c r="AA6" s="57" t="s">
        <v>19</v>
      </c>
      <c r="AB6" s="66" t="s">
        <v>18</v>
      </c>
      <c r="AC6" s="57" t="s">
        <v>19</v>
      </c>
      <c r="AD6" s="66" t="s">
        <v>18</v>
      </c>
      <c r="AE6" s="57" t="s">
        <v>19</v>
      </c>
      <c r="AF6" s="223" t="s">
        <v>18</v>
      </c>
      <c r="AG6" s="57" t="s">
        <v>19</v>
      </c>
      <c r="AH6" s="66" t="s">
        <v>18</v>
      </c>
      <c r="AI6" s="57" t="s">
        <v>19</v>
      </c>
      <c r="AJ6" s="66" t="s">
        <v>18</v>
      </c>
      <c r="AK6" s="57" t="s">
        <v>19</v>
      </c>
      <c r="AL6" s="223" t="s">
        <v>18</v>
      </c>
      <c r="AM6" s="57" t="s">
        <v>19</v>
      </c>
      <c r="AN6" s="66" t="s">
        <v>18</v>
      </c>
      <c r="AO6" s="57" t="s">
        <v>19</v>
      </c>
      <c r="AP6" s="66" t="s">
        <v>18</v>
      </c>
      <c r="AQ6" s="57" t="s">
        <v>19</v>
      </c>
      <c r="AR6" s="223" t="s">
        <v>18</v>
      </c>
      <c r="AS6" s="57" t="s">
        <v>19</v>
      </c>
      <c r="AT6" s="66" t="s">
        <v>18</v>
      </c>
      <c r="AU6" s="57" t="s">
        <v>19</v>
      </c>
      <c r="AV6" s="66" t="s">
        <v>18</v>
      </c>
      <c r="AW6" s="57" t="s">
        <v>19</v>
      </c>
      <c r="AX6" s="66" t="s">
        <v>18</v>
      </c>
      <c r="AY6" s="57" t="s">
        <v>19</v>
      </c>
      <c r="AZ6" s="57"/>
      <c r="BA6" s="57"/>
      <c r="BB6" s="244" t="s">
        <v>18</v>
      </c>
      <c r="BC6" s="57" t="s">
        <v>19</v>
      </c>
      <c r="BD6" s="66" t="s">
        <v>18</v>
      </c>
      <c r="BE6" s="57" t="s">
        <v>19</v>
      </c>
      <c r="BF6" s="66" t="s">
        <v>18</v>
      </c>
      <c r="BG6" s="65" t="s">
        <v>19</v>
      </c>
      <c r="BH6" s="133" t="s">
        <v>20</v>
      </c>
      <c r="BI6" s="133" t="s">
        <v>21</v>
      </c>
      <c r="BJ6" s="35" t="s">
        <v>22</v>
      </c>
      <c r="BK6" s="35" t="s">
        <v>22</v>
      </c>
      <c r="BM6" s="68" t="s">
        <v>23</v>
      </c>
      <c r="BN6" s="193" t="s">
        <v>19</v>
      </c>
      <c r="BO6" s="53" t="s">
        <v>17</v>
      </c>
      <c r="BP6" s="53" t="s">
        <v>24</v>
      </c>
      <c r="BQ6" s="69" t="s">
        <v>10</v>
      </c>
      <c r="BR6" s="59" t="s">
        <v>25</v>
      </c>
      <c r="BS6" s="59" t="s">
        <v>26</v>
      </c>
      <c r="BT6" s="59" t="s">
        <v>165</v>
      </c>
      <c r="BU6" s="142" t="s">
        <v>26</v>
      </c>
      <c r="BV6" s="59" t="s">
        <v>27</v>
      </c>
      <c r="BW6" s="65" t="s">
        <v>28</v>
      </c>
      <c r="BX6" s="61" t="s">
        <v>29</v>
      </c>
      <c r="BY6" s="58" t="s">
        <v>30</v>
      </c>
      <c r="BZ6" s="53" t="s">
        <v>15</v>
      </c>
      <c r="CA6" s="53" t="s">
        <v>31</v>
      </c>
      <c r="CB6" s="59" t="s">
        <v>32</v>
      </c>
      <c r="CC6" s="70" t="s">
        <v>33</v>
      </c>
      <c r="CD6" s="70" t="s">
        <v>25</v>
      </c>
      <c r="CE6" s="59" t="s">
        <v>13</v>
      </c>
      <c r="CF6" s="65" t="s">
        <v>13</v>
      </c>
      <c r="CG6" s="65" t="s">
        <v>34</v>
      </c>
      <c r="CH6" s="58" t="s">
        <v>34</v>
      </c>
      <c r="CI6" s="61" t="s">
        <v>35</v>
      </c>
      <c r="CJ6" s="58" t="s">
        <v>35</v>
      </c>
      <c r="CK6" s="61" t="s">
        <v>36</v>
      </c>
      <c r="CM6" s="61"/>
      <c r="CN6" s="61" t="s">
        <v>36</v>
      </c>
      <c r="CO6" s="36" t="s">
        <v>37</v>
      </c>
      <c r="CP6" s="53" t="s">
        <v>38</v>
      </c>
      <c r="CQ6" s="32" t="s">
        <v>39</v>
      </c>
      <c r="CR6" s="59" t="s">
        <v>40</v>
      </c>
      <c r="CS6" s="53" t="s">
        <v>41</v>
      </c>
      <c r="CT6" s="53" t="s">
        <v>42</v>
      </c>
      <c r="CU6" s="53" t="s">
        <v>43</v>
      </c>
      <c r="CV6" s="53" t="s">
        <v>44</v>
      </c>
      <c r="CW6" s="71" t="s">
        <v>42</v>
      </c>
      <c r="CX6" s="53" t="s">
        <v>43</v>
      </c>
      <c r="CY6" s="53"/>
      <c r="CZ6" s="53"/>
      <c r="DA6" s="53"/>
      <c r="DB6" s="53"/>
    </row>
    <row r="7" spans="1:106" ht="15" customHeight="1">
      <c r="B7" s="53"/>
      <c r="C7" s="53"/>
      <c r="D7" s="53"/>
      <c r="E7" s="53"/>
      <c r="F7" s="53"/>
      <c r="G7" s="53" t="s">
        <v>45</v>
      </c>
      <c r="H7" s="53" t="s">
        <v>45</v>
      </c>
      <c r="I7" s="76" t="s">
        <v>46</v>
      </c>
      <c r="J7" s="53" t="s">
        <v>47</v>
      </c>
      <c r="K7" s="53" t="s">
        <v>21</v>
      </c>
      <c r="L7" s="249" t="s">
        <v>48</v>
      </c>
      <c r="M7" s="215" t="s">
        <v>49</v>
      </c>
      <c r="N7" s="215" t="s">
        <v>48</v>
      </c>
      <c r="O7" s="215" t="s">
        <v>49</v>
      </c>
      <c r="P7" s="215" t="s">
        <v>48</v>
      </c>
      <c r="Q7" s="215" t="s">
        <v>48</v>
      </c>
      <c r="R7" s="249" t="s">
        <v>48</v>
      </c>
      <c r="S7" s="215" t="s">
        <v>49</v>
      </c>
      <c r="T7" s="261" t="s">
        <v>48</v>
      </c>
      <c r="U7" s="215" t="s">
        <v>49</v>
      </c>
      <c r="V7" s="215" t="s">
        <v>48</v>
      </c>
      <c r="W7" s="215" t="s">
        <v>49</v>
      </c>
      <c r="X7" s="215" t="s">
        <v>48</v>
      </c>
      <c r="Y7" s="215" t="s">
        <v>48</v>
      </c>
      <c r="Z7" s="249" t="s">
        <v>48</v>
      </c>
      <c r="AA7" s="215" t="s">
        <v>49</v>
      </c>
      <c r="AB7" s="215" t="s">
        <v>48</v>
      </c>
      <c r="AC7" s="215" t="s">
        <v>49</v>
      </c>
      <c r="AD7" s="215" t="s">
        <v>48</v>
      </c>
      <c r="AE7" s="215" t="s">
        <v>48</v>
      </c>
      <c r="AF7" s="224" t="s">
        <v>48</v>
      </c>
      <c r="AG7" s="194" t="s">
        <v>49</v>
      </c>
      <c r="AH7" s="194" t="s">
        <v>48</v>
      </c>
      <c r="AI7" s="194" t="s">
        <v>49</v>
      </c>
      <c r="AJ7" s="194" t="s">
        <v>48</v>
      </c>
      <c r="AK7" s="194" t="s">
        <v>48</v>
      </c>
      <c r="AL7" s="233" t="s">
        <v>48</v>
      </c>
      <c r="AM7" s="76" t="s">
        <v>49</v>
      </c>
      <c r="AN7" s="76" t="s">
        <v>48</v>
      </c>
      <c r="AO7" s="76" t="s">
        <v>49</v>
      </c>
      <c r="AP7" s="76" t="s">
        <v>48</v>
      </c>
      <c r="AQ7" s="76" t="s">
        <v>48</v>
      </c>
      <c r="AR7" s="240" t="s">
        <v>48</v>
      </c>
      <c r="AS7" s="195" t="s">
        <v>49</v>
      </c>
      <c r="AT7" s="195" t="s">
        <v>48</v>
      </c>
      <c r="AU7" s="195" t="s">
        <v>49</v>
      </c>
      <c r="AV7" s="195" t="s">
        <v>48</v>
      </c>
      <c r="AW7" s="195" t="s">
        <v>48</v>
      </c>
      <c r="AX7" s="195" t="s">
        <v>48</v>
      </c>
      <c r="AY7" s="195" t="s">
        <v>48</v>
      </c>
      <c r="AZ7" s="195" t="s">
        <v>48</v>
      </c>
      <c r="BA7" s="195" t="s">
        <v>48</v>
      </c>
      <c r="BB7" s="245" t="s">
        <v>48</v>
      </c>
      <c r="BC7" s="54" t="s">
        <v>48</v>
      </c>
      <c r="BD7" s="54" t="s">
        <v>50</v>
      </c>
      <c r="BE7" s="54" t="s">
        <v>50</v>
      </c>
      <c r="BF7" s="66" t="s">
        <v>51</v>
      </c>
      <c r="BG7" s="66" t="s">
        <v>52</v>
      </c>
      <c r="BH7" s="66" t="s">
        <v>53</v>
      </c>
      <c r="BI7" s="66" t="s">
        <v>23</v>
      </c>
      <c r="BJ7" s="66" t="s">
        <v>23</v>
      </c>
      <c r="BK7" s="66" t="s">
        <v>23</v>
      </c>
      <c r="BL7" s="66" t="s">
        <v>23</v>
      </c>
      <c r="BM7" s="68" t="s">
        <v>54</v>
      </c>
      <c r="BN7" s="91" t="s">
        <v>55</v>
      </c>
      <c r="BO7" s="53" t="s">
        <v>47</v>
      </c>
      <c r="BP7" s="53" t="s">
        <v>21</v>
      </c>
      <c r="BQ7" s="77" t="s">
        <v>56</v>
      </c>
      <c r="BR7" s="59" t="s">
        <v>164</v>
      </c>
      <c r="BS7" s="59" t="s">
        <v>58</v>
      </c>
      <c r="BT7" s="59" t="s">
        <v>166</v>
      </c>
      <c r="BU7" s="142" t="s">
        <v>59</v>
      </c>
      <c r="BV7" s="59" t="s">
        <v>60</v>
      </c>
      <c r="BW7" s="65" t="s">
        <v>30</v>
      </c>
      <c r="BX7" s="65" t="s">
        <v>56</v>
      </c>
      <c r="BY7" s="65" t="s">
        <v>36</v>
      </c>
      <c r="BZ7" s="53" t="s">
        <v>36</v>
      </c>
      <c r="CA7" t="s">
        <v>61</v>
      </c>
      <c r="CB7" s="78" t="s">
        <v>62</v>
      </c>
      <c r="CC7" s="70" t="s">
        <v>63</v>
      </c>
      <c r="CD7" s="70" t="s">
        <v>57</v>
      </c>
      <c r="CE7" s="59" t="s">
        <v>32</v>
      </c>
      <c r="CF7" s="65" t="s">
        <v>32</v>
      </c>
      <c r="CG7" s="65" t="s">
        <v>64</v>
      </c>
      <c r="CH7" s="65" t="s">
        <v>65</v>
      </c>
      <c r="CI7" s="65" t="s">
        <v>66</v>
      </c>
      <c r="CJ7" s="65" t="s">
        <v>65</v>
      </c>
      <c r="CK7" s="79" t="s">
        <v>67</v>
      </c>
      <c r="CM7" s="79"/>
      <c r="CN7" s="79" t="s">
        <v>67</v>
      </c>
      <c r="CO7" s="53" t="s">
        <v>36</v>
      </c>
      <c r="CP7" s="53" t="s">
        <v>68</v>
      </c>
      <c r="CQ7" s="53" t="s">
        <v>69</v>
      </c>
      <c r="CR7" s="59" t="s">
        <v>70</v>
      </c>
      <c r="CS7" s="53" t="s">
        <v>68</v>
      </c>
      <c r="CT7" s="53" t="s">
        <v>34</v>
      </c>
      <c r="CU7" s="53" t="s">
        <v>63</v>
      </c>
      <c r="CV7" s="53" t="s">
        <v>71</v>
      </c>
      <c r="CW7" s="71" t="s">
        <v>72</v>
      </c>
      <c r="CX7" s="53" t="s">
        <v>63</v>
      </c>
      <c r="CY7" s="53"/>
      <c r="CZ7" s="53"/>
      <c r="DA7" s="53"/>
      <c r="DB7" s="53"/>
    </row>
    <row r="8" spans="1:106" ht="15" customHeight="1" thickBot="1">
      <c r="B8" s="81"/>
      <c r="C8" s="81"/>
      <c r="D8" s="81"/>
      <c r="E8" s="81"/>
      <c r="F8" s="81"/>
      <c r="G8" s="53" t="s">
        <v>73</v>
      </c>
      <c r="H8" s="53" t="s">
        <v>73</v>
      </c>
      <c r="I8" s="76" t="s">
        <v>50</v>
      </c>
      <c r="J8" s="82" t="s">
        <v>74</v>
      </c>
      <c r="K8" s="82" t="s">
        <v>75</v>
      </c>
      <c r="L8" s="249"/>
      <c r="M8" s="261" t="s">
        <v>76</v>
      </c>
      <c r="N8" s="261" t="s">
        <v>101</v>
      </c>
      <c r="O8" s="261" t="s">
        <v>101</v>
      </c>
      <c r="P8" s="261" t="s">
        <v>158</v>
      </c>
      <c r="Q8" s="261" t="s">
        <v>158</v>
      </c>
      <c r="R8" s="276"/>
      <c r="S8" s="215" t="s">
        <v>50</v>
      </c>
      <c r="T8" s="272"/>
      <c r="U8" s="215" t="s">
        <v>76</v>
      </c>
      <c r="V8" s="215" t="s">
        <v>101</v>
      </c>
      <c r="W8" s="215" t="s">
        <v>101</v>
      </c>
      <c r="X8" s="215" t="s">
        <v>158</v>
      </c>
      <c r="Y8" s="215" t="s">
        <v>158</v>
      </c>
      <c r="Z8" s="249"/>
      <c r="AA8" s="215" t="s">
        <v>76</v>
      </c>
      <c r="AB8" s="215" t="s">
        <v>101</v>
      </c>
      <c r="AC8" s="215" t="s">
        <v>101</v>
      </c>
      <c r="AD8" s="215" t="s">
        <v>158</v>
      </c>
      <c r="AE8" s="215" t="s">
        <v>158</v>
      </c>
      <c r="AF8" s="224"/>
      <c r="AG8" s="194" t="s">
        <v>76</v>
      </c>
      <c r="AH8" s="194" t="s">
        <v>101</v>
      </c>
      <c r="AI8" s="194" t="s">
        <v>101</v>
      </c>
      <c r="AJ8" s="194" t="s">
        <v>158</v>
      </c>
      <c r="AK8" s="194" t="s">
        <v>158</v>
      </c>
      <c r="AL8" s="233" t="s">
        <v>56</v>
      </c>
      <c r="AM8" s="76" t="s">
        <v>56</v>
      </c>
      <c r="AN8" s="76" t="s">
        <v>101</v>
      </c>
      <c r="AO8" s="76" t="s">
        <v>101</v>
      </c>
      <c r="AP8" s="76" t="s">
        <v>158</v>
      </c>
      <c r="AQ8" s="76" t="s">
        <v>158</v>
      </c>
      <c r="AR8" s="240" t="s">
        <v>101</v>
      </c>
      <c r="AS8" s="195" t="s">
        <v>101</v>
      </c>
      <c r="AT8" s="195" t="s">
        <v>56</v>
      </c>
      <c r="AU8" s="195" t="s">
        <v>56</v>
      </c>
      <c r="AV8" s="195" t="s">
        <v>77</v>
      </c>
      <c r="AW8" s="195" t="s">
        <v>77</v>
      </c>
      <c r="AX8" s="195" t="s">
        <v>158</v>
      </c>
      <c r="AY8" s="195" t="s">
        <v>158</v>
      </c>
      <c r="AZ8" s="195" t="s">
        <v>50</v>
      </c>
      <c r="BA8" s="195" t="s">
        <v>50</v>
      </c>
      <c r="BB8" s="246" t="s">
        <v>78</v>
      </c>
      <c r="BC8" s="54" t="s">
        <v>50</v>
      </c>
      <c r="BD8" s="54"/>
      <c r="BE8" s="54" t="s">
        <v>76</v>
      </c>
      <c r="BF8" s="66"/>
      <c r="BG8" s="66" t="s">
        <v>76</v>
      </c>
      <c r="BH8" s="66" t="s">
        <v>48</v>
      </c>
      <c r="BI8" s="66" t="s">
        <v>48</v>
      </c>
      <c r="BJ8" s="134" t="s">
        <v>79</v>
      </c>
      <c r="BK8" s="134" t="s">
        <v>79</v>
      </c>
      <c r="BL8" s="66" t="s">
        <v>48</v>
      </c>
      <c r="BM8" s="68" t="s">
        <v>80</v>
      </c>
      <c r="BN8" s="91" t="s">
        <v>76</v>
      </c>
      <c r="BO8" s="82" t="s">
        <v>81</v>
      </c>
      <c r="BP8" s="82" t="str">
        <f>BO8 $AO8:$BO8</f>
        <v>@ St Clair</v>
      </c>
      <c r="BQ8" s="77" t="s">
        <v>82</v>
      </c>
      <c r="BR8" s="59" t="s">
        <v>83</v>
      </c>
      <c r="BS8" s="59" t="s">
        <v>83</v>
      </c>
      <c r="BT8" s="59" t="s">
        <v>83</v>
      </c>
      <c r="BU8" s="142" t="s">
        <v>83</v>
      </c>
      <c r="BV8" s="59" t="s">
        <v>83</v>
      </c>
      <c r="BW8" s="65" t="s">
        <v>56</v>
      </c>
      <c r="BX8" s="65" t="s">
        <v>84</v>
      </c>
      <c r="BY8" s="65" t="s">
        <v>85</v>
      </c>
      <c r="BZ8" s="42" t="s">
        <v>86</v>
      </c>
      <c r="CA8" t="s">
        <v>87</v>
      </c>
      <c r="CB8" s="78" t="s">
        <v>88</v>
      </c>
      <c r="CC8" s="83" t="s">
        <v>89</v>
      </c>
      <c r="CD8" s="84" t="s">
        <v>90</v>
      </c>
      <c r="CE8" s="78" t="s">
        <v>88</v>
      </c>
      <c r="CF8" s="65" t="s">
        <v>85</v>
      </c>
      <c r="CG8" s="65"/>
      <c r="CH8" s="65" t="s">
        <v>35</v>
      </c>
      <c r="CI8" s="65" t="s">
        <v>85</v>
      </c>
      <c r="CJ8" s="65" t="s">
        <v>36</v>
      </c>
      <c r="CK8" s="65" t="s">
        <v>85</v>
      </c>
      <c r="CM8" s="65"/>
      <c r="CN8" s="65" t="s">
        <v>91</v>
      </c>
      <c r="CO8" s="53" t="s">
        <v>92</v>
      </c>
      <c r="CP8" s="53" t="s">
        <v>36</v>
      </c>
      <c r="CQ8" s="53" t="s">
        <v>36</v>
      </c>
      <c r="CR8" s="85" t="s">
        <v>93</v>
      </c>
      <c r="CS8" s="53" t="s">
        <v>36</v>
      </c>
      <c r="CT8" s="53" t="s">
        <v>85</v>
      </c>
      <c r="CU8" s="53" t="s">
        <v>85</v>
      </c>
      <c r="CV8" s="53" t="s">
        <v>94</v>
      </c>
      <c r="CW8" s="71" t="s">
        <v>34</v>
      </c>
      <c r="CX8" s="53" t="s">
        <v>95</v>
      </c>
      <c r="CY8" s="53"/>
      <c r="CZ8" s="53"/>
      <c r="DA8" s="53"/>
      <c r="DB8" s="53"/>
    </row>
    <row r="9" spans="1:106" ht="15" customHeight="1" thickBot="1">
      <c r="B9" s="81"/>
      <c r="C9" s="81"/>
      <c r="D9" s="81"/>
      <c r="E9" s="81"/>
      <c r="F9" s="81"/>
      <c r="G9" s="53" t="s">
        <v>96</v>
      </c>
      <c r="H9" s="53" t="s">
        <v>97</v>
      </c>
      <c r="I9" s="68"/>
      <c r="J9" s="86" t="s">
        <v>0</v>
      </c>
      <c r="K9" s="54" t="s">
        <v>98</v>
      </c>
      <c r="L9" s="262" t="s">
        <v>186</v>
      </c>
      <c r="M9" s="262" t="s">
        <v>186</v>
      </c>
      <c r="N9" s="262" t="s">
        <v>186</v>
      </c>
      <c r="O9" s="262" t="s">
        <v>186</v>
      </c>
      <c r="P9" s="262" t="s">
        <v>186</v>
      </c>
      <c r="Q9" s="262" t="s">
        <v>186</v>
      </c>
      <c r="R9" s="277" t="s">
        <v>178</v>
      </c>
      <c r="S9" s="263" t="s">
        <v>178</v>
      </c>
      <c r="T9" s="273" t="s">
        <v>178</v>
      </c>
      <c r="U9" s="263" t="s">
        <v>178</v>
      </c>
      <c r="V9" s="221" t="s">
        <v>178</v>
      </c>
      <c r="W9" s="221" t="s">
        <v>178</v>
      </c>
      <c r="X9" s="221" t="s">
        <v>178</v>
      </c>
      <c r="Y9" s="221" t="s">
        <v>178</v>
      </c>
      <c r="Z9" s="221" t="s">
        <v>184</v>
      </c>
      <c r="AA9" s="221" t="s">
        <v>184</v>
      </c>
      <c r="AB9" s="221" t="s">
        <v>184</v>
      </c>
      <c r="AC9" s="221" t="s">
        <v>184</v>
      </c>
      <c r="AD9" s="221" t="s">
        <v>184</v>
      </c>
      <c r="AE9" s="221" t="s">
        <v>184</v>
      </c>
      <c r="AF9" s="225" t="s">
        <v>99</v>
      </c>
      <c r="AG9" s="204" t="s">
        <v>99</v>
      </c>
      <c r="AH9" s="204" t="s">
        <v>99</v>
      </c>
      <c r="AI9" s="204" t="s">
        <v>99</v>
      </c>
      <c r="AJ9" s="204" t="s">
        <v>99</v>
      </c>
      <c r="AK9" s="204" t="s">
        <v>99</v>
      </c>
      <c r="AL9" s="231" t="s">
        <v>170</v>
      </c>
      <c r="AM9" s="170" t="s">
        <v>170</v>
      </c>
      <c r="AN9" s="170" t="s">
        <v>170</v>
      </c>
      <c r="AO9" s="170" t="s">
        <v>170</v>
      </c>
      <c r="AP9" s="170" t="s">
        <v>170</v>
      </c>
      <c r="AQ9" s="237" t="s">
        <v>170</v>
      </c>
      <c r="AR9" s="241" t="s">
        <v>159</v>
      </c>
      <c r="AS9" s="196" t="s">
        <v>159</v>
      </c>
      <c r="AT9" s="196" t="s">
        <v>159</v>
      </c>
      <c r="AU9" s="196" t="s">
        <v>159</v>
      </c>
      <c r="AV9" s="196" t="s">
        <v>159</v>
      </c>
      <c r="AW9" s="196" t="s">
        <v>159</v>
      </c>
      <c r="AX9" s="196" t="s">
        <v>159</v>
      </c>
      <c r="AY9" s="196" t="s">
        <v>159</v>
      </c>
      <c r="AZ9" s="196"/>
      <c r="BA9" s="196"/>
      <c r="BB9" s="223" t="s">
        <v>0</v>
      </c>
      <c r="BC9" s="87" t="s">
        <v>0</v>
      </c>
      <c r="BD9" s="87" t="s">
        <v>0</v>
      </c>
      <c r="BE9" s="87" t="s">
        <v>0</v>
      </c>
      <c r="BF9" s="87" t="s">
        <v>99</v>
      </c>
      <c r="BG9" s="87" t="s">
        <v>99</v>
      </c>
      <c r="BH9" s="135" t="s">
        <v>100</v>
      </c>
      <c r="BI9" s="135" t="s">
        <v>100</v>
      </c>
      <c r="BJ9" s="87" t="s">
        <v>101</v>
      </c>
      <c r="BK9" s="87" t="s">
        <v>102</v>
      </c>
      <c r="BL9" s="87" t="s">
        <v>103</v>
      </c>
      <c r="BM9" s="88"/>
      <c r="BN9" s="155"/>
      <c r="BO9" s="86"/>
      <c r="BP9" s="89"/>
      <c r="BQ9" s="90" t="s">
        <v>98</v>
      </c>
      <c r="BR9" s="54" t="s">
        <v>144</v>
      </c>
      <c r="BS9" s="91"/>
      <c r="BT9" s="91" t="s">
        <v>144</v>
      </c>
      <c r="BU9" s="91"/>
      <c r="BV9" s="91"/>
      <c r="BW9" s="54" t="s">
        <v>104</v>
      </c>
      <c r="BX9" s="54" t="s">
        <v>98</v>
      </c>
      <c r="BY9" s="89"/>
      <c r="BZ9" s="89"/>
      <c r="CA9" s="89"/>
      <c r="CB9" s="59" t="s">
        <v>5</v>
      </c>
      <c r="CC9" s="92"/>
      <c r="CD9" s="92"/>
      <c r="CF9" s="65"/>
      <c r="CG9" s="65"/>
      <c r="CH9" s="65"/>
      <c r="CI9" s="89"/>
      <c r="CJ9" s="89"/>
      <c r="CK9" s="89"/>
      <c r="CL9" s="89"/>
      <c r="CM9" s="89"/>
      <c r="CN9" s="89"/>
      <c r="CO9" s="89"/>
      <c r="CP9" s="89"/>
      <c r="CQ9" s="91"/>
      <c r="CR9" s="91"/>
      <c r="CS9" s="91"/>
      <c r="CT9" s="93"/>
      <c r="CU9" s="94">
        <v>60277</v>
      </c>
      <c r="CV9" s="91" t="s">
        <v>95</v>
      </c>
      <c r="CW9" s="71" t="s">
        <v>95</v>
      </c>
      <c r="CX9" s="94">
        <v>561380</v>
      </c>
      <c r="DA9" s="95"/>
      <c r="DB9" s="46"/>
    </row>
    <row r="10" spans="1:106" ht="15" customHeight="1">
      <c r="A10" s="96">
        <v>36770</v>
      </c>
      <c r="B10" s="96">
        <v>36678</v>
      </c>
      <c r="C10" s="96">
        <v>36619</v>
      </c>
      <c r="D10" s="96">
        <v>36620</v>
      </c>
      <c r="E10" s="96">
        <v>36621</v>
      </c>
      <c r="F10" s="96">
        <v>36622</v>
      </c>
      <c r="G10" s="96">
        <v>36623</v>
      </c>
      <c r="H10" s="96">
        <v>36624</v>
      </c>
      <c r="I10" s="165">
        <v>0</v>
      </c>
      <c r="J10" s="165">
        <v>0</v>
      </c>
      <c r="K10" s="216">
        <v>0</v>
      </c>
      <c r="L10" s="226">
        <v>0</v>
      </c>
      <c r="M10" s="203">
        <f>(L10)*(1-$J$53)-(L10)</f>
        <v>0</v>
      </c>
      <c r="N10" s="199">
        <v>0</v>
      </c>
      <c r="O10" s="202">
        <f>(N10)*(1-$J$53)-(N10)</f>
        <v>0</v>
      </c>
      <c r="P10" s="122">
        <v>0</v>
      </c>
      <c r="Q10" s="202">
        <f>(P10)*(1-$J$57)-(P10)</f>
        <v>0</v>
      </c>
      <c r="R10" s="275"/>
      <c r="S10" s="202"/>
      <c r="T10" s="260">
        <v>0</v>
      </c>
      <c r="U10" s="202">
        <f>(T10)*(1-$J$53)-(T10)</f>
        <v>0</v>
      </c>
      <c r="V10" s="278">
        <v>0</v>
      </c>
      <c r="W10" s="202">
        <f>(V10)*(1-$J$53)-(V10)</f>
        <v>0</v>
      </c>
      <c r="X10" s="122">
        <v>0</v>
      </c>
      <c r="Y10" s="202">
        <f>(X10)*(1-$J$57)-(X10)</f>
        <v>0</v>
      </c>
      <c r="Z10" s="226">
        <v>0</v>
      </c>
      <c r="AA10" s="202">
        <f>(Z10)*(1-$J$53)-(Z10)</f>
        <v>0</v>
      </c>
      <c r="AB10" s="199">
        <v>0</v>
      </c>
      <c r="AC10" s="202">
        <f>(AB10)*(1-$J$53)-(AB10)</f>
        <v>0</v>
      </c>
      <c r="AD10" s="122">
        <v>0</v>
      </c>
      <c r="AE10" s="202">
        <f>(AD10)*(1-$J$57)-(AD10)</f>
        <v>0</v>
      </c>
      <c r="AF10" s="226">
        <v>0</v>
      </c>
      <c r="AG10" s="217">
        <f t="shared" ref="AG10:AG39" si="0">(AF10)*(1-$J$53)-(AF10)</f>
        <v>0</v>
      </c>
      <c r="AH10" s="199">
        <v>5583</v>
      </c>
      <c r="AI10" s="202">
        <f t="shared" ref="AI10:AI39" si="1">(AH10)*(1-$J$53)-(AH10)</f>
        <v>-192.73520940000071</v>
      </c>
      <c r="AJ10" s="122">
        <v>0</v>
      </c>
      <c r="AK10" s="202">
        <f t="shared" ref="AK10:AK39" si="2">(AJ10)*(1-$J$57)-(AJ10)</f>
        <v>0</v>
      </c>
      <c r="AL10" s="226">
        <v>0</v>
      </c>
      <c r="AM10" s="217">
        <f t="shared" ref="AM10:AM39" si="3">(AL10)*(1-$J$53)-(AL10)</f>
        <v>0</v>
      </c>
      <c r="AN10" s="198">
        <v>5179</v>
      </c>
      <c r="AO10" s="202">
        <f t="shared" ref="AO10:AO39" si="4">(AN10)*(1-$J$53)-(AN10)</f>
        <v>-178.78840219999984</v>
      </c>
      <c r="AP10" s="197">
        <v>0</v>
      </c>
      <c r="AQ10" s="202">
        <f t="shared" ref="AQ10:AQ39" si="5">(AP10)*(1-$J$57)-(AP10)</f>
        <v>0</v>
      </c>
      <c r="AR10" s="242">
        <v>15536</v>
      </c>
      <c r="AS10" s="202">
        <f t="shared" ref="AS10:AS39" si="6">(AR10)*(1-$J$53)-(AR10)</f>
        <v>-536.33068480000111</v>
      </c>
      <c r="AT10" s="205">
        <v>0</v>
      </c>
      <c r="AU10" s="202">
        <f t="shared" ref="AU10:AU39" si="7">(AT10)*(1-$J$53)-(AT10)</f>
        <v>0</v>
      </c>
      <c r="AV10" s="115">
        <v>0</v>
      </c>
      <c r="AW10" s="202">
        <f t="shared" ref="AW10:AW39" si="8">AV10*-J56</f>
        <v>0</v>
      </c>
      <c r="AX10" s="197">
        <v>0</v>
      </c>
      <c r="AY10" s="217">
        <f t="shared" ref="AY10:AY39" si="9">(AX10)*(1-$J$57)-(AX10)</f>
        <v>0</v>
      </c>
      <c r="AZ10" s="198">
        <v>0</v>
      </c>
      <c r="BA10" s="202">
        <f t="shared" ref="BA10:BA39" si="10">(AZ10)*(1-$J$58)-(AZ10)</f>
        <v>0</v>
      </c>
      <c r="BB10" s="247">
        <v>0</v>
      </c>
      <c r="BC10" s="202">
        <f t="shared" ref="BC10:BC39" si="11">(BB10)*(1-$J$58)-(BB10)</f>
        <v>0</v>
      </c>
      <c r="BD10" s="103">
        <v>0</v>
      </c>
      <c r="BE10" s="202">
        <f t="shared" ref="BE10:BE39" si="12">(BD10)*(1-$J$46)-(BD10)</f>
        <v>0</v>
      </c>
      <c r="BF10" s="107">
        <v>0</v>
      </c>
      <c r="BG10" s="105">
        <f t="shared" ref="BG10:BG39" si="13">(BF10)*(1-$J$54)-(BF10)</f>
        <v>0</v>
      </c>
      <c r="BH10" s="107"/>
      <c r="BI10" s="107"/>
      <c r="BJ10" s="107">
        <v>0</v>
      </c>
      <c r="BK10" s="107"/>
      <c r="BL10" s="107">
        <v>0</v>
      </c>
      <c r="BM10" s="139">
        <v>0</v>
      </c>
      <c r="BN10" s="156">
        <f t="shared" ref="BN10:BN39" si="14">(BM10)*(1-$J$55)-(BM10)</f>
        <v>0</v>
      </c>
      <c r="BO10" s="104">
        <v>0</v>
      </c>
      <c r="BP10" s="104">
        <v>0</v>
      </c>
      <c r="BQ10" s="108">
        <f t="shared" ref="BQ10:BQ15" si="15">SUM($AF10:$AG10)+SUM($AL10:$AM10)+SUM($AT10:$AU10)+Z10+AA10+L10+M10+T10+U10</f>
        <v>0</v>
      </c>
      <c r="BR10" s="109">
        <v>0</v>
      </c>
      <c r="BS10" s="109">
        <v>0</v>
      </c>
      <c r="BT10" s="109"/>
      <c r="BU10" s="109">
        <v>0</v>
      </c>
      <c r="BV10" s="109">
        <v>0</v>
      </c>
      <c r="BW10" s="110">
        <f t="shared" ref="BW10:BW15" si="16">(BQ10+BR10+BS10+BU10+BV10)*M</f>
        <v>0</v>
      </c>
      <c r="BX10" s="111">
        <f t="shared" ref="BX10:BX39" si="17">(BW10/(1+STCLAIRCHIP))-(BW10)</f>
        <v>0</v>
      </c>
      <c r="BY10" s="111">
        <f t="shared" ref="BY10:BY15" si="18">BW10+BX10</f>
        <v>0</v>
      </c>
      <c r="BZ10" s="104">
        <f t="shared" ref="BZ10:BZ39" si="19">(BY10)/M</f>
        <v>0</v>
      </c>
      <c r="CA10" s="104">
        <v>0</v>
      </c>
      <c r="CB10" s="112">
        <v>0</v>
      </c>
      <c r="CC10" s="113">
        <v>0</v>
      </c>
      <c r="CD10" s="113">
        <v>0</v>
      </c>
      <c r="CE10" s="113">
        <f t="shared" ref="CE10:CE15" si="20">SUM(CB10+CC10+CD10)</f>
        <v>0</v>
      </c>
      <c r="CF10" s="114">
        <f t="shared" ref="CF10:CF39" si="21">(CE10)*M</f>
        <v>0</v>
      </c>
      <c r="CG10" s="114"/>
      <c r="CH10" s="115">
        <f t="shared" ref="CH10:CH15" si="22">((CF10)/(1+DAWNKIRK))-(CF10)</f>
        <v>0</v>
      </c>
      <c r="CI10" s="106">
        <f t="shared" ref="CI10:CI15" si="23">ROUND(CF10+CH10,1)</f>
        <v>0</v>
      </c>
      <c r="CJ10" s="115">
        <f t="shared" ref="CJ10:CJ39" si="24">((CI10)/(1+KIRKCHIP))-(CI10)</f>
        <v>0</v>
      </c>
      <c r="CK10" s="115">
        <f t="shared" ref="CK10:CK15" si="25">CI10+CJ10</f>
        <v>0</v>
      </c>
      <c r="CN10" s="116">
        <f t="shared" ref="CN10:CN15" si="26">CK10/M</f>
        <v>0</v>
      </c>
      <c r="CO10" s="104">
        <v>0</v>
      </c>
      <c r="CP10" s="104">
        <f t="shared" ref="CP10:CP15" si="27">CO10+CN10+BZ10</f>
        <v>0</v>
      </c>
      <c r="CQ10" s="104">
        <v>0</v>
      </c>
      <c r="CR10" s="55">
        <v>0</v>
      </c>
      <c r="CS10" s="104">
        <f t="shared" ref="CS10:CS15" si="28">+CP10+CQ10-CA10-CR10</f>
        <v>0</v>
      </c>
      <c r="CT10" s="104">
        <f t="shared" ref="CT10:CT15" si="29">CW10*M</f>
        <v>0</v>
      </c>
      <c r="CU10" s="104">
        <f t="shared" ref="CU10:CU15" si="30">+CT10+CU9</f>
        <v>60277</v>
      </c>
      <c r="CV10" s="104">
        <v>0</v>
      </c>
      <c r="CW10" s="117">
        <f t="shared" ref="CW10:CW15" si="31">CS10+CS10*STCLAIRCHIP-CV10</f>
        <v>0</v>
      </c>
      <c r="CX10" s="118">
        <f t="shared" ref="CX10:CX15" si="32">CW10+CX9</f>
        <v>561380</v>
      </c>
      <c r="CY10" s="104"/>
      <c r="CZ10" s="104"/>
      <c r="DA10" s="120"/>
      <c r="DB10" s="118"/>
    </row>
    <row r="11" spans="1:106" ht="15" customHeight="1">
      <c r="A11" s="96">
        <v>36771</v>
      </c>
      <c r="B11" s="281"/>
      <c r="C11" s="281"/>
      <c r="D11" s="281"/>
      <c r="E11" s="281"/>
      <c r="F11" s="281"/>
      <c r="G11" s="281"/>
      <c r="H11" s="281"/>
      <c r="I11" s="282"/>
      <c r="J11" s="282"/>
      <c r="K11" s="284"/>
      <c r="L11" s="260"/>
      <c r="M11" s="203"/>
      <c r="N11" s="199"/>
      <c r="O11" s="202"/>
      <c r="P11" s="122"/>
      <c r="Q11" s="202"/>
      <c r="R11" s="275"/>
      <c r="S11" s="202"/>
      <c r="T11" s="260"/>
      <c r="U11" s="202"/>
      <c r="V11" s="278"/>
      <c r="W11" s="202"/>
      <c r="X11" s="122"/>
      <c r="Y11" s="202"/>
      <c r="Z11" s="226"/>
      <c r="AA11" s="202"/>
      <c r="AB11" s="199"/>
      <c r="AC11" s="202"/>
      <c r="AD11" s="122"/>
      <c r="AE11" s="202"/>
      <c r="AF11" s="226">
        <v>5583</v>
      </c>
      <c r="AG11" s="217">
        <f t="shared" si="0"/>
        <v>-192.73520940000071</v>
      </c>
      <c r="AH11" s="199">
        <v>0</v>
      </c>
      <c r="AI11" s="202">
        <f t="shared" si="1"/>
        <v>0</v>
      </c>
      <c r="AJ11" s="122">
        <v>0</v>
      </c>
      <c r="AK11" s="202">
        <f t="shared" si="2"/>
        <v>0</v>
      </c>
      <c r="AL11" s="226">
        <v>5179</v>
      </c>
      <c r="AM11" s="217">
        <f t="shared" si="3"/>
        <v>-178.78840219999984</v>
      </c>
      <c r="AN11" s="198">
        <v>0</v>
      </c>
      <c r="AO11" s="202">
        <f t="shared" si="4"/>
        <v>0</v>
      </c>
      <c r="AP11" s="197">
        <v>0</v>
      </c>
      <c r="AQ11" s="202">
        <f t="shared" si="5"/>
        <v>0</v>
      </c>
      <c r="AR11" s="242">
        <v>0</v>
      </c>
      <c r="AS11" s="202">
        <f t="shared" si="6"/>
        <v>0</v>
      </c>
      <c r="AT11" s="205">
        <v>15536</v>
      </c>
      <c r="AU11" s="202">
        <f t="shared" si="7"/>
        <v>-536.33068480000111</v>
      </c>
      <c r="AV11" s="115">
        <v>0</v>
      </c>
      <c r="AW11" s="202">
        <f t="shared" si="8"/>
        <v>0</v>
      </c>
      <c r="AX11" s="197">
        <v>0</v>
      </c>
      <c r="AY11" s="217">
        <f t="shared" si="9"/>
        <v>0</v>
      </c>
      <c r="AZ11" s="198">
        <v>0</v>
      </c>
      <c r="BA11" s="202">
        <f t="shared" si="10"/>
        <v>0</v>
      </c>
      <c r="BB11" s="247">
        <v>0</v>
      </c>
      <c r="BC11" s="202">
        <f t="shared" si="11"/>
        <v>0</v>
      </c>
      <c r="BD11" s="103">
        <v>0</v>
      </c>
      <c r="BE11" s="202">
        <f t="shared" si="12"/>
        <v>0</v>
      </c>
      <c r="BF11" s="107">
        <v>0</v>
      </c>
      <c r="BG11" s="105">
        <f t="shared" si="13"/>
        <v>0</v>
      </c>
      <c r="BH11" s="107"/>
      <c r="BI11" s="107"/>
      <c r="BJ11" s="107">
        <v>0</v>
      </c>
      <c r="BK11" s="107"/>
      <c r="BL11" s="107">
        <v>0</v>
      </c>
      <c r="BM11" s="139">
        <v>0</v>
      </c>
      <c r="BN11" s="156">
        <f t="shared" si="14"/>
        <v>0</v>
      </c>
      <c r="BO11" s="104">
        <v>0</v>
      </c>
      <c r="BP11" s="104">
        <v>0</v>
      </c>
      <c r="BQ11" s="108">
        <f t="shared" si="15"/>
        <v>25390.145703599999</v>
      </c>
      <c r="BR11" s="109">
        <v>0</v>
      </c>
      <c r="BS11" s="109">
        <v>0</v>
      </c>
      <c r="BT11" s="109"/>
      <c r="BU11" s="109">
        <v>-25390</v>
      </c>
      <c r="BV11" s="109">
        <v>0</v>
      </c>
      <c r="BW11" s="110">
        <f t="shared" si="16"/>
        <v>0.15372545740081009</v>
      </c>
      <c r="BX11" s="111">
        <f t="shared" si="17"/>
        <v>-1.8078198864212303E-3</v>
      </c>
      <c r="BY11" s="111">
        <f t="shared" si="18"/>
        <v>0.15191763751438886</v>
      </c>
      <c r="BZ11" s="104">
        <f t="shared" si="19"/>
        <v>0.14399011759981353</v>
      </c>
      <c r="CA11" s="104">
        <v>0</v>
      </c>
      <c r="CB11" s="112">
        <v>0</v>
      </c>
      <c r="CC11" s="113">
        <v>0</v>
      </c>
      <c r="CD11" s="113">
        <v>0</v>
      </c>
      <c r="CE11" s="113">
        <f t="shared" si="20"/>
        <v>0</v>
      </c>
      <c r="CF11" s="114">
        <f t="shared" si="21"/>
        <v>0</v>
      </c>
      <c r="CG11" s="114"/>
      <c r="CH11" s="115">
        <f t="shared" si="22"/>
        <v>0</v>
      </c>
      <c r="CI11" s="106">
        <f t="shared" si="23"/>
        <v>0</v>
      </c>
      <c r="CJ11" s="115">
        <f t="shared" si="24"/>
        <v>0</v>
      </c>
      <c r="CK11" s="115">
        <f t="shared" si="25"/>
        <v>0</v>
      </c>
      <c r="CN11" s="116">
        <f t="shared" si="26"/>
        <v>0</v>
      </c>
      <c r="CO11" s="104">
        <v>0</v>
      </c>
      <c r="CP11" s="104">
        <f t="shared" si="27"/>
        <v>0.14399011759981353</v>
      </c>
      <c r="CQ11" s="104">
        <v>0</v>
      </c>
      <c r="CR11" s="55">
        <v>0</v>
      </c>
      <c r="CS11" s="104">
        <f t="shared" si="28"/>
        <v>0.14399011759981353</v>
      </c>
      <c r="CT11" s="104">
        <f t="shared" si="29"/>
        <v>0.15372545740081009</v>
      </c>
      <c r="CU11" s="104">
        <f t="shared" si="30"/>
        <v>60277.1537254574</v>
      </c>
      <c r="CV11" s="104">
        <v>0</v>
      </c>
      <c r="CW11" s="117">
        <f t="shared" si="31"/>
        <v>0.14570359999925131</v>
      </c>
      <c r="CX11" s="118">
        <f t="shared" si="32"/>
        <v>561380.14570360002</v>
      </c>
      <c r="CY11" s="104"/>
      <c r="CZ11" s="104"/>
      <c r="DA11" s="120"/>
      <c r="DB11" s="118"/>
    </row>
    <row r="12" spans="1:106" ht="15" customHeight="1">
      <c r="A12" s="96">
        <v>36772</v>
      </c>
      <c r="B12" s="281"/>
      <c r="C12" s="281"/>
      <c r="D12" s="281"/>
      <c r="E12" s="281"/>
      <c r="F12" s="281"/>
      <c r="G12" s="281"/>
      <c r="H12" s="281"/>
      <c r="I12" s="282"/>
      <c r="J12" s="282"/>
      <c r="K12" s="284"/>
      <c r="L12" s="260"/>
      <c r="M12" s="203"/>
      <c r="N12" s="199"/>
      <c r="O12" s="202"/>
      <c r="P12" s="122"/>
      <c r="Q12" s="202"/>
      <c r="R12" s="275"/>
      <c r="S12" s="202"/>
      <c r="T12" s="260"/>
      <c r="U12" s="202"/>
      <c r="V12" s="278"/>
      <c r="W12" s="202"/>
      <c r="X12" s="122"/>
      <c r="Y12" s="202"/>
      <c r="Z12" s="226"/>
      <c r="AA12" s="202"/>
      <c r="AB12" s="199"/>
      <c r="AC12" s="202"/>
      <c r="AD12" s="122"/>
      <c r="AE12" s="202"/>
      <c r="AF12" s="226">
        <v>5583</v>
      </c>
      <c r="AG12" s="217">
        <f t="shared" si="0"/>
        <v>-192.73520940000071</v>
      </c>
      <c r="AH12" s="199">
        <v>0</v>
      </c>
      <c r="AI12" s="202">
        <f t="shared" si="1"/>
        <v>0</v>
      </c>
      <c r="AJ12" s="122">
        <v>0</v>
      </c>
      <c r="AK12" s="202">
        <f t="shared" si="2"/>
        <v>0</v>
      </c>
      <c r="AL12" s="226">
        <v>5179</v>
      </c>
      <c r="AM12" s="217">
        <f t="shared" si="3"/>
        <v>-178.78840219999984</v>
      </c>
      <c r="AN12" s="198">
        <v>0</v>
      </c>
      <c r="AO12" s="202">
        <f t="shared" si="4"/>
        <v>0</v>
      </c>
      <c r="AP12" s="197">
        <v>0</v>
      </c>
      <c r="AQ12" s="202">
        <f t="shared" si="5"/>
        <v>0</v>
      </c>
      <c r="AR12" s="242">
        <v>0</v>
      </c>
      <c r="AS12" s="202">
        <f t="shared" si="6"/>
        <v>0</v>
      </c>
      <c r="AT12" s="205">
        <v>15536</v>
      </c>
      <c r="AU12" s="202">
        <f t="shared" si="7"/>
        <v>-536.33068480000111</v>
      </c>
      <c r="AV12" s="115">
        <v>0</v>
      </c>
      <c r="AW12" s="202">
        <f t="shared" si="8"/>
        <v>0</v>
      </c>
      <c r="AX12" s="197">
        <v>0</v>
      </c>
      <c r="AY12" s="217">
        <f t="shared" si="9"/>
        <v>0</v>
      </c>
      <c r="AZ12" s="198">
        <v>0</v>
      </c>
      <c r="BA12" s="202">
        <f t="shared" si="10"/>
        <v>0</v>
      </c>
      <c r="BB12" s="247">
        <v>0</v>
      </c>
      <c r="BC12" s="202">
        <f t="shared" si="11"/>
        <v>0</v>
      </c>
      <c r="BD12" s="103">
        <v>0</v>
      </c>
      <c r="BE12" s="202">
        <f t="shared" si="12"/>
        <v>0</v>
      </c>
      <c r="BF12" s="107">
        <v>0</v>
      </c>
      <c r="BG12" s="105">
        <f t="shared" si="13"/>
        <v>0</v>
      </c>
      <c r="BH12" s="107"/>
      <c r="BI12" s="107"/>
      <c r="BJ12" s="107">
        <v>0</v>
      </c>
      <c r="BK12" s="107"/>
      <c r="BL12" s="107">
        <v>0</v>
      </c>
      <c r="BM12" s="139">
        <v>0</v>
      </c>
      <c r="BN12" s="156">
        <f t="shared" si="14"/>
        <v>0</v>
      </c>
      <c r="BO12" s="104">
        <v>0</v>
      </c>
      <c r="BP12" s="104">
        <v>0</v>
      </c>
      <c r="BQ12" s="108">
        <f t="shared" si="15"/>
        <v>25390.145703599999</v>
      </c>
      <c r="BR12" s="109">
        <v>0</v>
      </c>
      <c r="BS12" s="109">
        <v>0</v>
      </c>
      <c r="BT12" s="109"/>
      <c r="BU12" s="109">
        <v>-25390</v>
      </c>
      <c r="BV12" s="109">
        <v>0</v>
      </c>
      <c r="BW12" s="110">
        <f t="shared" si="16"/>
        <v>0.15372545740081009</v>
      </c>
      <c r="BX12" s="111">
        <f t="shared" si="17"/>
        <v>-1.8078198864212303E-3</v>
      </c>
      <c r="BY12" s="111">
        <f t="shared" si="18"/>
        <v>0.15191763751438886</v>
      </c>
      <c r="BZ12" s="104">
        <f t="shared" si="19"/>
        <v>0.14399011759981353</v>
      </c>
      <c r="CA12" s="104">
        <v>0</v>
      </c>
      <c r="CB12" s="112">
        <v>0</v>
      </c>
      <c r="CC12" s="113">
        <v>0</v>
      </c>
      <c r="CD12" s="113">
        <v>0</v>
      </c>
      <c r="CE12" s="113">
        <f t="shared" si="20"/>
        <v>0</v>
      </c>
      <c r="CF12" s="114">
        <f t="shared" si="21"/>
        <v>0</v>
      </c>
      <c r="CG12" s="114"/>
      <c r="CH12" s="115">
        <f t="shared" si="22"/>
        <v>0</v>
      </c>
      <c r="CI12" s="106">
        <f t="shared" si="23"/>
        <v>0</v>
      </c>
      <c r="CJ12" s="115">
        <f t="shared" si="24"/>
        <v>0</v>
      </c>
      <c r="CK12" s="115">
        <f t="shared" si="25"/>
        <v>0</v>
      </c>
      <c r="CN12" s="116">
        <f t="shared" si="26"/>
        <v>0</v>
      </c>
      <c r="CO12" s="104">
        <v>0</v>
      </c>
      <c r="CP12" s="104">
        <f t="shared" si="27"/>
        <v>0.14399011759981353</v>
      </c>
      <c r="CQ12" s="104">
        <v>0</v>
      </c>
      <c r="CR12" s="55">
        <v>0</v>
      </c>
      <c r="CS12" s="104">
        <f t="shared" si="28"/>
        <v>0.14399011759981353</v>
      </c>
      <c r="CT12" s="104">
        <f t="shared" si="29"/>
        <v>0.15372545740081009</v>
      </c>
      <c r="CU12" s="104">
        <f t="shared" si="30"/>
        <v>60277.307450914799</v>
      </c>
      <c r="CV12" s="104">
        <v>0</v>
      </c>
      <c r="CW12" s="117">
        <f t="shared" si="31"/>
        <v>0.14570359999925131</v>
      </c>
      <c r="CX12" s="118">
        <f t="shared" si="32"/>
        <v>561380.29140720004</v>
      </c>
      <c r="CY12" s="104"/>
      <c r="CZ12" s="104"/>
      <c r="DA12" s="120"/>
      <c r="DB12" s="118"/>
    </row>
    <row r="13" spans="1:106" ht="15" customHeight="1">
      <c r="A13" s="96">
        <v>36773</v>
      </c>
      <c r="B13" s="281"/>
      <c r="C13" s="281"/>
      <c r="D13" s="281"/>
      <c r="E13" s="281"/>
      <c r="F13" s="281"/>
      <c r="G13" s="281"/>
      <c r="H13" s="281"/>
      <c r="I13" s="282"/>
      <c r="J13" s="282"/>
      <c r="K13" s="284"/>
      <c r="L13" s="260"/>
      <c r="M13" s="203"/>
      <c r="N13" s="199"/>
      <c r="O13" s="202"/>
      <c r="P13" s="122"/>
      <c r="Q13" s="202"/>
      <c r="R13" s="275"/>
      <c r="S13" s="202"/>
      <c r="T13" s="260"/>
      <c r="U13" s="202"/>
      <c r="V13" s="278"/>
      <c r="W13" s="202"/>
      <c r="X13" s="122"/>
      <c r="Y13" s="202"/>
      <c r="Z13" s="226"/>
      <c r="AA13" s="202"/>
      <c r="AB13" s="199"/>
      <c r="AC13" s="202"/>
      <c r="AD13" s="122"/>
      <c r="AE13" s="202"/>
      <c r="AF13" s="226">
        <v>5583</v>
      </c>
      <c r="AG13" s="217">
        <f t="shared" si="0"/>
        <v>-192.73520940000071</v>
      </c>
      <c r="AH13" s="199">
        <v>0</v>
      </c>
      <c r="AI13" s="202">
        <f t="shared" si="1"/>
        <v>0</v>
      </c>
      <c r="AJ13" s="122">
        <v>0</v>
      </c>
      <c r="AK13" s="202">
        <f t="shared" si="2"/>
        <v>0</v>
      </c>
      <c r="AL13" s="226">
        <v>5179</v>
      </c>
      <c r="AM13" s="217">
        <f t="shared" si="3"/>
        <v>-178.78840219999984</v>
      </c>
      <c r="AN13" s="198">
        <v>0</v>
      </c>
      <c r="AO13" s="202">
        <f t="shared" si="4"/>
        <v>0</v>
      </c>
      <c r="AP13" s="197">
        <v>0</v>
      </c>
      <c r="AQ13" s="202">
        <f t="shared" si="5"/>
        <v>0</v>
      </c>
      <c r="AR13" s="242">
        <v>0</v>
      </c>
      <c r="AS13" s="202">
        <f t="shared" si="6"/>
        <v>0</v>
      </c>
      <c r="AT13" s="205">
        <v>15536</v>
      </c>
      <c r="AU13" s="202">
        <f t="shared" si="7"/>
        <v>-536.33068480000111</v>
      </c>
      <c r="AV13" s="115">
        <v>0</v>
      </c>
      <c r="AW13" s="202">
        <f t="shared" si="8"/>
        <v>0</v>
      </c>
      <c r="AX13" s="197">
        <v>0</v>
      </c>
      <c r="AY13" s="217">
        <f t="shared" si="9"/>
        <v>0</v>
      </c>
      <c r="AZ13" s="198">
        <v>0</v>
      </c>
      <c r="BA13" s="202">
        <f t="shared" si="10"/>
        <v>0</v>
      </c>
      <c r="BB13" s="247">
        <v>0</v>
      </c>
      <c r="BC13" s="202">
        <f t="shared" si="11"/>
        <v>0</v>
      </c>
      <c r="BD13" s="103">
        <v>0</v>
      </c>
      <c r="BE13" s="202">
        <f t="shared" si="12"/>
        <v>0</v>
      </c>
      <c r="BF13" s="107">
        <v>0</v>
      </c>
      <c r="BG13" s="105">
        <f t="shared" si="13"/>
        <v>0</v>
      </c>
      <c r="BH13" s="107"/>
      <c r="BI13" s="107"/>
      <c r="BJ13" s="107">
        <v>0</v>
      </c>
      <c r="BK13" s="107"/>
      <c r="BL13" s="107">
        <v>0</v>
      </c>
      <c r="BM13" s="139">
        <v>0</v>
      </c>
      <c r="BN13" s="156">
        <f t="shared" si="14"/>
        <v>0</v>
      </c>
      <c r="BO13" s="104">
        <v>0</v>
      </c>
      <c r="BP13" s="104">
        <v>0</v>
      </c>
      <c r="BQ13" s="108">
        <f t="shared" si="15"/>
        <v>25390.145703599999</v>
      </c>
      <c r="BR13" s="109">
        <v>0</v>
      </c>
      <c r="BS13" s="109">
        <v>0</v>
      </c>
      <c r="BT13" s="109"/>
      <c r="BU13" s="109">
        <v>-25390</v>
      </c>
      <c r="BV13" s="109">
        <v>0</v>
      </c>
      <c r="BW13" s="110">
        <f t="shared" si="16"/>
        <v>0.15372545740081009</v>
      </c>
      <c r="BX13" s="111">
        <f t="shared" si="17"/>
        <v>-1.8078198864212303E-3</v>
      </c>
      <c r="BY13" s="111">
        <f t="shared" si="18"/>
        <v>0.15191763751438886</v>
      </c>
      <c r="BZ13" s="104">
        <f t="shared" si="19"/>
        <v>0.14399011759981353</v>
      </c>
      <c r="CA13" s="104">
        <v>0</v>
      </c>
      <c r="CB13" s="112">
        <v>0</v>
      </c>
      <c r="CC13" s="113">
        <v>0</v>
      </c>
      <c r="CD13" s="113">
        <v>0</v>
      </c>
      <c r="CE13" s="113">
        <f t="shared" si="20"/>
        <v>0</v>
      </c>
      <c r="CF13" s="114">
        <f t="shared" si="21"/>
        <v>0</v>
      </c>
      <c r="CG13" s="114"/>
      <c r="CH13" s="115">
        <f t="shared" si="22"/>
        <v>0</v>
      </c>
      <c r="CI13" s="106">
        <f t="shared" si="23"/>
        <v>0</v>
      </c>
      <c r="CJ13" s="115">
        <f t="shared" si="24"/>
        <v>0</v>
      </c>
      <c r="CK13" s="115">
        <f t="shared" si="25"/>
        <v>0</v>
      </c>
      <c r="CN13" s="116">
        <f t="shared" si="26"/>
        <v>0</v>
      </c>
      <c r="CO13" s="104">
        <v>0</v>
      </c>
      <c r="CP13" s="104">
        <f t="shared" si="27"/>
        <v>0.14399011759981353</v>
      </c>
      <c r="CQ13" s="104">
        <v>0</v>
      </c>
      <c r="CR13" s="55">
        <v>0</v>
      </c>
      <c r="CS13" s="104">
        <f t="shared" si="28"/>
        <v>0.14399011759981353</v>
      </c>
      <c r="CT13" s="104">
        <f t="shared" si="29"/>
        <v>0.15372545740081009</v>
      </c>
      <c r="CU13" s="104">
        <f t="shared" si="30"/>
        <v>60277.461176372199</v>
      </c>
      <c r="CV13" s="104">
        <v>0</v>
      </c>
      <c r="CW13" s="117">
        <f t="shared" si="31"/>
        <v>0.14570359999925131</v>
      </c>
      <c r="CX13" s="118">
        <f t="shared" si="32"/>
        <v>561380.43711080006</v>
      </c>
      <c r="CY13" s="104"/>
      <c r="CZ13" s="104"/>
      <c r="DA13" s="120"/>
      <c r="DB13" s="118"/>
    </row>
    <row r="14" spans="1:106" ht="15" customHeight="1">
      <c r="A14" s="96">
        <v>36774</v>
      </c>
      <c r="B14" s="281"/>
      <c r="C14" s="281"/>
      <c r="D14" s="281"/>
      <c r="E14" s="281"/>
      <c r="F14" s="281"/>
      <c r="G14" s="281"/>
      <c r="H14" s="281"/>
      <c r="I14" s="282"/>
      <c r="J14" s="282"/>
      <c r="K14" s="284"/>
      <c r="L14" s="260"/>
      <c r="M14" s="203"/>
      <c r="N14" s="199"/>
      <c r="O14" s="202"/>
      <c r="P14" s="122"/>
      <c r="Q14" s="202"/>
      <c r="R14" s="275"/>
      <c r="S14" s="202"/>
      <c r="T14" s="260"/>
      <c r="U14" s="202"/>
      <c r="V14" s="278"/>
      <c r="W14" s="202"/>
      <c r="X14" s="122"/>
      <c r="Y14" s="202"/>
      <c r="Z14" s="226"/>
      <c r="AA14" s="202"/>
      <c r="AB14" s="199"/>
      <c r="AC14" s="202"/>
      <c r="AD14" s="122"/>
      <c r="AE14" s="202"/>
      <c r="AF14" s="226">
        <v>5583</v>
      </c>
      <c r="AG14" s="217">
        <f t="shared" si="0"/>
        <v>-192.73520940000071</v>
      </c>
      <c r="AH14" s="199">
        <v>0</v>
      </c>
      <c r="AI14" s="202">
        <f t="shared" si="1"/>
        <v>0</v>
      </c>
      <c r="AJ14" s="122">
        <v>0</v>
      </c>
      <c r="AK14" s="202">
        <f t="shared" si="2"/>
        <v>0</v>
      </c>
      <c r="AL14" s="226">
        <v>5179</v>
      </c>
      <c r="AM14" s="217">
        <f t="shared" si="3"/>
        <v>-178.78840219999984</v>
      </c>
      <c r="AN14" s="198">
        <v>0</v>
      </c>
      <c r="AO14" s="202">
        <f t="shared" si="4"/>
        <v>0</v>
      </c>
      <c r="AP14" s="197">
        <v>0</v>
      </c>
      <c r="AQ14" s="202">
        <f t="shared" si="5"/>
        <v>0</v>
      </c>
      <c r="AR14" s="242">
        <v>0</v>
      </c>
      <c r="AS14" s="202">
        <f t="shared" si="6"/>
        <v>0</v>
      </c>
      <c r="AT14" s="205">
        <v>15536</v>
      </c>
      <c r="AU14" s="202">
        <f t="shared" si="7"/>
        <v>-536.33068480000111</v>
      </c>
      <c r="AV14" s="115">
        <v>0</v>
      </c>
      <c r="AW14" s="202">
        <f t="shared" si="8"/>
        <v>0</v>
      </c>
      <c r="AX14" s="197">
        <v>0</v>
      </c>
      <c r="AY14" s="217">
        <f t="shared" si="9"/>
        <v>0</v>
      </c>
      <c r="AZ14" s="198">
        <v>0</v>
      </c>
      <c r="BA14" s="202">
        <f t="shared" si="10"/>
        <v>0</v>
      </c>
      <c r="BB14" s="247">
        <v>0</v>
      </c>
      <c r="BC14" s="202">
        <f t="shared" si="11"/>
        <v>0</v>
      </c>
      <c r="BD14" s="103">
        <v>0</v>
      </c>
      <c r="BE14" s="202">
        <f t="shared" si="12"/>
        <v>0</v>
      </c>
      <c r="BF14" s="107">
        <v>0</v>
      </c>
      <c r="BG14" s="105">
        <f t="shared" si="13"/>
        <v>0</v>
      </c>
      <c r="BH14" s="107"/>
      <c r="BI14" s="107"/>
      <c r="BJ14" s="107">
        <v>0</v>
      </c>
      <c r="BK14" s="107"/>
      <c r="BL14" s="107">
        <v>0</v>
      </c>
      <c r="BM14" s="139">
        <v>0</v>
      </c>
      <c r="BN14" s="156">
        <f t="shared" si="14"/>
        <v>0</v>
      </c>
      <c r="BO14" s="104">
        <v>0</v>
      </c>
      <c r="BP14" s="104">
        <v>0</v>
      </c>
      <c r="BQ14" s="108">
        <f t="shared" si="15"/>
        <v>25390.145703599999</v>
      </c>
      <c r="BR14" s="109">
        <v>0</v>
      </c>
      <c r="BS14" s="109">
        <v>0</v>
      </c>
      <c r="BT14" s="109"/>
      <c r="BU14" s="109">
        <v>-25390</v>
      </c>
      <c r="BV14" s="109">
        <v>0</v>
      </c>
      <c r="BW14" s="110">
        <f t="shared" si="16"/>
        <v>0.15372545740081009</v>
      </c>
      <c r="BX14" s="111">
        <f t="shared" si="17"/>
        <v>-1.8078198864212303E-3</v>
      </c>
      <c r="BY14" s="111">
        <f t="shared" si="18"/>
        <v>0.15191763751438886</v>
      </c>
      <c r="BZ14" s="104">
        <f t="shared" si="19"/>
        <v>0.14399011759981353</v>
      </c>
      <c r="CA14" s="104">
        <v>0</v>
      </c>
      <c r="CB14" s="112">
        <v>0</v>
      </c>
      <c r="CC14" s="113">
        <v>0</v>
      </c>
      <c r="CD14" s="113">
        <v>0</v>
      </c>
      <c r="CE14" s="113">
        <f t="shared" si="20"/>
        <v>0</v>
      </c>
      <c r="CF14" s="114">
        <f t="shared" si="21"/>
        <v>0</v>
      </c>
      <c r="CG14" s="114"/>
      <c r="CH14" s="115">
        <f t="shared" si="22"/>
        <v>0</v>
      </c>
      <c r="CI14" s="106">
        <f t="shared" si="23"/>
        <v>0</v>
      </c>
      <c r="CJ14" s="115">
        <f t="shared" si="24"/>
        <v>0</v>
      </c>
      <c r="CK14" s="115">
        <f t="shared" si="25"/>
        <v>0</v>
      </c>
      <c r="CN14" s="116">
        <f t="shared" si="26"/>
        <v>0</v>
      </c>
      <c r="CO14" s="104">
        <v>0</v>
      </c>
      <c r="CP14" s="104">
        <f t="shared" si="27"/>
        <v>0.14399011759981353</v>
      </c>
      <c r="CQ14" s="104">
        <v>0</v>
      </c>
      <c r="CR14" s="55">
        <v>0</v>
      </c>
      <c r="CS14" s="104">
        <f t="shared" si="28"/>
        <v>0.14399011759981353</v>
      </c>
      <c r="CT14" s="104">
        <f t="shared" si="29"/>
        <v>0.15372545740081009</v>
      </c>
      <c r="CU14" s="104">
        <f t="shared" si="30"/>
        <v>60277.614901829598</v>
      </c>
      <c r="CV14" s="104">
        <v>0</v>
      </c>
      <c r="CW14" s="117">
        <f t="shared" si="31"/>
        <v>0.14570359999925131</v>
      </c>
      <c r="CX14" s="118">
        <f t="shared" si="32"/>
        <v>561380.58281440008</v>
      </c>
      <c r="CY14" s="104"/>
      <c r="CZ14" s="104"/>
      <c r="DA14" s="120"/>
      <c r="DB14" s="118"/>
    </row>
    <row r="15" spans="1:106" ht="15" customHeight="1">
      <c r="A15" s="96">
        <v>36775</v>
      </c>
      <c r="B15" s="281"/>
      <c r="C15" s="281"/>
      <c r="D15" s="281"/>
      <c r="E15" s="281"/>
      <c r="F15" s="281"/>
      <c r="G15" s="281"/>
      <c r="H15" s="281"/>
      <c r="I15" s="282"/>
      <c r="J15" s="282"/>
      <c r="K15" s="284"/>
      <c r="L15" s="260"/>
      <c r="M15" s="203"/>
      <c r="N15" s="199"/>
      <c r="O15" s="202"/>
      <c r="P15" s="122"/>
      <c r="Q15" s="202"/>
      <c r="R15" s="275"/>
      <c r="S15" s="202"/>
      <c r="T15" s="260"/>
      <c r="U15" s="202"/>
      <c r="V15" s="278"/>
      <c r="W15" s="202"/>
      <c r="X15" s="122"/>
      <c r="Y15" s="202"/>
      <c r="Z15" s="226"/>
      <c r="AA15" s="202"/>
      <c r="AB15" s="199"/>
      <c r="AC15" s="202"/>
      <c r="AD15" s="122"/>
      <c r="AE15" s="202"/>
      <c r="AF15" s="226">
        <v>5583</v>
      </c>
      <c r="AG15" s="217">
        <f t="shared" si="0"/>
        <v>-192.73520940000071</v>
      </c>
      <c r="AH15" s="199">
        <v>0</v>
      </c>
      <c r="AI15" s="202">
        <f t="shared" si="1"/>
        <v>0</v>
      </c>
      <c r="AJ15" s="122">
        <v>0</v>
      </c>
      <c r="AK15" s="202">
        <f t="shared" si="2"/>
        <v>0</v>
      </c>
      <c r="AL15" s="226">
        <v>5179</v>
      </c>
      <c r="AM15" s="217">
        <f t="shared" si="3"/>
        <v>-178.78840219999984</v>
      </c>
      <c r="AN15" s="198">
        <v>0</v>
      </c>
      <c r="AO15" s="202">
        <f t="shared" si="4"/>
        <v>0</v>
      </c>
      <c r="AP15" s="197">
        <v>0</v>
      </c>
      <c r="AQ15" s="202">
        <f t="shared" si="5"/>
        <v>0</v>
      </c>
      <c r="AR15" s="242">
        <v>0</v>
      </c>
      <c r="AS15" s="202">
        <f t="shared" si="6"/>
        <v>0</v>
      </c>
      <c r="AT15" s="205">
        <v>15536</v>
      </c>
      <c r="AU15" s="202">
        <f t="shared" si="7"/>
        <v>-536.33068480000111</v>
      </c>
      <c r="AV15" s="115">
        <v>0</v>
      </c>
      <c r="AW15" s="202">
        <f t="shared" si="8"/>
        <v>0</v>
      </c>
      <c r="AX15" s="197">
        <v>0</v>
      </c>
      <c r="AY15" s="217">
        <f t="shared" si="9"/>
        <v>0</v>
      </c>
      <c r="AZ15" s="198">
        <v>0</v>
      </c>
      <c r="BA15" s="202">
        <f t="shared" si="10"/>
        <v>0</v>
      </c>
      <c r="BB15" s="247">
        <v>0</v>
      </c>
      <c r="BC15" s="202">
        <f t="shared" si="11"/>
        <v>0</v>
      </c>
      <c r="BD15" s="103">
        <v>0</v>
      </c>
      <c r="BE15" s="202">
        <f t="shared" si="12"/>
        <v>0</v>
      </c>
      <c r="BF15" s="107">
        <v>0</v>
      </c>
      <c r="BG15" s="105">
        <f t="shared" si="13"/>
        <v>0</v>
      </c>
      <c r="BH15" s="107"/>
      <c r="BI15" s="107"/>
      <c r="BJ15" s="107">
        <v>0</v>
      </c>
      <c r="BK15" s="107"/>
      <c r="BL15" s="107">
        <v>0</v>
      </c>
      <c r="BM15" s="139">
        <v>0</v>
      </c>
      <c r="BN15" s="156">
        <f t="shared" si="14"/>
        <v>0</v>
      </c>
      <c r="BO15" s="104">
        <v>0</v>
      </c>
      <c r="BP15" s="104">
        <v>0</v>
      </c>
      <c r="BQ15" s="108">
        <f t="shared" si="15"/>
        <v>25390.145703599999</v>
      </c>
      <c r="BR15" s="109">
        <v>0</v>
      </c>
      <c r="BS15" s="109">
        <v>0</v>
      </c>
      <c r="BT15" s="109"/>
      <c r="BU15" s="109">
        <v>-25390</v>
      </c>
      <c r="BV15" s="109">
        <v>0</v>
      </c>
      <c r="BW15" s="110">
        <f t="shared" si="16"/>
        <v>0.15372545740081009</v>
      </c>
      <c r="BX15" s="111">
        <f t="shared" si="17"/>
        <v>-1.8078198864212303E-3</v>
      </c>
      <c r="BY15" s="111">
        <f t="shared" si="18"/>
        <v>0.15191763751438886</v>
      </c>
      <c r="BZ15" s="104">
        <f t="shared" si="19"/>
        <v>0.14399011759981353</v>
      </c>
      <c r="CA15" s="104">
        <v>0</v>
      </c>
      <c r="CB15" s="112">
        <v>0</v>
      </c>
      <c r="CC15" s="113">
        <v>0</v>
      </c>
      <c r="CD15" s="113">
        <v>0</v>
      </c>
      <c r="CE15" s="113">
        <f t="shared" si="20"/>
        <v>0</v>
      </c>
      <c r="CF15" s="114">
        <f t="shared" si="21"/>
        <v>0</v>
      </c>
      <c r="CG15" s="114"/>
      <c r="CH15" s="115">
        <f t="shared" si="22"/>
        <v>0</v>
      </c>
      <c r="CI15" s="106">
        <f t="shared" si="23"/>
        <v>0</v>
      </c>
      <c r="CJ15" s="115">
        <f t="shared" si="24"/>
        <v>0</v>
      </c>
      <c r="CK15" s="115">
        <f t="shared" si="25"/>
        <v>0</v>
      </c>
      <c r="CN15" s="116">
        <f t="shared" si="26"/>
        <v>0</v>
      </c>
      <c r="CO15" s="104">
        <v>0</v>
      </c>
      <c r="CP15" s="104">
        <f t="shared" si="27"/>
        <v>0.14399011759981353</v>
      </c>
      <c r="CQ15" s="104">
        <v>0</v>
      </c>
      <c r="CR15" s="55">
        <v>0</v>
      </c>
      <c r="CS15" s="104">
        <f t="shared" si="28"/>
        <v>0.14399011759981353</v>
      </c>
      <c r="CT15" s="104">
        <f t="shared" si="29"/>
        <v>0.15372545740081009</v>
      </c>
      <c r="CU15" s="104">
        <f t="shared" si="30"/>
        <v>60277.768627286998</v>
      </c>
      <c r="CV15" s="104">
        <v>0</v>
      </c>
      <c r="CW15" s="117">
        <f t="shared" si="31"/>
        <v>0.14570359999925131</v>
      </c>
      <c r="CX15" s="118">
        <f t="shared" si="32"/>
        <v>561380.72851800011</v>
      </c>
      <c r="CY15" s="104"/>
      <c r="CZ15" s="104"/>
      <c r="DA15" s="120"/>
      <c r="DB15" s="118"/>
    </row>
    <row r="16" spans="1:106" ht="15" customHeight="1">
      <c r="A16" s="96">
        <v>36776</v>
      </c>
      <c r="B16" s="281"/>
      <c r="C16" s="281"/>
      <c r="D16" s="281"/>
      <c r="E16" s="281"/>
      <c r="F16" s="281"/>
      <c r="G16" s="281"/>
      <c r="H16" s="281"/>
      <c r="I16" s="282"/>
      <c r="J16" s="282"/>
      <c r="K16" s="284"/>
      <c r="L16" s="260"/>
      <c r="M16" s="203"/>
      <c r="N16" s="199"/>
      <c r="O16" s="202"/>
      <c r="P16" s="122"/>
      <c r="Q16" s="202"/>
      <c r="R16" s="275"/>
      <c r="S16" s="202"/>
      <c r="T16" s="260"/>
      <c r="U16" s="202"/>
      <c r="V16" s="278"/>
      <c r="W16" s="202"/>
      <c r="X16" s="122"/>
      <c r="Y16" s="202"/>
      <c r="Z16" s="226"/>
      <c r="AA16" s="202"/>
      <c r="AB16" s="199"/>
      <c r="AC16" s="202"/>
      <c r="AD16" s="122"/>
      <c r="AE16" s="202"/>
      <c r="AF16" s="226">
        <v>5583</v>
      </c>
      <c r="AG16" s="217">
        <f t="shared" si="0"/>
        <v>-192.73520940000071</v>
      </c>
      <c r="AH16" s="199">
        <v>0</v>
      </c>
      <c r="AI16" s="202">
        <f t="shared" si="1"/>
        <v>0</v>
      </c>
      <c r="AJ16" s="122">
        <v>0</v>
      </c>
      <c r="AK16" s="202">
        <f t="shared" si="2"/>
        <v>0</v>
      </c>
      <c r="AL16" s="226">
        <v>5179</v>
      </c>
      <c r="AM16" s="217">
        <f t="shared" si="3"/>
        <v>-178.78840219999984</v>
      </c>
      <c r="AN16" s="198">
        <v>0</v>
      </c>
      <c r="AO16" s="202">
        <f t="shared" si="4"/>
        <v>0</v>
      </c>
      <c r="AP16" s="197">
        <v>0</v>
      </c>
      <c r="AQ16" s="202">
        <f t="shared" si="5"/>
        <v>0</v>
      </c>
      <c r="AR16" s="242">
        <v>0</v>
      </c>
      <c r="AS16" s="202">
        <f t="shared" si="6"/>
        <v>0</v>
      </c>
      <c r="AT16" s="205">
        <v>15536</v>
      </c>
      <c r="AU16" s="202">
        <f t="shared" si="7"/>
        <v>-536.33068480000111</v>
      </c>
      <c r="AV16" s="115">
        <v>0</v>
      </c>
      <c r="AW16" s="202">
        <f t="shared" si="8"/>
        <v>0</v>
      </c>
      <c r="AX16" s="197">
        <v>0</v>
      </c>
      <c r="AY16" s="217">
        <f t="shared" si="9"/>
        <v>0</v>
      </c>
      <c r="AZ16" s="198">
        <v>0</v>
      </c>
      <c r="BA16" s="202">
        <f t="shared" si="10"/>
        <v>0</v>
      </c>
      <c r="BB16" s="247">
        <v>0</v>
      </c>
      <c r="BC16" s="202">
        <f t="shared" si="11"/>
        <v>0</v>
      </c>
      <c r="BD16" s="103">
        <v>0</v>
      </c>
      <c r="BE16" s="202">
        <f t="shared" si="12"/>
        <v>0</v>
      </c>
      <c r="BF16" s="107">
        <v>0</v>
      </c>
      <c r="BG16" s="105">
        <f t="shared" si="13"/>
        <v>0</v>
      </c>
      <c r="BH16" s="107"/>
      <c r="BI16" s="107"/>
      <c r="BJ16" s="107">
        <v>0</v>
      </c>
      <c r="BK16" s="107"/>
      <c r="BL16" s="107">
        <v>0</v>
      </c>
      <c r="BM16" s="139">
        <v>0</v>
      </c>
      <c r="BN16" s="156">
        <f t="shared" si="14"/>
        <v>0</v>
      </c>
      <c r="BO16" s="104">
        <v>0</v>
      </c>
      <c r="BP16" s="104">
        <v>0</v>
      </c>
      <c r="BQ16" s="108">
        <f t="shared" ref="BQ16:BQ21" si="33">SUM($AF16:$AG16)+SUM($AL16:$AM16)+SUM($AT16:$AU16)+Z16+AA16+L16+M16+T16+U16</f>
        <v>25390.145703599999</v>
      </c>
      <c r="BR16" s="109">
        <v>0</v>
      </c>
      <c r="BS16" s="109">
        <v>0</v>
      </c>
      <c r="BT16" s="109"/>
      <c r="BU16" s="109">
        <v>-25390</v>
      </c>
      <c r="BV16" s="109">
        <v>0</v>
      </c>
      <c r="BW16" s="110">
        <f t="shared" ref="BW16:BW21" si="34">(BQ16+BR16+BS16+BU16+BV16)*M</f>
        <v>0.15372545740081009</v>
      </c>
      <c r="BX16" s="111">
        <f t="shared" si="17"/>
        <v>-1.8078198864212303E-3</v>
      </c>
      <c r="BY16" s="111">
        <f t="shared" ref="BY16:BY21" si="35">BW16+BX16</f>
        <v>0.15191763751438886</v>
      </c>
      <c r="BZ16" s="104">
        <f t="shared" si="19"/>
        <v>0.14399011759981353</v>
      </c>
      <c r="CA16" s="104">
        <v>0</v>
      </c>
      <c r="CB16" s="112">
        <v>0</v>
      </c>
      <c r="CC16" s="113">
        <v>0</v>
      </c>
      <c r="CD16" s="113">
        <v>0</v>
      </c>
      <c r="CE16" s="113">
        <f t="shared" ref="CE16:CE21" si="36">SUM(CB16+CC16+CD16)</f>
        <v>0</v>
      </c>
      <c r="CF16" s="114">
        <f t="shared" si="21"/>
        <v>0</v>
      </c>
      <c r="CG16" s="114"/>
      <c r="CH16" s="115">
        <f t="shared" ref="CH16:CH21" si="37">((CF16)/(1+DAWNKIRK))-(CF16)</f>
        <v>0</v>
      </c>
      <c r="CI16" s="106">
        <f t="shared" ref="CI16:CI21" si="38">ROUND(CF16+CH16,1)</f>
        <v>0</v>
      </c>
      <c r="CJ16" s="115">
        <f t="shared" si="24"/>
        <v>0</v>
      </c>
      <c r="CK16" s="115">
        <f t="shared" ref="CK16:CK21" si="39">CI16+CJ16</f>
        <v>0</v>
      </c>
      <c r="CN16" s="116">
        <f t="shared" ref="CN16:CN21" si="40">CK16/M</f>
        <v>0</v>
      </c>
      <c r="CO16" s="104">
        <v>0</v>
      </c>
      <c r="CP16" s="104">
        <f t="shared" ref="CP16:CP21" si="41">CO16+CN16+BZ16</f>
        <v>0.14399011759981353</v>
      </c>
      <c r="CQ16" s="104">
        <v>0</v>
      </c>
      <c r="CR16" s="55">
        <v>0</v>
      </c>
      <c r="CS16" s="104">
        <f t="shared" ref="CS16:CS21" si="42">+CP16+CQ16-CA16-CR16</f>
        <v>0.14399011759981353</v>
      </c>
      <c r="CT16" s="104">
        <f t="shared" ref="CT16:CT21" si="43">CW16*M</f>
        <v>0.15372545740081009</v>
      </c>
      <c r="CU16" s="104">
        <f t="shared" ref="CU16:CU21" si="44">+CT16+CU15</f>
        <v>60277.922352744397</v>
      </c>
      <c r="CV16" s="104">
        <v>0</v>
      </c>
      <c r="CW16" s="117">
        <f t="shared" ref="CW16:CW21" si="45">CS16+CS16*STCLAIRCHIP-CV16</f>
        <v>0.14570359999925131</v>
      </c>
      <c r="CX16" s="118">
        <f t="shared" ref="CX16:CX21" si="46">CW16+CX15</f>
        <v>561380.87422160013</v>
      </c>
      <c r="CY16" s="104"/>
      <c r="CZ16" s="104"/>
      <c r="DA16" s="120"/>
      <c r="DB16" s="118"/>
    </row>
    <row r="17" spans="1:106" ht="15" customHeight="1">
      <c r="A17" s="96">
        <v>36777</v>
      </c>
      <c r="B17" s="281"/>
      <c r="C17" s="281"/>
      <c r="D17" s="281"/>
      <c r="E17" s="281"/>
      <c r="F17" s="281"/>
      <c r="G17" s="281"/>
      <c r="H17" s="281"/>
      <c r="I17" s="282"/>
      <c r="J17" s="282"/>
      <c r="K17" s="284"/>
      <c r="L17" s="260"/>
      <c r="M17" s="203"/>
      <c r="N17" s="199"/>
      <c r="O17" s="202"/>
      <c r="P17" s="122"/>
      <c r="Q17" s="202"/>
      <c r="R17" s="275"/>
      <c r="S17" s="202"/>
      <c r="T17" s="260"/>
      <c r="U17" s="202"/>
      <c r="V17" s="278"/>
      <c r="W17" s="202"/>
      <c r="X17" s="122"/>
      <c r="Y17" s="202"/>
      <c r="Z17" s="226"/>
      <c r="AA17" s="202"/>
      <c r="AB17" s="199"/>
      <c r="AC17" s="202"/>
      <c r="AD17" s="122"/>
      <c r="AE17" s="202"/>
      <c r="AF17" s="226">
        <v>5583</v>
      </c>
      <c r="AG17" s="217">
        <f t="shared" si="0"/>
        <v>-192.73520940000071</v>
      </c>
      <c r="AH17" s="199">
        <v>0</v>
      </c>
      <c r="AI17" s="202">
        <f t="shared" si="1"/>
        <v>0</v>
      </c>
      <c r="AJ17" s="122">
        <v>0</v>
      </c>
      <c r="AK17" s="202">
        <f t="shared" si="2"/>
        <v>0</v>
      </c>
      <c r="AL17" s="226">
        <v>5179</v>
      </c>
      <c r="AM17" s="217">
        <f t="shared" si="3"/>
        <v>-178.78840219999984</v>
      </c>
      <c r="AN17" s="198">
        <v>0</v>
      </c>
      <c r="AO17" s="202">
        <f t="shared" si="4"/>
        <v>0</v>
      </c>
      <c r="AP17" s="197">
        <v>0</v>
      </c>
      <c r="AQ17" s="202">
        <f t="shared" si="5"/>
        <v>0</v>
      </c>
      <c r="AR17" s="242">
        <v>0</v>
      </c>
      <c r="AS17" s="202">
        <f t="shared" si="6"/>
        <v>0</v>
      </c>
      <c r="AT17" s="205">
        <v>15536</v>
      </c>
      <c r="AU17" s="202">
        <f t="shared" si="7"/>
        <v>-536.33068480000111</v>
      </c>
      <c r="AV17" s="115">
        <v>0</v>
      </c>
      <c r="AW17" s="202">
        <f t="shared" si="8"/>
        <v>0</v>
      </c>
      <c r="AX17" s="197">
        <v>0</v>
      </c>
      <c r="AY17" s="217">
        <f t="shared" si="9"/>
        <v>0</v>
      </c>
      <c r="AZ17" s="198">
        <v>0</v>
      </c>
      <c r="BA17" s="202">
        <f t="shared" si="10"/>
        <v>0</v>
      </c>
      <c r="BB17" s="247">
        <v>0</v>
      </c>
      <c r="BC17" s="202">
        <f t="shared" si="11"/>
        <v>0</v>
      </c>
      <c r="BD17" s="103">
        <v>0</v>
      </c>
      <c r="BE17" s="202">
        <f t="shared" si="12"/>
        <v>0</v>
      </c>
      <c r="BF17" s="107">
        <v>0</v>
      </c>
      <c r="BG17" s="105">
        <f t="shared" si="13"/>
        <v>0</v>
      </c>
      <c r="BH17" s="107"/>
      <c r="BI17" s="107"/>
      <c r="BJ17" s="107">
        <v>0</v>
      </c>
      <c r="BK17" s="107"/>
      <c r="BL17" s="107">
        <v>0</v>
      </c>
      <c r="BM17" s="139">
        <v>0</v>
      </c>
      <c r="BN17" s="156">
        <f t="shared" si="14"/>
        <v>0</v>
      </c>
      <c r="BO17" s="104">
        <v>0</v>
      </c>
      <c r="BP17" s="104">
        <v>0</v>
      </c>
      <c r="BQ17" s="108">
        <f t="shared" si="33"/>
        <v>25390.145703599999</v>
      </c>
      <c r="BR17" s="109">
        <v>0</v>
      </c>
      <c r="BS17" s="109">
        <v>-25390</v>
      </c>
      <c r="BT17" s="109"/>
      <c r="BU17" s="109">
        <v>0</v>
      </c>
      <c r="BV17" s="109">
        <v>0</v>
      </c>
      <c r="BW17" s="110">
        <f t="shared" si="34"/>
        <v>0.15372545740081009</v>
      </c>
      <c r="BX17" s="111">
        <f t="shared" si="17"/>
        <v>-1.8078198864212303E-3</v>
      </c>
      <c r="BY17" s="111">
        <f t="shared" si="35"/>
        <v>0.15191763751438886</v>
      </c>
      <c r="BZ17" s="104">
        <f t="shared" si="19"/>
        <v>0.14399011759981353</v>
      </c>
      <c r="CA17" s="104">
        <v>0</v>
      </c>
      <c r="CB17" s="112">
        <v>0</v>
      </c>
      <c r="CC17" s="113">
        <v>0</v>
      </c>
      <c r="CD17" s="113">
        <v>0</v>
      </c>
      <c r="CE17" s="113">
        <f t="shared" si="36"/>
        <v>0</v>
      </c>
      <c r="CF17" s="114">
        <f t="shared" si="21"/>
        <v>0</v>
      </c>
      <c r="CG17" s="114"/>
      <c r="CH17" s="115">
        <f t="shared" si="37"/>
        <v>0</v>
      </c>
      <c r="CI17" s="106">
        <f t="shared" si="38"/>
        <v>0</v>
      </c>
      <c r="CJ17" s="115">
        <f t="shared" si="24"/>
        <v>0</v>
      </c>
      <c r="CK17" s="115">
        <f t="shared" si="39"/>
        <v>0</v>
      </c>
      <c r="CN17" s="116">
        <f t="shared" si="40"/>
        <v>0</v>
      </c>
      <c r="CO17" s="104">
        <v>0</v>
      </c>
      <c r="CP17" s="104">
        <f t="shared" si="41"/>
        <v>0.14399011759981353</v>
      </c>
      <c r="CQ17" s="104">
        <v>0</v>
      </c>
      <c r="CR17" s="55">
        <v>0</v>
      </c>
      <c r="CS17" s="104">
        <f t="shared" si="42"/>
        <v>0.14399011759981353</v>
      </c>
      <c r="CT17" s="104">
        <f t="shared" si="43"/>
        <v>0.15372545740081009</v>
      </c>
      <c r="CU17" s="104">
        <f t="shared" si="44"/>
        <v>60278.076078201797</v>
      </c>
      <c r="CV17" s="104">
        <v>0</v>
      </c>
      <c r="CW17" s="117">
        <f t="shared" si="45"/>
        <v>0.14570359999925131</v>
      </c>
      <c r="CX17" s="118">
        <f t="shared" si="46"/>
        <v>561381.01992520015</v>
      </c>
      <c r="CY17" s="104"/>
      <c r="CZ17" s="104"/>
      <c r="DA17" s="120"/>
      <c r="DB17" s="118"/>
    </row>
    <row r="18" spans="1:106" ht="15" customHeight="1">
      <c r="A18" s="96">
        <v>36778</v>
      </c>
      <c r="B18" s="281"/>
      <c r="C18" s="281"/>
      <c r="D18" s="281"/>
      <c r="E18" s="281"/>
      <c r="F18" s="281"/>
      <c r="G18" s="281"/>
      <c r="H18" s="281"/>
      <c r="I18" s="282"/>
      <c r="J18" s="282"/>
      <c r="K18" s="284"/>
      <c r="L18" s="260"/>
      <c r="M18" s="203"/>
      <c r="N18" s="199"/>
      <c r="O18" s="202"/>
      <c r="P18" s="122"/>
      <c r="Q18" s="202"/>
      <c r="R18" s="275"/>
      <c r="S18" s="202"/>
      <c r="T18" s="260"/>
      <c r="U18" s="202"/>
      <c r="V18" s="278"/>
      <c r="W18" s="202"/>
      <c r="X18" s="122"/>
      <c r="Y18" s="202"/>
      <c r="Z18" s="226"/>
      <c r="AA18" s="202"/>
      <c r="AB18" s="199"/>
      <c r="AC18" s="202"/>
      <c r="AD18" s="122"/>
      <c r="AE18" s="202"/>
      <c r="AF18" s="226">
        <v>5583</v>
      </c>
      <c r="AG18" s="217">
        <f t="shared" si="0"/>
        <v>-192.73520940000071</v>
      </c>
      <c r="AH18" s="199">
        <v>0</v>
      </c>
      <c r="AI18" s="202">
        <f t="shared" si="1"/>
        <v>0</v>
      </c>
      <c r="AJ18" s="122">
        <v>0</v>
      </c>
      <c r="AK18" s="202">
        <f t="shared" si="2"/>
        <v>0</v>
      </c>
      <c r="AL18" s="226">
        <v>5179</v>
      </c>
      <c r="AM18" s="217">
        <f t="shared" si="3"/>
        <v>-178.78840219999984</v>
      </c>
      <c r="AN18" s="198">
        <v>0</v>
      </c>
      <c r="AO18" s="202">
        <f t="shared" si="4"/>
        <v>0</v>
      </c>
      <c r="AP18" s="197">
        <v>0</v>
      </c>
      <c r="AQ18" s="202">
        <f t="shared" si="5"/>
        <v>0</v>
      </c>
      <c r="AR18" s="242">
        <v>0</v>
      </c>
      <c r="AS18" s="202">
        <f t="shared" si="6"/>
        <v>0</v>
      </c>
      <c r="AT18" s="205">
        <v>15536</v>
      </c>
      <c r="AU18" s="202">
        <f t="shared" si="7"/>
        <v>-536.33068480000111</v>
      </c>
      <c r="AV18" s="115">
        <v>0</v>
      </c>
      <c r="AW18" s="202">
        <f t="shared" si="8"/>
        <v>0</v>
      </c>
      <c r="AX18" s="197">
        <v>0</v>
      </c>
      <c r="AY18" s="217">
        <f t="shared" si="9"/>
        <v>0</v>
      </c>
      <c r="AZ18" s="198">
        <v>0</v>
      </c>
      <c r="BA18" s="202">
        <f t="shared" si="10"/>
        <v>0</v>
      </c>
      <c r="BB18" s="247">
        <v>0</v>
      </c>
      <c r="BC18" s="202">
        <f t="shared" si="11"/>
        <v>0</v>
      </c>
      <c r="BD18" s="103">
        <v>0</v>
      </c>
      <c r="BE18" s="202">
        <f t="shared" si="12"/>
        <v>0</v>
      </c>
      <c r="BF18" s="107">
        <v>0</v>
      </c>
      <c r="BG18" s="105">
        <f t="shared" si="13"/>
        <v>0</v>
      </c>
      <c r="BH18" s="107"/>
      <c r="BI18" s="107"/>
      <c r="BJ18" s="107">
        <v>0</v>
      </c>
      <c r="BK18" s="107"/>
      <c r="BL18" s="107">
        <v>0</v>
      </c>
      <c r="BM18" s="139">
        <v>0</v>
      </c>
      <c r="BN18" s="156">
        <f t="shared" si="14"/>
        <v>0</v>
      </c>
      <c r="BO18" s="104">
        <v>0</v>
      </c>
      <c r="BP18" s="104">
        <v>0</v>
      </c>
      <c r="BQ18" s="108">
        <f t="shared" si="33"/>
        <v>25390.145703599999</v>
      </c>
      <c r="BR18" s="109">
        <v>0</v>
      </c>
      <c r="BS18" s="109">
        <v>-25390</v>
      </c>
      <c r="BT18" s="109"/>
      <c r="BU18" s="109">
        <v>0</v>
      </c>
      <c r="BV18" s="109">
        <v>0</v>
      </c>
      <c r="BW18" s="110">
        <f t="shared" si="34"/>
        <v>0.15372545740081009</v>
      </c>
      <c r="BX18" s="111">
        <f t="shared" si="17"/>
        <v>-1.8078198864212303E-3</v>
      </c>
      <c r="BY18" s="111">
        <f t="shared" si="35"/>
        <v>0.15191763751438886</v>
      </c>
      <c r="BZ18" s="104">
        <f t="shared" si="19"/>
        <v>0.14399011759981353</v>
      </c>
      <c r="CA18" s="104">
        <v>0</v>
      </c>
      <c r="CB18" s="112">
        <v>0</v>
      </c>
      <c r="CC18" s="113">
        <v>0</v>
      </c>
      <c r="CD18" s="113">
        <v>0</v>
      </c>
      <c r="CE18" s="113">
        <f t="shared" si="36"/>
        <v>0</v>
      </c>
      <c r="CF18" s="114">
        <f t="shared" si="21"/>
        <v>0</v>
      </c>
      <c r="CG18" s="114"/>
      <c r="CH18" s="115">
        <f t="shared" si="37"/>
        <v>0</v>
      </c>
      <c r="CI18" s="106">
        <f t="shared" si="38"/>
        <v>0</v>
      </c>
      <c r="CJ18" s="115">
        <f t="shared" si="24"/>
        <v>0</v>
      </c>
      <c r="CK18" s="115">
        <f t="shared" si="39"/>
        <v>0</v>
      </c>
      <c r="CN18" s="116">
        <f t="shared" si="40"/>
        <v>0</v>
      </c>
      <c r="CO18" s="104">
        <v>0</v>
      </c>
      <c r="CP18" s="104">
        <f t="shared" si="41"/>
        <v>0.14399011759981353</v>
      </c>
      <c r="CQ18" s="104">
        <v>0</v>
      </c>
      <c r="CR18" s="55">
        <v>0</v>
      </c>
      <c r="CS18" s="104">
        <f t="shared" si="42"/>
        <v>0.14399011759981353</v>
      </c>
      <c r="CT18" s="104">
        <f t="shared" si="43"/>
        <v>0.15372545740081009</v>
      </c>
      <c r="CU18" s="104">
        <f t="shared" si="44"/>
        <v>60278.229803659196</v>
      </c>
      <c r="CV18" s="104">
        <v>0</v>
      </c>
      <c r="CW18" s="117">
        <f t="shared" si="45"/>
        <v>0.14570359999925131</v>
      </c>
      <c r="CX18" s="118">
        <f t="shared" si="46"/>
        <v>561381.16562880017</v>
      </c>
      <c r="CY18" s="104"/>
      <c r="CZ18" s="104"/>
      <c r="DA18" s="120"/>
      <c r="DB18" s="118"/>
    </row>
    <row r="19" spans="1:106" ht="15" customHeight="1">
      <c r="A19" s="96">
        <v>36779</v>
      </c>
      <c r="B19" s="281"/>
      <c r="C19" s="281"/>
      <c r="D19" s="281"/>
      <c r="E19" s="281"/>
      <c r="F19" s="281"/>
      <c r="G19" s="281"/>
      <c r="H19" s="281"/>
      <c r="I19" s="282"/>
      <c r="J19" s="282"/>
      <c r="K19" s="284"/>
      <c r="L19" s="260"/>
      <c r="M19" s="203"/>
      <c r="N19" s="199"/>
      <c r="O19" s="202"/>
      <c r="P19" s="122"/>
      <c r="Q19" s="202"/>
      <c r="R19" s="275"/>
      <c r="S19" s="202"/>
      <c r="T19" s="260"/>
      <c r="U19" s="202"/>
      <c r="V19" s="278"/>
      <c r="W19" s="202"/>
      <c r="X19" s="122"/>
      <c r="Y19" s="202"/>
      <c r="Z19" s="226"/>
      <c r="AA19" s="202"/>
      <c r="AB19" s="199"/>
      <c r="AC19" s="202"/>
      <c r="AD19" s="122"/>
      <c r="AE19" s="202"/>
      <c r="AF19" s="226">
        <v>5583</v>
      </c>
      <c r="AG19" s="217">
        <f t="shared" si="0"/>
        <v>-192.73520940000071</v>
      </c>
      <c r="AH19" s="199">
        <v>0</v>
      </c>
      <c r="AI19" s="202">
        <f t="shared" si="1"/>
        <v>0</v>
      </c>
      <c r="AJ19" s="122">
        <v>0</v>
      </c>
      <c r="AK19" s="202">
        <f t="shared" si="2"/>
        <v>0</v>
      </c>
      <c r="AL19" s="226">
        <v>5179</v>
      </c>
      <c r="AM19" s="217">
        <f t="shared" si="3"/>
        <v>-178.78840219999984</v>
      </c>
      <c r="AN19" s="198">
        <v>0</v>
      </c>
      <c r="AO19" s="202">
        <f t="shared" si="4"/>
        <v>0</v>
      </c>
      <c r="AP19" s="197">
        <v>0</v>
      </c>
      <c r="AQ19" s="202">
        <f t="shared" si="5"/>
        <v>0</v>
      </c>
      <c r="AR19" s="242">
        <v>0</v>
      </c>
      <c r="AS19" s="202">
        <f t="shared" si="6"/>
        <v>0</v>
      </c>
      <c r="AT19" s="205">
        <v>15536</v>
      </c>
      <c r="AU19" s="202">
        <f t="shared" si="7"/>
        <v>-536.33068480000111</v>
      </c>
      <c r="AV19" s="115">
        <v>0</v>
      </c>
      <c r="AW19" s="202">
        <f t="shared" si="8"/>
        <v>0</v>
      </c>
      <c r="AX19" s="197">
        <v>0</v>
      </c>
      <c r="AY19" s="217">
        <f t="shared" si="9"/>
        <v>0</v>
      </c>
      <c r="AZ19" s="198">
        <v>0</v>
      </c>
      <c r="BA19" s="202">
        <f t="shared" si="10"/>
        <v>0</v>
      </c>
      <c r="BB19" s="247">
        <v>0</v>
      </c>
      <c r="BC19" s="202">
        <f t="shared" si="11"/>
        <v>0</v>
      </c>
      <c r="BD19" s="103">
        <v>0</v>
      </c>
      <c r="BE19" s="202">
        <f t="shared" si="12"/>
        <v>0</v>
      </c>
      <c r="BF19" s="107">
        <v>0</v>
      </c>
      <c r="BG19" s="105">
        <f t="shared" si="13"/>
        <v>0</v>
      </c>
      <c r="BH19" s="107"/>
      <c r="BI19" s="107"/>
      <c r="BJ19" s="107">
        <v>0</v>
      </c>
      <c r="BK19" s="107"/>
      <c r="BL19" s="107">
        <v>0</v>
      </c>
      <c r="BM19" s="139">
        <v>0</v>
      </c>
      <c r="BN19" s="156">
        <f t="shared" si="14"/>
        <v>0</v>
      </c>
      <c r="BO19" s="104">
        <v>0</v>
      </c>
      <c r="BP19" s="104">
        <v>0</v>
      </c>
      <c r="BQ19" s="108">
        <f t="shared" si="33"/>
        <v>25390.145703599999</v>
      </c>
      <c r="BR19" s="109">
        <v>0</v>
      </c>
      <c r="BS19" s="109">
        <v>-25390</v>
      </c>
      <c r="BT19" s="109"/>
      <c r="BU19" s="109">
        <v>0</v>
      </c>
      <c r="BV19" s="109">
        <v>0</v>
      </c>
      <c r="BW19" s="110">
        <f t="shared" si="34"/>
        <v>0.15372545740081009</v>
      </c>
      <c r="BX19" s="111">
        <f t="shared" si="17"/>
        <v>-1.8078198864212303E-3</v>
      </c>
      <c r="BY19" s="111">
        <f t="shared" si="35"/>
        <v>0.15191763751438886</v>
      </c>
      <c r="BZ19" s="104">
        <f t="shared" si="19"/>
        <v>0.14399011759981353</v>
      </c>
      <c r="CA19" s="104">
        <v>0</v>
      </c>
      <c r="CB19" s="112">
        <v>0</v>
      </c>
      <c r="CC19" s="113">
        <v>0</v>
      </c>
      <c r="CD19" s="113">
        <v>0</v>
      </c>
      <c r="CE19" s="113">
        <f t="shared" si="36"/>
        <v>0</v>
      </c>
      <c r="CF19" s="114">
        <f t="shared" si="21"/>
        <v>0</v>
      </c>
      <c r="CG19" s="114"/>
      <c r="CH19" s="115">
        <f t="shared" si="37"/>
        <v>0</v>
      </c>
      <c r="CI19" s="106">
        <f t="shared" si="38"/>
        <v>0</v>
      </c>
      <c r="CJ19" s="115">
        <f t="shared" si="24"/>
        <v>0</v>
      </c>
      <c r="CK19" s="115">
        <f t="shared" si="39"/>
        <v>0</v>
      </c>
      <c r="CN19" s="116">
        <f t="shared" si="40"/>
        <v>0</v>
      </c>
      <c r="CO19" s="104">
        <v>0</v>
      </c>
      <c r="CP19" s="104">
        <f t="shared" si="41"/>
        <v>0.14399011759981353</v>
      </c>
      <c r="CQ19" s="104">
        <v>0</v>
      </c>
      <c r="CR19" s="55">
        <v>0</v>
      </c>
      <c r="CS19" s="104">
        <f t="shared" si="42"/>
        <v>0.14399011759981353</v>
      </c>
      <c r="CT19" s="104">
        <f t="shared" si="43"/>
        <v>0.15372545740081009</v>
      </c>
      <c r="CU19" s="104">
        <f t="shared" si="44"/>
        <v>60278.383529116596</v>
      </c>
      <c r="CV19" s="104">
        <v>0</v>
      </c>
      <c r="CW19" s="117">
        <f t="shared" si="45"/>
        <v>0.14570359999925131</v>
      </c>
      <c r="CX19" s="118">
        <f t="shared" si="46"/>
        <v>561381.31133240019</v>
      </c>
      <c r="CY19" s="104"/>
      <c r="CZ19" s="104"/>
      <c r="DA19" s="120"/>
      <c r="DB19" s="118"/>
    </row>
    <row r="20" spans="1:106" ht="15" customHeight="1">
      <c r="A20" s="96">
        <v>36780</v>
      </c>
      <c r="B20" s="281"/>
      <c r="C20" s="281"/>
      <c r="D20" s="281"/>
      <c r="E20" s="281"/>
      <c r="F20" s="281"/>
      <c r="G20" s="281"/>
      <c r="H20" s="281"/>
      <c r="I20" s="282"/>
      <c r="J20" s="282"/>
      <c r="K20" s="284"/>
      <c r="L20" s="260"/>
      <c r="M20" s="203"/>
      <c r="N20" s="199"/>
      <c r="O20" s="202"/>
      <c r="P20" s="122"/>
      <c r="Q20" s="202"/>
      <c r="R20" s="275"/>
      <c r="S20" s="202"/>
      <c r="T20" s="260"/>
      <c r="U20" s="202"/>
      <c r="V20" s="278"/>
      <c r="W20" s="202"/>
      <c r="X20" s="122"/>
      <c r="Y20" s="202"/>
      <c r="Z20" s="226"/>
      <c r="AA20" s="202"/>
      <c r="AB20" s="199"/>
      <c r="AC20" s="202"/>
      <c r="AD20" s="122"/>
      <c r="AE20" s="202"/>
      <c r="AF20" s="226">
        <v>5583</v>
      </c>
      <c r="AG20" s="217">
        <f t="shared" si="0"/>
        <v>-192.73520940000071</v>
      </c>
      <c r="AH20" s="199">
        <v>0</v>
      </c>
      <c r="AI20" s="202">
        <f t="shared" si="1"/>
        <v>0</v>
      </c>
      <c r="AJ20" s="122">
        <v>0</v>
      </c>
      <c r="AK20" s="202">
        <f t="shared" si="2"/>
        <v>0</v>
      </c>
      <c r="AL20" s="226">
        <v>5179</v>
      </c>
      <c r="AM20" s="217">
        <f t="shared" si="3"/>
        <v>-178.78840219999984</v>
      </c>
      <c r="AN20" s="198">
        <v>0</v>
      </c>
      <c r="AO20" s="202">
        <f t="shared" si="4"/>
        <v>0</v>
      </c>
      <c r="AP20" s="197">
        <v>0</v>
      </c>
      <c r="AQ20" s="202">
        <f t="shared" si="5"/>
        <v>0</v>
      </c>
      <c r="AR20" s="242">
        <v>0</v>
      </c>
      <c r="AS20" s="202">
        <f t="shared" si="6"/>
        <v>0</v>
      </c>
      <c r="AT20" s="205">
        <v>15536</v>
      </c>
      <c r="AU20" s="202">
        <f t="shared" si="7"/>
        <v>-536.33068480000111</v>
      </c>
      <c r="AV20" s="115">
        <v>0</v>
      </c>
      <c r="AW20" s="202">
        <f t="shared" si="8"/>
        <v>0</v>
      </c>
      <c r="AX20" s="197">
        <v>0</v>
      </c>
      <c r="AY20" s="217">
        <f t="shared" si="9"/>
        <v>0</v>
      </c>
      <c r="AZ20" s="198">
        <v>0</v>
      </c>
      <c r="BA20" s="202">
        <f t="shared" si="10"/>
        <v>0</v>
      </c>
      <c r="BB20" s="247">
        <v>0</v>
      </c>
      <c r="BC20" s="202">
        <f t="shared" si="11"/>
        <v>0</v>
      </c>
      <c r="BD20" s="103">
        <v>0</v>
      </c>
      <c r="BE20" s="202">
        <f t="shared" si="12"/>
        <v>0</v>
      </c>
      <c r="BF20" s="107">
        <v>0</v>
      </c>
      <c r="BG20" s="105">
        <f t="shared" si="13"/>
        <v>0</v>
      </c>
      <c r="BH20" s="107"/>
      <c r="BI20" s="107"/>
      <c r="BJ20" s="107">
        <v>0</v>
      </c>
      <c r="BK20" s="107"/>
      <c r="BL20" s="107">
        <v>0</v>
      </c>
      <c r="BM20" s="139">
        <v>0</v>
      </c>
      <c r="BN20" s="156">
        <f t="shared" si="14"/>
        <v>0</v>
      </c>
      <c r="BO20" s="104">
        <v>0</v>
      </c>
      <c r="BP20" s="104">
        <v>0</v>
      </c>
      <c r="BQ20" s="108">
        <f t="shared" si="33"/>
        <v>25390.145703599999</v>
      </c>
      <c r="BR20" s="109">
        <v>0</v>
      </c>
      <c r="BS20" s="109">
        <v>-25390</v>
      </c>
      <c r="BT20" s="109"/>
      <c r="BU20" s="109">
        <v>0</v>
      </c>
      <c r="BV20" s="109">
        <v>0</v>
      </c>
      <c r="BW20" s="110">
        <f t="shared" si="34"/>
        <v>0.15372545740081009</v>
      </c>
      <c r="BX20" s="111">
        <f t="shared" si="17"/>
        <v>-1.8078198864212303E-3</v>
      </c>
      <c r="BY20" s="111">
        <f t="shared" si="35"/>
        <v>0.15191763751438886</v>
      </c>
      <c r="BZ20" s="104">
        <f t="shared" si="19"/>
        <v>0.14399011759981353</v>
      </c>
      <c r="CA20" s="104">
        <v>0</v>
      </c>
      <c r="CB20" s="112">
        <v>0</v>
      </c>
      <c r="CC20" s="113">
        <v>0</v>
      </c>
      <c r="CD20" s="113">
        <v>0</v>
      </c>
      <c r="CE20" s="113">
        <f t="shared" si="36"/>
        <v>0</v>
      </c>
      <c r="CF20" s="114">
        <f t="shared" si="21"/>
        <v>0</v>
      </c>
      <c r="CG20" s="114"/>
      <c r="CH20" s="115">
        <f t="shared" si="37"/>
        <v>0</v>
      </c>
      <c r="CI20" s="106">
        <f t="shared" si="38"/>
        <v>0</v>
      </c>
      <c r="CJ20" s="115">
        <f t="shared" si="24"/>
        <v>0</v>
      </c>
      <c r="CK20" s="115">
        <f t="shared" si="39"/>
        <v>0</v>
      </c>
      <c r="CN20" s="116">
        <f t="shared" si="40"/>
        <v>0</v>
      </c>
      <c r="CO20" s="104">
        <v>0</v>
      </c>
      <c r="CP20" s="104">
        <f t="shared" si="41"/>
        <v>0.14399011759981353</v>
      </c>
      <c r="CQ20" s="104">
        <v>0</v>
      </c>
      <c r="CR20" s="55">
        <v>0</v>
      </c>
      <c r="CS20" s="104">
        <f t="shared" si="42"/>
        <v>0.14399011759981353</v>
      </c>
      <c r="CT20" s="104">
        <f t="shared" si="43"/>
        <v>0.15372545740081009</v>
      </c>
      <c r="CU20" s="104">
        <f t="shared" si="44"/>
        <v>60278.537254573996</v>
      </c>
      <c r="CV20" s="104">
        <v>0</v>
      </c>
      <c r="CW20" s="117">
        <f t="shared" si="45"/>
        <v>0.14570359999925131</v>
      </c>
      <c r="CX20" s="118">
        <f t="shared" si="46"/>
        <v>561381.45703600021</v>
      </c>
      <c r="CY20" s="104"/>
      <c r="CZ20" s="104"/>
      <c r="DA20" s="120"/>
      <c r="DB20" s="118"/>
    </row>
    <row r="21" spans="1:106" ht="15" customHeight="1">
      <c r="A21" s="96">
        <v>36781</v>
      </c>
      <c r="B21" s="281"/>
      <c r="C21" s="281"/>
      <c r="D21" s="281"/>
      <c r="E21" s="281"/>
      <c r="F21" s="281"/>
      <c r="G21" s="281"/>
      <c r="H21" s="281"/>
      <c r="I21" s="282"/>
      <c r="J21" s="282"/>
      <c r="K21" s="284"/>
      <c r="L21" s="260"/>
      <c r="M21" s="203"/>
      <c r="N21" s="199"/>
      <c r="O21" s="202"/>
      <c r="P21" s="122"/>
      <c r="Q21" s="202"/>
      <c r="R21" s="275"/>
      <c r="S21" s="202"/>
      <c r="T21" s="260"/>
      <c r="U21" s="202"/>
      <c r="V21" s="278"/>
      <c r="W21" s="202"/>
      <c r="X21" s="122"/>
      <c r="Y21" s="202"/>
      <c r="Z21" s="226"/>
      <c r="AA21" s="202"/>
      <c r="AB21" s="199"/>
      <c r="AC21" s="202"/>
      <c r="AD21" s="122"/>
      <c r="AE21" s="202"/>
      <c r="AF21" s="226">
        <v>5583</v>
      </c>
      <c r="AG21" s="217">
        <f t="shared" si="0"/>
        <v>-192.73520940000071</v>
      </c>
      <c r="AH21" s="199">
        <v>0</v>
      </c>
      <c r="AI21" s="202">
        <f t="shared" si="1"/>
        <v>0</v>
      </c>
      <c r="AJ21" s="122">
        <v>0</v>
      </c>
      <c r="AK21" s="202">
        <f t="shared" si="2"/>
        <v>0</v>
      </c>
      <c r="AL21" s="226">
        <v>5179</v>
      </c>
      <c r="AM21" s="217">
        <f t="shared" si="3"/>
        <v>-178.78840219999984</v>
      </c>
      <c r="AN21" s="198">
        <v>0</v>
      </c>
      <c r="AO21" s="202">
        <f t="shared" si="4"/>
        <v>0</v>
      </c>
      <c r="AP21" s="197">
        <v>0</v>
      </c>
      <c r="AQ21" s="202">
        <f t="shared" si="5"/>
        <v>0</v>
      </c>
      <c r="AR21" s="242">
        <v>0</v>
      </c>
      <c r="AS21" s="202">
        <f t="shared" si="6"/>
        <v>0</v>
      </c>
      <c r="AT21" s="205">
        <v>15536</v>
      </c>
      <c r="AU21" s="202">
        <f t="shared" si="7"/>
        <v>-536.33068480000111</v>
      </c>
      <c r="AV21" s="115">
        <v>0</v>
      </c>
      <c r="AW21" s="202">
        <f t="shared" si="8"/>
        <v>0</v>
      </c>
      <c r="AX21" s="197">
        <v>0</v>
      </c>
      <c r="AY21" s="217">
        <f t="shared" si="9"/>
        <v>0</v>
      </c>
      <c r="AZ21" s="198">
        <v>0</v>
      </c>
      <c r="BA21" s="202">
        <f t="shared" si="10"/>
        <v>0</v>
      </c>
      <c r="BB21" s="247">
        <v>0</v>
      </c>
      <c r="BC21" s="202">
        <f t="shared" si="11"/>
        <v>0</v>
      </c>
      <c r="BD21" s="103">
        <v>0</v>
      </c>
      <c r="BE21" s="202">
        <f t="shared" si="12"/>
        <v>0</v>
      </c>
      <c r="BF21" s="107">
        <v>0</v>
      </c>
      <c r="BG21" s="105">
        <f t="shared" si="13"/>
        <v>0</v>
      </c>
      <c r="BH21" s="107"/>
      <c r="BI21" s="107"/>
      <c r="BJ21" s="107">
        <v>0</v>
      </c>
      <c r="BK21" s="107"/>
      <c r="BL21" s="107">
        <v>0</v>
      </c>
      <c r="BM21" s="139">
        <v>0</v>
      </c>
      <c r="BN21" s="156">
        <f t="shared" si="14"/>
        <v>0</v>
      </c>
      <c r="BO21" s="104">
        <v>0</v>
      </c>
      <c r="BP21" s="104">
        <v>0</v>
      </c>
      <c r="BQ21" s="108">
        <f t="shared" si="33"/>
        <v>25390.145703599999</v>
      </c>
      <c r="BR21" s="109">
        <v>0</v>
      </c>
      <c r="BS21" s="109">
        <v>-25390</v>
      </c>
      <c r="BT21" s="109"/>
      <c r="BU21" s="109">
        <v>0</v>
      </c>
      <c r="BV21" s="109">
        <v>0</v>
      </c>
      <c r="BW21" s="110">
        <f t="shared" si="34"/>
        <v>0.15372545740081009</v>
      </c>
      <c r="BX21" s="111">
        <f t="shared" si="17"/>
        <v>-1.8078198864212303E-3</v>
      </c>
      <c r="BY21" s="111">
        <f t="shared" si="35"/>
        <v>0.15191763751438886</v>
      </c>
      <c r="BZ21" s="104">
        <f t="shared" si="19"/>
        <v>0.14399011759981353</v>
      </c>
      <c r="CA21" s="104">
        <v>0</v>
      </c>
      <c r="CB21" s="112">
        <v>0</v>
      </c>
      <c r="CC21" s="113">
        <v>0</v>
      </c>
      <c r="CD21" s="113">
        <v>0</v>
      </c>
      <c r="CE21" s="113">
        <f t="shared" si="36"/>
        <v>0</v>
      </c>
      <c r="CF21" s="114">
        <f t="shared" si="21"/>
        <v>0</v>
      </c>
      <c r="CG21" s="114"/>
      <c r="CH21" s="115">
        <f t="shared" si="37"/>
        <v>0</v>
      </c>
      <c r="CI21" s="106">
        <f t="shared" si="38"/>
        <v>0</v>
      </c>
      <c r="CJ21" s="115">
        <f t="shared" si="24"/>
        <v>0</v>
      </c>
      <c r="CK21" s="115">
        <f t="shared" si="39"/>
        <v>0</v>
      </c>
      <c r="CN21" s="116">
        <f t="shared" si="40"/>
        <v>0</v>
      </c>
      <c r="CO21" s="104">
        <v>0</v>
      </c>
      <c r="CP21" s="104">
        <f t="shared" si="41"/>
        <v>0.14399011759981353</v>
      </c>
      <c r="CQ21" s="104">
        <v>0</v>
      </c>
      <c r="CR21" s="55">
        <v>0</v>
      </c>
      <c r="CS21" s="104">
        <f t="shared" si="42"/>
        <v>0.14399011759981353</v>
      </c>
      <c r="CT21" s="104">
        <f t="shared" si="43"/>
        <v>0.15372545740081009</v>
      </c>
      <c r="CU21" s="104">
        <f t="shared" si="44"/>
        <v>60278.690980031395</v>
      </c>
      <c r="CV21" s="104">
        <v>0</v>
      </c>
      <c r="CW21" s="117">
        <f t="shared" si="45"/>
        <v>0.14570359999925131</v>
      </c>
      <c r="CX21" s="118">
        <f t="shared" si="46"/>
        <v>561381.60273960023</v>
      </c>
      <c r="CY21" s="104"/>
      <c r="CZ21" s="104"/>
      <c r="DA21" s="120"/>
      <c r="DB21" s="118"/>
    </row>
    <row r="22" spans="1:106" ht="15" customHeight="1">
      <c r="A22" s="96">
        <v>36782</v>
      </c>
      <c r="B22" s="281"/>
      <c r="C22" s="281"/>
      <c r="D22" s="281"/>
      <c r="E22" s="281"/>
      <c r="F22" s="281"/>
      <c r="G22" s="281"/>
      <c r="H22" s="281"/>
      <c r="I22" s="282"/>
      <c r="J22" s="282"/>
      <c r="K22" s="284"/>
      <c r="L22" s="260"/>
      <c r="M22" s="203"/>
      <c r="N22" s="199"/>
      <c r="O22" s="202"/>
      <c r="P22" s="122"/>
      <c r="Q22" s="202"/>
      <c r="R22" s="275"/>
      <c r="S22" s="202"/>
      <c r="T22" s="260"/>
      <c r="U22" s="202"/>
      <c r="V22" s="278"/>
      <c r="W22" s="202"/>
      <c r="X22" s="122"/>
      <c r="Y22" s="202"/>
      <c r="Z22" s="226"/>
      <c r="AA22" s="202"/>
      <c r="AB22" s="199"/>
      <c r="AC22" s="202"/>
      <c r="AD22" s="122"/>
      <c r="AE22" s="202"/>
      <c r="AF22" s="226">
        <v>5583</v>
      </c>
      <c r="AG22" s="217">
        <f t="shared" si="0"/>
        <v>-192.73520940000071</v>
      </c>
      <c r="AH22" s="199">
        <v>0</v>
      </c>
      <c r="AI22" s="202">
        <f t="shared" si="1"/>
        <v>0</v>
      </c>
      <c r="AJ22" s="122">
        <v>0</v>
      </c>
      <c r="AK22" s="202">
        <f t="shared" si="2"/>
        <v>0</v>
      </c>
      <c r="AL22" s="226">
        <v>5179</v>
      </c>
      <c r="AM22" s="217">
        <f t="shared" si="3"/>
        <v>-178.78840219999984</v>
      </c>
      <c r="AN22" s="198">
        <v>0</v>
      </c>
      <c r="AO22" s="202">
        <f t="shared" si="4"/>
        <v>0</v>
      </c>
      <c r="AP22" s="197">
        <v>0</v>
      </c>
      <c r="AQ22" s="202">
        <f t="shared" si="5"/>
        <v>0</v>
      </c>
      <c r="AR22" s="242">
        <v>0</v>
      </c>
      <c r="AS22" s="202">
        <f t="shared" si="6"/>
        <v>0</v>
      </c>
      <c r="AT22" s="205">
        <v>15536</v>
      </c>
      <c r="AU22" s="202">
        <f t="shared" si="7"/>
        <v>-536.33068480000111</v>
      </c>
      <c r="AV22" s="115">
        <v>0</v>
      </c>
      <c r="AW22" s="202">
        <f t="shared" si="8"/>
        <v>0</v>
      </c>
      <c r="AX22" s="197">
        <v>0</v>
      </c>
      <c r="AY22" s="217">
        <f t="shared" si="9"/>
        <v>0</v>
      </c>
      <c r="AZ22" s="198">
        <v>0</v>
      </c>
      <c r="BA22" s="202">
        <f t="shared" si="10"/>
        <v>0</v>
      </c>
      <c r="BB22" s="247">
        <v>0</v>
      </c>
      <c r="BC22" s="202">
        <f t="shared" si="11"/>
        <v>0</v>
      </c>
      <c r="BD22" s="103">
        <v>0</v>
      </c>
      <c r="BE22" s="202">
        <f t="shared" si="12"/>
        <v>0</v>
      </c>
      <c r="BF22" s="107">
        <v>0</v>
      </c>
      <c r="BG22" s="105">
        <f t="shared" si="13"/>
        <v>0</v>
      </c>
      <c r="BH22" s="107"/>
      <c r="BI22" s="107"/>
      <c r="BJ22" s="107">
        <v>0</v>
      </c>
      <c r="BK22" s="107"/>
      <c r="BL22" s="107">
        <v>0</v>
      </c>
      <c r="BM22" s="139">
        <v>0</v>
      </c>
      <c r="BN22" s="156">
        <f t="shared" si="14"/>
        <v>0</v>
      </c>
      <c r="BO22" s="104">
        <v>0</v>
      </c>
      <c r="BP22" s="104">
        <v>0</v>
      </c>
      <c r="BQ22" s="108">
        <f t="shared" ref="BQ22:BQ28" si="47">SUM($AF22:$AG22)+SUM($AL22:$AM22)+SUM($AT22:$AU22)+Z22+AA22+L22+M22+T22+U22</f>
        <v>25390.145703599999</v>
      </c>
      <c r="BR22" s="109">
        <v>0</v>
      </c>
      <c r="BS22" s="109">
        <f>-25390-8703</f>
        <v>-34093</v>
      </c>
      <c r="BT22" s="109"/>
      <c r="BU22" s="109">
        <v>0</v>
      </c>
      <c r="BV22" s="109">
        <v>0</v>
      </c>
      <c r="BW22" s="110">
        <f t="shared" ref="BW22:BW28" si="48">(BQ22+BR22+BS22+BU22+BV22)*M</f>
        <v>-9181.9986425425996</v>
      </c>
      <c r="BX22" s="111">
        <f t="shared" si="17"/>
        <v>107.98081218130028</v>
      </c>
      <c r="BY22" s="111">
        <f t="shared" ref="BY22:BY28" si="49">BW22+BX22</f>
        <v>-9074.0178303612993</v>
      </c>
      <c r="BZ22" s="104">
        <f t="shared" si="19"/>
        <v>-8600.5082482458747</v>
      </c>
      <c r="CA22" s="104">
        <v>0</v>
      </c>
      <c r="CB22" s="112">
        <v>8703</v>
      </c>
      <c r="CC22" s="113">
        <v>0</v>
      </c>
      <c r="CD22" s="113">
        <v>0</v>
      </c>
      <c r="CE22" s="113">
        <f t="shared" ref="CE22:CE28" si="50">SUM(CB22+CC22+CD22)</f>
        <v>8703</v>
      </c>
      <c r="CF22" s="114">
        <f t="shared" si="21"/>
        <v>9182.1523679999991</v>
      </c>
      <c r="CG22" s="114"/>
      <c r="CH22" s="115">
        <f t="shared" ref="CH22:CH28" si="51">((CF22)/(1+DAWNKIRK))-(CF22)</f>
        <v>-44.13661608176335</v>
      </c>
      <c r="CI22" s="106">
        <f t="shared" ref="CI22:CI28" si="52">ROUND(CF22+CH22,1)</f>
        <v>9138</v>
      </c>
      <c r="CJ22" s="115">
        <f t="shared" si="24"/>
        <v>-60.817125260751709</v>
      </c>
      <c r="CK22" s="115">
        <f t="shared" ref="CK22:CK28" si="53">CI22+CJ22</f>
        <v>9077.1828747392483</v>
      </c>
      <c r="CN22" s="116">
        <f t="shared" ref="CN22:CN28" si="54">CK22/M</f>
        <v>8603.5081310747937</v>
      </c>
      <c r="CO22" s="104">
        <v>0</v>
      </c>
      <c r="CP22" s="104">
        <f t="shared" ref="CP22:CP28" si="55">CO22+CN22+BZ22</f>
        <v>2.9998828289189987</v>
      </c>
      <c r="CQ22" s="104">
        <v>0</v>
      </c>
      <c r="CR22" s="55">
        <v>0</v>
      </c>
      <c r="CS22" s="104">
        <f t="shared" ref="CS22:CS28" si="56">+CP22+CQ22-CA22-CR22</f>
        <v>2.9998828289189987</v>
      </c>
      <c r="CT22" s="104">
        <f t="shared" ref="CT22:CT28" si="57">CW22*M</f>
        <v>3.2027084060455437</v>
      </c>
      <c r="CU22" s="104">
        <f t="shared" ref="CU22:CU28" si="58">+CT22+CU21</f>
        <v>60281.893688437442</v>
      </c>
      <c r="CV22" s="104">
        <v>0</v>
      </c>
      <c r="CW22" s="117">
        <f t="shared" ref="CW22:CW28" si="59">CS22+CS22*STCLAIRCHIP-CV22</f>
        <v>3.0355814345831349</v>
      </c>
      <c r="CX22" s="118">
        <f t="shared" ref="CX22:CX28" si="60">CW22+CX21</f>
        <v>561384.63832103484</v>
      </c>
      <c r="CY22" s="104"/>
      <c r="CZ22" s="104"/>
      <c r="DA22" s="120"/>
      <c r="DB22" s="118"/>
    </row>
    <row r="23" spans="1:106" ht="15" customHeight="1">
      <c r="A23" s="96">
        <v>36783</v>
      </c>
      <c r="B23" s="281"/>
      <c r="C23" s="281"/>
      <c r="D23" s="281"/>
      <c r="E23" s="281"/>
      <c r="F23" s="281"/>
      <c r="G23" s="281"/>
      <c r="H23" s="281"/>
      <c r="I23" s="282"/>
      <c r="J23" s="282"/>
      <c r="K23" s="284"/>
      <c r="L23" s="260"/>
      <c r="M23" s="203"/>
      <c r="N23" s="199"/>
      <c r="O23" s="202"/>
      <c r="P23" s="122"/>
      <c r="Q23" s="202"/>
      <c r="R23" s="275"/>
      <c r="S23" s="202"/>
      <c r="T23" s="260"/>
      <c r="U23" s="202"/>
      <c r="V23" s="278"/>
      <c r="W23" s="202"/>
      <c r="X23" s="122"/>
      <c r="Y23" s="202"/>
      <c r="Z23" s="226"/>
      <c r="AA23" s="202"/>
      <c r="AB23" s="199"/>
      <c r="AC23" s="202"/>
      <c r="AD23" s="122"/>
      <c r="AE23" s="202"/>
      <c r="AF23" s="226">
        <v>5583</v>
      </c>
      <c r="AG23" s="217">
        <f t="shared" si="0"/>
        <v>-192.73520940000071</v>
      </c>
      <c r="AH23" s="199">
        <v>0</v>
      </c>
      <c r="AI23" s="202">
        <f t="shared" si="1"/>
        <v>0</v>
      </c>
      <c r="AJ23" s="122">
        <v>0</v>
      </c>
      <c r="AK23" s="202">
        <f t="shared" si="2"/>
        <v>0</v>
      </c>
      <c r="AL23" s="226">
        <v>5179</v>
      </c>
      <c r="AM23" s="217">
        <f t="shared" si="3"/>
        <v>-178.78840219999984</v>
      </c>
      <c r="AN23" s="198">
        <v>0</v>
      </c>
      <c r="AO23" s="202">
        <f t="shared" si="4"/>
        <v>0</v>
      </c>
      <c r="AP23" s="197">
        <v>0</v>
      </c>
      <c r="AQ23" s="202">
        <f t="shared" si="5"/>
        <v>0</v>
      </c>
      <c r="AR23" s="242">
        <v>0</v>
      </c>
      <c r="AS23" s="202">
        <f t="shared" si="6"/>
        <v>0</v>
      </c>
      <c r="AT23" s="205">
        <v>15536</v>
      </c>
      <c r="AU23" s="202">
        <f t="shared" si="7"/>
        <v>-536.33068480000111</v>
      </c>
      <c r="AV23" s="115">
        <v>0</v>
      </c>
      <c r="AW23" s="202">
        <f t="shared" si="8"/>
        <v>0</v>
      </c>
      <c r="AX23" s="197">
        <v>0</v>
      </c>
      <c r="AY23" s="217">
        <f t="shared" si="9"/>
        <v>0</v>
      </c>
      <c r="AZ23" s="198">
        <v>0</v>
      </c>
      <c r="BA23" s="202">
        <f t="shared" si="10"/>
        <v>0</v>
      </c>
      <c r="BB23" s="247">
        <v>0</v>
      </c>
      <c r="BC23" s="202">
        <f t="shared" si="11"/>
        <v>0</v>
      </c>
      <c r="BD23" s="103">
        <v>0</v>
      </c>
      <c r="BE23" s="202">
        <f t="shared" si="12"/>
        <v>0</v>
      </c>
      <c r="BF23" s="107">
        <v>0</v>
      </c>
      <c r="BG23" s="105">
        <f t="shared" si="13"/>
        <v>0</v>
      </c>
      <c r="BH23" s="107"/>
      <c r="BI23" s="107"/>
      <c r="BJ23" s="107">
        <v>0</v>
      </c>
      <c r="BK23" s="107"/>
      <c r="BL23" s="107">
        <v>0</v>
      </c>
      <c r="BM23" s="139">
        <v>0</v>
      </c>
      <c r="BN23" s="156">
        <f t="shared" si="14"/>
        <v>0</v>
      </c>
      <c r="BO23" s="104">
        <v>0</v>
      </c>
      <c r="BP23" s="104">
        <v>0</v>
      </c>
      <c r="BQ23" s="108">
        <f t="shared" si="47"/>
        <v>25390.145703599999</v>
      </c>
      <c r="BR23" s="109">
        <v>0</v>
      </c>
      <c r="BS23" s="109">
        <f>-8703-25390</f>
        <v>-34093</v>
      </c>
      <c r="BT23" s="109"/>
      <c r="BU23" s="109">
        <v>0</v>
      </c>
      <c r="BV23" s="109">
        <v>0</v>
      </c>
      <c r="BW23" s="110">
        <f t="shared" si="48"/>
        <v>-9181.9986425425996</v>
      </c>
      <c r="BX23" s="111">
        <f t="shared" si="17"/>
        <v>107.98081218130028</v>
      </c>
      <c r="BY23" s="111">
        <f t="shared" si="49"/>
        <v>-9074.0178303612993</v>
      </c>
      <c r="BZ23" s="104">
        <f t="shared" si="19"/>
        <v>-8600.5082482458747</v>
      </c>
      <c r="CA23" s="104">
        <v>0</v>
      </c>
      <c r="CB23" s="112">
        <v>8703</v>
      </c>
      <c r="CC23" s="113">
        <v>0</v>
      </c>
      <c r="CD23" s="113">
        <v>0</v>
      </c>
      <c r="CE23" s="113">
        <f t="shared" si="50"/>
        <v>8703</v>
      </c>
      <c r="CF23" s="114">
        <f t="shared" si="21"/>
        <v>9182.1523679999991</v>
      </c>
      <c r="CG23" s="114"/>
      <c r="CH23" s="115">
        <f t="shared" si="51"/>
        <v>-44.13661608176335</v>
      </c>
      <c r="CI23" s="106">
        <f t="shared" si="52"/>
        <v>9138</v>
      </c>
      <c r="CJ23" s="115">
        <f t="shared" si="24"/>
        <v>-60.817125260751709</v>
      </c>
      <c r="CK23" s="115">
        <f t="shared" si="53"/>
        <v>9077.1828747392483</v>
      </c>
      <c r="CN23" s="116">
        <f t="shared" si="54"/>
        <v>8603.5081310747937</v>
      </c>
      <c r="CO23" s="104">
        <v>0</v>
      </c>
      <c r="CP23" s="104">
        <f t="shared" si="55"/>
        <v>2.9998828289189987</v>
      </c>
      <c r="CQ23" s="104">
        <v>0</v>
      </c>
      <c r="CR23" s="55">
        <v>0</v>
      </c>
      <c r="CS23" s="104">
        <f t="shared" si="56"/>
        <v>2.9998828289189987</v>
      </c>
      <c r="CT23" s="104">
        <f t="shared" si="57"/>
        <v>3.2027084060455437</v>
      </c>
      <c r="CU23" s="104">
        <f t="shared" si="58"/>
        <v>60285.096396843488</v>
      </c>
      <c r="CV23" s="104">
        <v>0</v>
      </c>
      <c r="CW23" s="117">
        <f t="shared" si="59"/>
        <v>3.0355814345831349</v>
      </c>
      <c r="CX23" s="118">
        <f t="shared" si="60"/>
        <v>561387.67390246945</v>
      </c>
      <c r="CY23" s="104"/>
      <c r="CZ23" s="104"/>
      <c r="DA23" s="120"/>
      <c r="DB23" s="118"/>
    </row>
    <row r="24" spans="1:106" ht="15" customHeight="1">
      <c r="A24" s="96">
        <v>36784</v>
      </c>
      <c r="B24" s="281"/>
      <c r="C24" s="281"/>
      <c r="D24" s="281"/>
      <c r="E24" s="281"/>
      <c r="F24" s="281"/>
      <c r="G24" s="281"/>
      <c r="H24" s="281"/>
      <c r="I24" s="282"/>
      <c r="J24" s="282"/>
      <c r="K24" s="284"/>
      <c r="L24" s="260"/>
      <c r="M24" s="203"/>
      <c r="N24" s="199"/>
      <c r="O24" s="202"/>
      <c r="P24" s="122"/>
      <c r="Q24" s="202"/>
      <c r="R24" s="275"/>
      <c r="S24" s="202"/>
      <c r="T24" s="260"/>
      <c r="U24" s="202"/>
      <c r="V24" s="278"/>
      <c r="W24" s="202"/>
      <c r="X24" s="122"/>
      <c r="Y24" s="202"/>
      <c r="Z24" s="226"/>
      <c r="AA24" s="202"/>
      <c r="AB24" s="199"/>
      <c r="AC24" s="202"/>
      <c r="AD24" s="122"/>
      <c r="AE24" s="202"/>
      <c r="AF24" s="226">
        <v>5583</v>
      </c>
      <c r="AG24" s="217">
        <f t="shared" si="0"/>
        <v>-192.73520940000071</v>
      </c>
      <c r="AH24" s="199">
        <v>0</v>
      </c>
      <c r="AI24" s="202">
        <f t="shared" si="1"/>
        <v>0</v>
      </c>
      <c r="AJ24" s="122">
        <v>0</v>
      </c>
      <c r="AK24" s="202">
        <f t="shared" si="2"/>
        <v>0</v>
      </c>
      <c r="AL24" s="226">
        <v>5179</v>
      </c>
      <c r="AM24" s="217">
        <f t="shared" si="3"/>
        <v>-178.78840219999984</v>
      </c>
      <c r="AN24" s="198">
        <v>0</v>
      </c>
      <c r="AO24" s="202">
        <f t="shared" si="4"/>
        <v>0</v>
      </c>
      <c r="AP24" s="197">
        <v>0</v>
      </c>
      <c r="AQ24" s="202">
        <f t="shared" si="5"/>
        <v>0</v>
      </c>
      <c r="AR24" s="242">
        <v>0</v>
      </c>
      <c r="AS24" s="202">
        <f t="shared" si="6"/>
        <v>0</v>
      </c>
      <c r="AT24" s="205">
        <v>15536</v>
      </c>
      <c r="AU24" s="202">
        <f t="shared" si="7"/>
        <v>-536.33068480000111</v>
      </c>
      <c r="AV24" s="115">
        <v>0</v>
      </c>
      <c r="AW24" s="202">
        <f t="shared" si="8"/>
        <v>0</v>
      </c>
      <c r="AX24" s="197">
        <v>0</v>
      </c>
      <c r="AY24" s="217">
        <f t="shared" si="9"/>
        <v>0</v>
      </c>
      <c r="AZ24" s="198">
        <v>0</v>
      </c>
      <c r="BA24" s="202">
        <f t="shared" si="10"/>
        <v>0</v>
      </c>
      <c r="BB24" s="247">
        <v>0</v>
      </c>
      <c r="BC24" s="202">
        <f t="shared" si="11"/>
        <v>0</v>
      </c>
      <c r="BD24" s="103">
        <v>0</v>
      </c>
      <c r="BE24" s="202">
        <f t="shared" si="12"/>
        <v>0</v>
      </c>
      <c r="BF24" s="107">
        <v>0</v>
      </c>
      <c r="BG24" s="105">
        <f t="shared" si="13"/>
        <v>0</v>
      </c>
      <c r="BH24" s="107"/>
      <c r="BI24" s="107"/>
      <c r="BJ24" s="107">
        <v>0</v>
      </c>
      <c r="BK24" s="107"/>
      <c r="BL24" s="107">
        <v>0</v>
      </c>
      <c r="BM24" s="139">
        <v>0</v>
      </c>
      <c r="BN24" s="156">
        <f t="shared" si="14"/>
        <v>0</v>
      </c>
      <c r="BO24" s="104">
        <v>0</v>
      </c>
      <c r="BP24" s="104">
        <v>0</v>
      </c>
      <c r="BQ24" s="108">
        <f t="shared" si="47"/>
        <v>25390.145703599999</v>
      </c>
      <c r="BR24" s="109">
        <v>0</v>
      </c>
      <c r="BS24" s="109">
        <v>-8703</v>
      </c>
      <c r="BT24" s="109"/>
      <c r="BU24" s="109">
        <v>0</v>
      </c>
      <c r="BV24" s="109">
        <v>0</v>
      </c>
      <c r="BW24" s="110">
        <f t="shared" si="48"/>
        <v>17605.8731974574</v>
      </c>
      <c r="BX24" s="111">
        <f t="shared" si="17"/>
        <v>-207.04604313641903</v>
      </c>
      <c r="BY24" s="111">
        <f t="shared" si="49"/>
        <v>17398.827154320981</v>
      </c>
      <c r="BZ24" s="104">
        <f t="shared" si="19"/>
        <v>16490.903946635044</v>
      </c>
      <c r="CA24" s="104">
        <v>0</v>
      </c>
      <c r="CB24" s="112">
        <v>8703</v>
      </c>
      <c r="CC24" s="113">
        <v>0</v>
      </c>
      <c r="CD24" s="113">
        <v>0</v>
      </c>
      <c r="CE24" s="113">
        <f t="shared" si="50"/>
        <v>8703</v>
      </c>
      <c r="CF24" s="114">
        <f t="shared" si="21"/>
        <v>9182.1523679999991</v>
      </c>
      <c r="CG24" s="114"/>
      <c r="CH24" s="115">
        <f t="shared" si="51"/>
        <v>-44.13661608176335</v>
      </c>
      <c r="CI24" s="106">
        <f t="shared" si="52"/>
        <v>9138</v>
      </c>
      <c r="CJ24" s="115">
        <f t="shared" si="24"/>
        <v>-60.817125260751709</v>
      </c>
      <c r="CK24" s="115">
        <f t="shared" si="53"/>
        <v>9077.1828747392483</v>
      </c>
      <c r="CN24" s="116">
        <f t="shared" si="54"/>
        <v>8603.5081310747937</v>
      </c>
      <c r="CO24" s="104">
        <v>0</v>
      </c>
      <c r="CP24" s="104">
        <f t="shared" si="55"/>
        <v>25094.412077709836</v>
      </c>
      <c r="CQ24" s="104">
        <v>0</v>
      </c>
      <c r="CR24" s="55">
        <v>0</v>
      </c>
      <c r="CS24" s="104">
        <f t="shared" si="56"/>
        <v>25094.412077709836</v>
      </c>
      <c r="CT24" s="104">
        <f t="shared" si="57"/>
        <v>26791.074548406043</v>
      </c>
      <c r="CU24" s="104">
        <f t="shared" si="58"/>
        <v>87076.170945249527</v>
      </c>
      <c r="CV24" s="104">
        <v>0</v>
      </c>
      <c r="CW24" s="117">
        <f t="shared" si="59"/>
        <v>25393.035581434582</v>
      </c>
      <c r="CX24" s="118">
        <f t="shared" si="60"/>
        <v>586780.70948390407</v>
      </c>
      <c r="CY24" s="104"/>
      <c r="CZ24" s="104"/>
      <c r="DA24" s="120"/>
      <c r="DB24" s="118"/>
    </row>
    <row r="25" spans="1:106" ht="15" customHeight="1">
      <c r="A25" s="96">
        <v>36785</v>
      </c>
      <c r="B25" s="281"/>
      <c r="C25" s="281"/>
      <c r="D25" s="281"/>
      <c r="E25" s="281"/>
      <c r="F25" s="281"/>
      <c r="G25" s="281"/>
      <c r="H25" s="281"/>
      <c r="I25" s="282"/>
      <c r="J25" s="282"/>
      <c r="K25" s="284"/>
      <c r="L25" s="260"/>
      <c r="M25" s="203"/>
      <c r="N25" s="199"/>
      <c r="O25" s="202"/>
      <c r="P25" s="122"/>
      <c r="Q25" s="202"/>
      <c r="R25" s="275"/>
      <c r="S25" s="202"/>
      <c r="T25" s="260"/>
      <c r="U25" s="202"/>
      <c r="V25" s="278"/>
      <c r="W25" s="202"/>
      <c r="X25" s="122"/>
      <c r="Y25" s="202"/>
      <c r="Z25" s="226"/>
      <c r="AA25" s="202"/>
      <c r="AB25" s="199"/>
      <c r="AC25" s="202"/>
      <c r="AD25" s="122"/>
      <c r="AE25" s="202"/>
      <c r="AF25" s="226">
        <v>5583</v>
      </c>
      <c r="AG25" s="217">
        <f t="shared" si="0"/>
        <v>-192.73520940000071</v>
      </c>
      <c r="AH25" s="199">
        <v>0</v>
      </c>
      <c r="AI25" s="202">
        <f t="shared" si="1"/>
        <v>0</v>
      </c>
      <c r="AJ25" s="122">
        <v>0</v>
      </c>
      <c r="AK25" s="202">
        <f t="shared" si="2"/>
        <v>0</v>
      </c>
      <c r="AL25" s="226">
        <v>5179</v>
      </c>
      <c r="AM25" s="217">
        <f t="shared" si="3"/>
        <v>-178.78840219999984</v>
      </c>
      <c r="AN25" s="198">
        <v>0</v>
      </c>
      <c r="AO25" s="202">
        <f t="shared" si="4"/>
        <v>0</v>
      </c>
      <c r="AP25" s="197">
        <v>0</v>
      </c>
      <c r="AQ25" s="202">
        <f t="shared" si="5"/>
        <v>0</v>
      </c>
      <c r="AR25" s="242">
        <v>0</v>
      </c>
      <c r="AS25" s="202">
        <f t="shared" si="6"/>
        <v>0</v>
      </c>
      <c r="AT25" s="205">
        <v>15536</v>
      </c>
      <c r="AU25" s="202">
        <f t="shared" si="7"/>
        <v>-536.33068480000111</v>
      </c>
      <c r="AV25" s="115">
        <v>0</v>
      </c>
      <c r="AW25" s="202">
        <f t="shared" si="8"/>
        <v>0</v>
      </c>
      <c r="AX25" s="197">
        <v>0</v>
      </c>
      <c r="AY25" s="217">
        <f t="shared" si="9"/>
        <v>0</v>
      </c>
      <c r="AZ25" s="198">
        <v>0</v>
      </c>
      <c r="BA25" s="202">
        <f t="shared" si="10"/>
        <v>0</v>
      </c>
      <c r="BB25" s="247">
        <v>0</v>
      </c>
      <c r="BC25" s="202">
        <f t="shared" si="11"/>
        <v>0</v>
      </c>
      <c r="BD25" s="103">
        <v>0</v>
      </c>
      <c r="BE25" s="202">
        <f t="shared" si="12"/>
        <v>0</v>
      </c>
      <c r="BF25" s="107">
        <v>0</v>
      </c>
      <c r="BG25" s="105">
        <f t="shared" si="13"/>
        <v>0</v>
      </c>
      <c r="BH25" s="107"/>
      <c r="BI25" s="107"/>
      <c r="BJ25" s="107">
        <v>0</v>
      </c>
      <c r="BK25" s="107"/>
      <c r="BL25" s="107">
        <v>0</v>
      </c>
      <c r="BM25" s="139">
        <v>0</v>
      </c>
      <c r="BN25" s="156">
        <f t="shared" si="14"/>
        <v>0</v>
      </c>
      <c r="BO25" s="104">
        <v>0</v>
      </c>
      <c r="BP25" s="104">
        <v>0</v>
      </c>
      <c r="BQ25" s="108">
        <f t="shared" si="47"/>
        <v>25390.145703599999</v>
      </c>
      <c r="BR25" s="109">
        <v>0</v>
      </c>
      <c r="BS25" s="109">
        <v>-25390</v>
      </c>
      <c r="BT25" s="109"/>
      <c r="BU25" s="109">
        <v>0</v>
      </c>
      <c r="BV25" s="109">
        <v>0</v>
      </c>
      <c r="BW25" s="110">
        <f t="shared" si="48"/>
        <v>0.15372545740081009</v>
      </c>
      <c r="BX25" s="111">
        <f t="shared" si="17"/>
        <v>-1.8078198864212303E-3</v>
      </c>
      <c r="BY25" s="111">
        <f t="shared" si="49"/>
        <v>0.15191763751438886</v>
      </c>
      <c r="BZ25" s="104">
        <f t="shared" si="19"/>
        <v>0.14399011759981353</v>
      </c>
      <c r="CA25" s="104">
        <v>0</v>
      </c>
      <c r="CB25" s="112">
        <v>0</v>
      </c>
      <c r="CC25" s="113">
        <v>0</v>
      </c>
      <c r="CD25" s="113">
        <v>0</v>
      </c>
      <c r="CE25" s="113">
        <f t="shared" si="50"/>
        <v>0</v>
      </c>
      <c r="CF25" s="114">
        <f t="shared" si="21"/>
        <v>0</v>
      </c>
      <c r="CG25" s="114"/>
      <c r="CH25" s="115">
        <f t="shared" si="51"/>
        <v>0</v>
      </c>
      <c r="CI25" s="106">
        <f t="shared" si="52"/>
        <v>0</v>
      </c>
      <c r="CJ25" s="115">
        <f t="shared" si="24"/>
        <v>0</v>
      </c>
      <c r="CK25" s="115">
        <f t="shared" si="53"/>
        <v>0</v>
      </c>
      <c r="CN25" s="116">
        <f t="shared" si="54"/>
        <v>0</v>
      </c>
      <c r="CO25" s="104">
        <v>0</v>
      </c>
      <c r="CP25" s="104">
        <f t="shared" si="55"/>
        <v>0.14399011759981353</v>
      </c>
      <c r="CQ25" s="104">
        <v>0</v>
      </c>
      <c r="CR25" s="55">
        <v>0</v>
      </c>
      <c r="CS25" s="104">
        <f t="shared" si="56"/>
        <v>0.14399011759981353</v>
      </c>
      <c r="CT25" s="104">
        <f t="shared" si="57"/>
        <v>0.15372545740081009</v>
      </c>
      <c r="CU25" s="104">
        <f t="shared" si="58"/>
        <v>87076.324670706934</v>
      </c>
      <c r="CV25" s="104">
        <v>0</v>
      </c>
      <c r="CW25" s="117">
        <f t="shared" si="59"/>
        <v>0.14570359999925131</v>
      </c>
      <c r="CX25" s="118">
        <f t="shared" si="60"/>
        <v>586780.85518750409</v>
      </c>
      <c r="CY25" s="104"/>
      <c r="CZ25" s="104"/>
      <c r="DA25" s="120"/>
      <c r="DB25" s="118"/>
    </row>
    <row r="26" spans="1:106" ht="15" customHeight="1">
      <c r="A26" s="96">
        <v>36786</v>
      </c>
      <c r="B26" s="281"/>
      <c r="C26" s="281"/>
      <c r="D26" s="281"/>
      <c r="E26" s="281"/>
      <c r="F26" s="281"/>
      <c r="G26" s="281"/>
      <c r="H26" s="281"/>
      <c r="I26" s="282"/>
      <c r="J26" s="282"/>
      <c r="K26" s="284"/>
      <c r="L26" s="260"/>
      <c r="M26" s="203"/>
      <c r="N26" s="199"/>
      <c r="O26" s="202"/>
      <c r="P26" s="122"/>
      <c r="Q26" s="202"/>
      <c r="R26" s="275"/>
      <c r="S26" s="202"/>
      <c r="T26" s="260"/>
      <c r="U26" s="202"/>
      <c r="V26" s="278"/>
      <c r="W26" s="202"/>
      <c r="X26" s="122"/>
      <c r="Y26" s="202"/>
      <c r="Z26" s="226"/>
      <c r="AA26" s="202"/>
      <c r="AB26" s="199"/>
      <c r="AC26" s="202"/>
      <c r="AD26" s="122"/>
      <c r="AE26" s="202"/>
      <c r="AF26" s="226">
        <v>5583</v>
      </c>
      <c r="AG26" s="217">
        <f t="shared" si="0"/>
        <v>-192.73520940000071</v>
      </c>
      <c r="AH26" s="199">
        <v>0</v>
      </c>
      <c r="AI26" s="202">
        <f t="shared" si="1"/>
        <v>0</v>
      </c>
      <c r="AJ26" s="122">
        <v>0</v>
      </c>
      <c r="AK26" s="202">
        <f t="shared" si="2"/>
        <v>0</v>
      </c>
      <c r="AL26" s="226">
        <v>5179</v>
      </c>
      <c r="AM26" s="217">
        <f t="shared" si="3"/>
        <v>-178.78840219999984</v>
      </c>
      <c r="AN26" s="198">
        <v>0</v>
      </c>
      <c r="AO26" s="202">
        <f t="shared" si="4"/>
        <v>0</v>
      </c>
      <c r="AP26" s="197">
        <v>0</v>
      </c>
      <c r="AQ26" s="202">
        <f t="shared" si="5"/>
        <v>0</v>
      </c>
      <c r="AR26" s="242">
        <v>0</v>
      </c>
      <c r="AS26" s="202">
        <f t="shared" si="6"/>
        <v>0</v>
      </c>
      <c r="AT26" s="205">
        <v>15536</v>
      </c>
      <c r="AU26" s="202">
        <f t="shared" si="7"/>
        <v>-536.33068480000111</v>
      </c>
      <c r="AV26" s="115">
        <v>0</v>
      </c>
      <c r="AW26" s="202">
        <f t="shared" si="8"/>
        <v>0</v>
      </c>
      <c r="AX26" s="197">
        <v>0</v>
      </c>
      <c r="AY26" s="217">
        <f t="shared" si="9"/>
        <v>0</v>
      </c>
      <c r="AZ26" s="198">
        <v>0</v>
      </c>
      <c r="BA26" s="202">
        <f t="shared" si="10"/>
        <v>0</v>
      </c>
      <c r="BB26" s="247">
        <v>0</v>
      </c>
      <c r="BC26" s="202">
        <f t="shared" si="11"/>
        <v>0</v>
      </c>
      <c r="BD26" s="103">
        <v>0</v>
      </c>
      <c r="BE26" s="202">
        <f t="shared" si="12"/>
        <v>0</v>
      </c>
      <c r="BF26" s="107">
        <v>0</v>
      </c>
      <c r="BG26" s="105">
        <f t="shared" si="13"/>
        <v>0</v>
      </c>
      <c r="BH26" s="107"/>
      <c r="BI26" s="107"/>
      <c r="BJ26" s="107">
        <v>0</v>
      </c>
      <c r="BK26" s="107"/>
      <c r="BL26" s="107">
        <v>0</v>
      </c>
      <c r="BM26" s="139">
        <v>0</v>
      </c>
      <c r="BN26" s="156">
        <f t="shared" si="14"/>
        <v>0</v>
      </c>
      <c r="BO26" s="104">
        <v>0</v>
      </c>
      <c r="BP26" s="104">
        <v>0</v>
      </c>
      <c r="BQ26" s="108">
        <f t="shared" si="47"/>
        <v>25390.145703599999</v>
      </c>
      <c r="BR26" s="109">
        <v>0</v>
      </c>
      <c r="BS26" s="109">
        <v>-25390</v>
      </c>
      <c r="BT26" s="109"/>
      <c r="BU26" s="109">
        <v>0</v>
      </c>
      <c r="BV26" s="109">
        <v>0</v>
      </c>
      <c r="BW26" s="110">
        <f t="shared" si="48"/>
        <v>0.15372545740081009</v>
      </c>
      <c r="BX26" s="111">
        <f t="shared" si="17"/>
        <v>-1.8078198864212303E-3</v>
      </c>
      <c r="BY26" s="111">
        <f t="shared" si="49"/>
        <v>0.15191763751438886</v>
      </c>
      <c r="BZ26" s="104">
        <f t="shared" si="19"/>
        <v>0.14399011759981353</v>
      </c>
      <c r="CA26" s="104">
        <v>0</v>
      </c>
      <c r="CB26" s="112">
        <v>0</v>
      </c>
      <c r="CC26" s="113">
        <v>0</v>
      </c>
      <c r="CD26" s="113">
        <v>0</v>
      </c>
      <c r="CE26" s="113">
        <f t="shared" si="50"/>
        <v>0</v>
      </c>
      <c r="CF26" s="114">
        <f t="shared" si="21"/>
        <v>0</v>
      </c>
      <c r="CG26" s="114"/>
      <c r="CH26" s="115">
        <f t="shared" si="51"/>
        <v>0</v>
      </c>
      <c r="CI26" s="106">
        <f t="shared" si="52"/>
        <v>0</v>
      </c>
      <c r="CJ26" s="115">
        <f t="shared" si="24"/>
        <v>0</v>
      </c>
      <c r="CK26" s="115">
        <f t="shared" si="53"/>
        <v>0</v>
      </c>
      <c r="CN26" s="116">
        <f t="shared" si="54"/>
        <v>0</v>
      </c>
      <c r="CO26" s="104">
        <v>0</v>
      </c>
      <c r="CP26" s="104">
        <f t="shared" si="55"/>
        <v>0.14399011759981353</v>
      </c>
      <c r="CQ26" s="104">
        <v>0</v>
      </c>
      <c r="CR26" s="55">
        <v>0</v>
      </c>
      <c r="CS26" s="104">
        <f t="shared" si="56"/>
        <v>0.14399011759981353</v>
      </c>
      <c r="CT26" s="104">
        <f t="shared" si="57"/>
        <v>0.15372545740081009</v>
      </c>
      <c r="CU26" s="104">
        <f t="shared" si="58"/>
        <v>87076.478396164341</v>
      </c>
      <c r="CV26" s="104">
        <v>0</v>
      </c>
      <c r="CW26" s="117">
        <f t="shared" si="59"/>
        <v>0.14570359999925131</v>
      </c>
      <c r="CX26" s="118">
        <f t="shared" si="60"/>
        <v>586781.00089110411</v>
      </c>
      <c r="CY26" s="104"/>
      <c r="CZ26" s="104"/>
      <c r="DA26" s="120"/>
      <c r="DB26" s="118"/>
    </row>
    <row r="27" spans="1:106" ht="15" customHeight="1">
      <c r="A27" s="96">
        <v>36787</v>
      </c>
      <c r="B27" s="281"/>
      <c r="C27" s="281"/>
      <c r="D27" s="281"/>
      <c r="E27" s="281"/>
      <c r="F27" s="281"/>
      <c r="G27" s="281"/>
      <c r="H27" s="281"/>
      <c r="I27" s="282"/>
      <c r="J27" s="282"/>
      <c r="K27" s="284"/>
      <c r="L27" s="260"/>
      <c r="M27" s="203"/>
      <c r="N27" s="199"/>
      <c r="O27" s="202"/>
      <c r="P27" s="122"/>
      <c r="Q27" s="202"/>
      <c r="R27" s="275"/>
      <c r="S27" s="202"/>
      <c r="T27" s="260"/>
      <c r="U27" s="202"/>
      <c r="V27" s="278"/>
      <c r="W27" s="202"/>
      <c r="X27" s="122"/>
      <c r="Y27" s="202"/>
      <c r="Z27" s="226"/>
      <c r="AA27" s="202"/>
      <c r="AB27" s="199"/>
      <c r="AC27" s="202"/>
      <c r="AD27" s="122"/>
      <c r="AE27" s="202"/>
      <c r="AF27" s="226">
        <v>5583</v>
      </c>
      <c r="AG27" s="217">
        <f t="shared" si="0"/>
        <v>-192.73520940000071</v>
      </c>
      <c r="AH27" s="199">
        <v>0</v>
      </c>
      <c r="AI27" s="202">
        <f t="shared" si="1"/>
        <v>0</v>
      </c>
      <c r="AJ27" s="122">
        <v>0</v>
      </c>
      <c r="AK27" s="202">
        <f t="shared" si="2"/>
        <v>0</v>
      </c>
      <c r="AL27" s="226">
        <v>5179</v>
      </c>
      <c r="AM27" s="217">
        <f t="shared" si="3"/>
        <v>-178.78840219999984</v>
      </c>
      <c r="AN27" s="198">
        <v>0</v>
      </c>
      <c r="AO27" s="202">
        <f t="shared" si="4"/>
        <v>0</v>
      </c>
      <c r="AP27" s="197">
        <v>0</v>
      </c>
      <c r="AQ27" s="202">
        <f t="shared" si="5"/>
        <v>0</v>
      </c>
      <c r="AR27" s="242">
        <v>0</v>
      </c>
      <c r="AS27" s="202">
        <f t="shared" si="6"/>
        <v>0</v>
      </c>
      <c r="AT27" s="205">
        <v>15536</v>
      </c>
      <c r="AU27" s="202">
        <f t="shared" si="7"/>
        <v>-536.33068480000111</v>
      </c>
      <c r="AV27" s="115">
        <v>0</v>
      </c>
      <c r="AW27" s="202">
        <f t="shared" si="8"/>
        <v>0</v>
      </c>
      <c r="AX27" s="197">
        <v>0</v>
      </c>
      <c r="AY27" s="217">
        <f t="shared" si="9"/>
        <v>0</v>
      </c>
      <c r="AZ27" s="198">
        <v>0</v>
      </c>
      <c r="BA27" s="202">
        <f t="shared" si="10"/>
        <v>0</v>
      </c>
      <c r="BB27" s="247">
        <v>0</v>
      </c>
      <c r="BC27" s="202">
        <f t="shared" si="11"/>
        <v>0</v>
      </c>
      <c r="BD27" s="103">
        <v>0</v>
      </c>
      <c r="BE27" s="202">
        <f t="shared" si="12"/>
        <v>0</v>
      </c>
      <c r="BF27" s="107">
        <v>0</v>
      </c>
      <c r="BG27" s="105">
        <f t="shared" si="13"/>
        <v>0</v>
      </c>
      <c r="BH27" s="107"/>
      <c r="BI27" s="107"/>
      <c r="BJ27" s="107">
        <v>0</v>
      </c>
      <c r="BK27" s="107"/>
      <c r="BL27" s="107">
        <v>0</v>
      </c>
      <c r="BM27" s="139">
        <v>0</v>
      </c>
      <c r="BN27" s="156">
        <f t="shared" si="14"/>
        <v>0</v>
      </c>
      <c r="BO27" s="104">
        <v>0</v>
      </c>
      <c r="BP27" s="104">
        <v>0</v>
      </c>
      <c r="BQ27" s="108">
        <f t="shared" si="47"/>
        <v>25390.145703599999</v>
      </c>
      <c r="BR27" s="109">
        <v>0</v>
      </c>
      <c r="BS27" s="109">
        <v>-25390</v>
      </c>
      <c r="BT27" s="109"/>
      <c r="BU27" s="109">
        <v>0</v>
      </c>
      <c r="BV27" s="109">
        <v>0</v>
      </c>
      <c r="BW27" s="110">
        <f t="shared" si="48"/>
        <v>0.15372545740081009</v>
      </c>
      <c r="BX27" s="111">
        <f t="shared" si="17"/>
        <v>-1.8078198864212303E-3</v>
      </c>
      <c r="BY27" s="111">
        <f t="shared" si="49"/>
        <v>0.15191763751438886</v>
      </c>
      <c r="BZ27" s="104">
        <f t="shared" si="19"/>
        <v>0.14399011759981353</v>
      </c>
      <c r="CA27" s="104">
        <v>0</v>
      </c>
      <c r="CB27" s="112">
        <v>0</v>
      </c>
      <c r="CC27" s="113">
        <v>0</v>
      </c>
      <c r="CD27" s="113">
        <v>0</v>
      </c>
      <c r="CE27" s="113">
        <f t="shared" si="50"/>
        <v>0</v>
      </c>
      <c r="CF27" s="114">
        <f t="shared" si="21"/>
        <v>0</v>
      </c>
      <c r="CG27" s="114"/>
      <c r="CH27" s="115">
        <f t="shared" si="51"/>
        <v>0</v>
      </c>
      <c r="CI27" s="106">
        <f t="shared" si="52"/>
        <v>0</v>
      </c>
      <c r="CJ27" s="115">
        <f t="shared" si="24"/>
        <v>0</v>
      </c>
      <c r="CK27" s="115">
        <f t="shared" si="53"/>
        <v>0</v>
      </c>
      <c r="CN27" s="116">
        <f t="shared" si="54"/>
        <v>0</v>
      </c>
      <c r="CO27" s="104">
        <v>0</v>
      </c>
      <c r="CP27" s="104">
        <f t="shared" si="55"/>
        <v>0.14399011759981353</v>
      </c>
      <c r="CQ27" s="104">
        <v>0</v>
      </c>
      <c r="CR27" s="55">
        <v>0</v>
      </c>
      <c r="CS27" s="104">
        <f t="shared" si="56"/>
        <v>0.14399011759981353</v>
      </c>
      <c r="CT27" s="104">
        <f t="shared" si="57"/>
        <v>0.15372545740081009</v>
      </c>
      <c r="CU27" s="104">
        <f t="shared" si="58"/>
        <v>87076.632121621748</v>
      </c>
      <c r="CV27" s="104">
        <v>0</v>
      </c>
      <c r="CW27" s="117">
        <f t="shared" si="59"/>
        <v>0.14570359999925131</v>
      </c>
      <c r="CX27" s="118">
        <f t="shared" si="60"/>
        <v>586781.14659470413</v>
      </c>
      <c r="CY27" s="104"/>
      <c r="CZ27" s="104"/>
      <c r="DA27" s="120"/>
      <c r="DB27" s="118"/>
    </row>
    <row r="28" spans="1:106" ht="15" customHeight="1">
      <c r="A28" s="96">
        <v>36788</v>
      </c>
      <c r="B28" s="281"/>
      <c r="C28" s="281"/>
      <c r="D28" s="281"/>
      <c r="E28" s="281"/>
      <c r="F28" s="281"/>
      <c r="G28" s="281"/>
      <c r="H28" s="281"/>
      <c r="I28" s="282"/>
      <c r="J28" s="282"/>
      <c r="K28" s="284"/>
      <c r="L28" s="260"/>
      <c r="M28" s="203"/>
      <c r="N28" s="199"/>
      <c r="O28" s="202"/>
      <c r="P28" s="122"/>
      <c r="Q28" s="202"/>
      <c r="R28" s="275"/>
      <c r="S28" s="202"/>
      <c r="T28" s="260"/>
      <c r="U28" s="202"/>
      <c r="V28" s="278"/>
      <c r="W28" s="202"/>
      <c r="X28" s="122"/>
      <c r="Y28" s="202"/>
      <c r="Z28" s="226"/>
      <c r="AA28" s="202"/>
      <c r="AB28" s="199"/>
      <c r="AC28" s="202"/>
      <c r="AD28" s="122"/>
      <c r="AE28" s="202"/>
      <c r="AF28" s="226">
        <v>5583</v>
      </c>
      <c r="AG28" s="217">
        <f t="shared" si="0"/>
        <v>-192.73520940000071</v>
      </c>
      <c r="AH28" s="199">
        <v>0</v>
      </c>
      <c r="AI28" s="202">
        <f t="shared" si="1"/>
        <v>0</v>
      </c>
      <c r="AJ28" s="122">
        <v>0</v>
      </c>
      <c r="AK28" s="202">
        <f t="shared" si="2"/>
        <v>0</v>
      </c>
      <c r="AL28" s="226">
        <v>5179</v>
      </c>
      <c r="AM28" s="217">
        <f t="shared" si="3"/>
        <v>-178.78840219999984</v>
      </c>
      <c r="AN28" s="198">
        <v>0</v>
      </c>
      <c r="AO28" s="202">
        <f t="shared" si="4"/>
        <v>0</v>
      </c>
      <c r="AP28" s="197">
        <v>0</v>
      </c>
      <c r="AQ28" s="202">
        <f t="shared" si="5"/>
        <v>0</v>
      </c>
      <c r="AR28" s="242">
        <v>0</v>
      </c>
      <c r="AS28" s="202">
        <f t="shared" si="6"/>
        <v>0</v>
      </c>
      <c r="AT28" s="205">
        <v>15536</v>
      </c>
      <c r="AU28" s="202">
        <f t="shared" si="7"/>
        <v>-536.33068480000111</v>
      </c>
      <c r="AV28" s="115">
        <v>0</v>
      </c>
      <c r="AW28" s="202">
        <f t="shared" si="8"/>
        <v>0</v>
      </c>
      <c r="AX28" s="197">
        <v>0</v>
      </c>
      <c r="AY28" s="217">
        <f t="shared" si="9"/>
        <v>0</v>
      </c>
      <c r="AZ28" s="198">
        <v>0</v>
      </c>
      <c r="BA28" s="202">
        <f t="shared" si="10"/>
        <v>0</v>
      </c>
      <c r="BB28" s="247">
        <v>0</v>
      </c>
      <c r="BC28" s="202">
        <f t="shared" si="11"/>
        <v>0</v>
      </c>
      <c r="BD28" s="103">
        <v>0</v>
      </c>
      <c r="BE28" s="202">
        <f t="shared" si="12"/>
        <v>0</v>
      </c>
      <c r="BF28" s="107">
        <v>0</v>
      </c>
      <c r="BG28" s="105">
        <f t="shared" si="13"/>
        <v>0</v>
      </c>
      <c r="BH28" s="107"/>
      <c r="BI28" s="107"/>
      <c r="BJ28" s="107">
        <v>0</v>
      </c>
      <c r="BK28" s="107"/>
      <c r="BL28" s="107">
        <v>0</v>
      </c>
      <c r="BM28" s="139">
        <v>0</v>
      </c>
      <c r="BN28" s="156">
        <f t="shared" si="14"/>
        <v>0</v>
      </c>
      <c r="BO28" s="104">
        <v>0</v>
      </c>
      <c r="BP28" s="104">
        <v>0</v>
      </c>
      <c r="BQ28" s="108">
        <f t="shared" si="47"/>
        <v>25390.145703599999</v>
      </c>
      <c r="BR28" s="109">
        <v>0</v>
      </c>
      <c r="BS28" s="109">
        <v>-25390</v>
      </c>
      <c r="BT28" s="109"/>
      <c r="BU28" s="109">
        <v>0</v>
      </c>
      <c r="BV28" s="109">
        <v>0</v>
      </c>
      <c r="BW28" s="110">
        <f t="shared" si="48"/>
        <v>0.15372545740081009</v>
      </c>
      <c r="BX28" s="111">
        <f t="shared" si="17"/>
        <v>-1.8078198864212303E-3</v>
      </c>
      <c r="BY28" s="111">
        <f t="shared" si="49"/>
        <v>0.15191763751438886</v>
      </c>
      <c r="BZ28" s="104">
        <f t="shared" si="19"/>
        <v>0.14399011759981353</v>
      </c>
      <c r="CA28" s="104">
        <v>0</v>
      </c>
      <c r="CB28" s="112">
        <v>0</v>
      </c>
      <c r="CC28" s="113">
        <v>0</v>
      </c>
      <c r="CD28" s="113">
        <v>0</v>
      </c>
      <c r="CE28" s="113">
        <f t="shared" si="50"/>
        <v>0</v>
      </c>
      <c r="CF28" s="114">
        <f t="shared" si="21"/>
        <v>0</v>
      </c>
      <c r="CG28" s="114"/>
      <c r="CH28" s="115">
        <f t="shared" si="51"/>
        <v>0</v>
      </c>
      <c r="CI28" s="106">
        <f t="shared" si="52"/>
        <v>0</v>
      </c>
      <c r="CJ28" s="115">
        <f t="shared" si="24"/>
        <v>0</v>
      </c>
      <c r="CK28" s="115">
        <f t="shared" si="53"/>
        <v>0</v>
      </c>
      <c r="CN28" s="116">
        <f t="shared" si="54"/>
        <v>0</v>
      </c>
      <c r="CO28" s="104">
        <v>0</v>
      </c>
      <c r="CP28" s="104">
        <f t="shared" si="55"/>
        <v>0.14399011759981353</v>
      </c>
      <c r="CQ28" s="104">
        <v>0</v>
      </c>
      <c r="CR28" s="55">
        <v>0</v>
      </c>
      <c r="CS28" s="104">
        <f t="shared" si="56"/>
        <v>0.14399011759981353</v>
      </c>
      <c r="CT28" s="104">
        <f t="shared" si="57"/>
        <v>0.15372545740081009</v>
      </c>
      <c r="CU28" s="104">
        <f t="shared" si="58"/>
        <v>87076.785847079154</v>
      </c>
      <c r="CV28" s="104">
        <v>0</v>
      </c>
      <c r="CW28" s="117">
        <f t="shared" si="59"/>
        <v>0.14570359999925131</v>
      </c>
      <c r="CX28" s="118">
        <f t="shared" si="60"/>
        <v>586781.29229830415</v>
      </c>
      <c r="CY28" s="104"/>
      <c r="CZ28" s="104"/>
      <c r="DA28" s="120"/>
      <c r="DB28" s="118"/>
    </row>
    <row r="29" spans="1:106" ht="15" customHeight="1">
      <c r="A29" s="96">
        <v>36789</v>
      </c>
      <c r="B29" s="281"/>
      <c r="C29" s="281"/>
      <c r="D29" s="281"/>
      <c r="E29" s="281"/>
      <c r="F29" s="281"/>
      <c r="G29" s="281"/>
      <c r="H29" s="281"/>
      <c r="I29" s="282"/>
      <c r="J29" s="282"/>
      <c r="K29" s="284"/>
      <c r="L29" s="260"/>
      <c r="M29" s="203"/>
      <c r="N29" s="199"/>
      <c r="O29" s="202"/>
      <c r="P29" s="122"/>
      <c r="Q29" s="202"/>
      <c r="R29" s="275"/>
      <c r="S29" s="202"/>
      <c r="T29" s="260"/>
      <c r="U29" s="202"/>
      <c r="V29" s="278"/>
      <c r="W29" s="202"/>
      <c r="X29" s="122"/>
      <c r="Y29" s="202"/>
      <c r="Z29" s="226"/>
      <c r="AA29" s="202"/>
      <c r="AB29" s="199"/>
      <c r="AC29" s="202"/>
      <c r="AD29" s="122"/>
      <c r="AE29" s="202"/>
      <c r="AF29" s="226">
        <v>5583</v>
      </c>
      <c r="AG29" s="217">
        <f t="shared" si="0"/>
        <v>-192.73520940000071</v>
      </c>
      <c r="AH29" s="199">
        <v>0</v>
      </c>
      <c r="AI29" s="202">
        <f t="shared" si="1"/>
        <v>0</v>
      </c>
      <c r="AJ29" s="122">
        <v>0</v>
      </c>
      <c r="AK29" s="202">
        <f t="shared" si="2"/>
        <v>0</v>
      </c>
      <c r="AL29" s="226">
        <v>5179</v>
      </c>
      <c r="AM29" s="217">
        <f t="shared" si="3"/>
        <v>-178.78840219999984</v>
      </c>
      <c r="AN29" s="198">
        <v>0</v>
      </c>
      <c r="AO29" s="202">
        <f t="shared" si="4"/>
        <v>0</v>
      </c>
      <c r="AP29" s="197">
        <v>0</v>
      </c>
      <c r="AQ29" s="202">
        <f t="shared" si="5"/>
        <v>0</v>
      </c>
      <c r="AR29" s="242">
        <v>0</v>
      </c>
      <c r="AS29" s="202">
        <f t="shared" si="6"/>
        <v>0</v>
      </c>
      <c r="AT29" s="205">
        <v>15536</v>
      </c>
      <c r="AU29" s="202">
        <f t="shared" si="7"/>
        <v>-536.33068480000111</v>
      </c>
      <c r="AV29" s="115">
        <v>0</v>
      </c>
      <c r="AW29" s="202">
        <f t="shared" si="8"/>
        <v>0</v>
      </c>
      <c r="AX29" s="197">
        <v>0</v>
      </c>
      <c r="AY29" s="217">
        <f t="shared" si="9"/>
        <v>0</v>
      </c>
      <c r="AZ29" s="198">
        <v>0</v>
      </c>
      <c r="BA29" s="202">
        <f t="shared" si="10"/>
        <v>0</v>
      </c>
      <c r="BB29" s="247">
        <v>0</v>
      </c>
      <c r="BC29" s="202">
        <f t="shared" si="11"/>
        <v>0</v>
      </c>
      <c r="BD29" s="103">
        <v>0</v>
      </c>
      <c r="BE29" s="202">
        <f t="shared" si="12"/>
        <v>0</v>
      </c>
      <c r="BF29" s="107">
        <v>0</v>
      </c>
      <c r="BG29" s="105">
        <f t="shared" si="13"/>
        <v>0</v>
      </c>
      <c r="BH29" s="107"/>
      <c r="BI29" s="107"/>
      <c r="BJ29" s="107">
        <v>0</v>
      </c>
      <c r="BK29" s="107"/>
      <c r="BL29" s="107">
        <v>0</v>
      </c>
      <c r="BM29" s="139">
        <v>0</v>
      </c>
      <c r="BN29" s="156">
        <f t="shared" si="14"/>
        <v>0</v>
      </c>
      <c r="BO29" s="104">
        <v>0</v>
      </c>
      <c r="BP29" s="104">
        <v>0</v>
      </c>
      <c r="BQ29" s="108">
        <f t="shared" ref="BQ29:BQ34" si="61">SUM($AF29:$AG29)+SUM($AL29:$AM29)+SUM($AT29:$AU29)+Z29+AA29+L29+M29+T29+U29</f>
        <v>25390.145703599999</v>
      </c>
      <c r="BR29" s="109">
        <v>0</v>
      </c>
      <c r="BS29" s="109">
        <v>-25390</v>
      </c>
      <c r="BT29" s="109"/>
      <c r="BU29" s="109">
        <v>0</v>
      </c>
      <c r="BV29" s="109">
        <v>0</v>
      </c>
      <c r="BW29" s="110">
        <f t="shared" ref="BW29:BW34" si="62">(BQ29+BR29+BS29+BU29+BV29)*M</f>
        <v>0.15372545740081009</v>
      </c>
      <c r="BX29" s="111">
        <f t="shared" si="17"/>
        <v>-1.8078198864212303E-3</v>
      </c>
      <c r="BY29" s="111">
        <f t="shared" ref="BY29:BY34" si="63">BW29+BX29</f>
        <v>0.15191763751438886</v>
      </c>
      <c r="BZ29" s="104">
        <f t="shared" si="19"/>
        <v>0.14399011759981353</v>
      </c>
      <c r="CA29" s="104">
        <v>0</v>
      </c>
      <c r="CB29" s="112">
        <v>0</v>
      </c>
      <c r="CC29" s="113">
        <v>0</v>
      </c>
      <c r="CD29" s="113">
        <v>0</v>
      </c>
      <c r="CE29" s="113">
        <f t="shared" ref="CE29:CE34" si="64">SUM(CB29+CC29+CD29)</f>
        <v>0</v>
      </c>
      <c r="CF29" s="114">
        <f t="shared" si="21"/>
        <v>0</v>
      </c>
      <c r="CG29" s="114"/>
      <c r="CH29" s="115">
        <f t="shared" ref="CH29:CH34" si="65">((CF29)/(1+DAWNKIRK))-(CF29)</f>
        <v>0</v>
      </c>
      <c r="CI29" s="106">
        <f t="shared" ref="CI29:CI34" si="66">ROUND(CF29+CH29,1)</f>
        <v>0</v>
      </c>
      <c r="CJ29" s="115">
        <f t="shared" si="24"/>
        <v>0</v>
      </c>
      <c r="CK29" s="115">
        <f t="shared" ref="CK29:CK34" si="67">CI29+CJ29</f>
        <v>0</v>
      </c>
      <c r="CN29" s="116">
        <f t="shared" ref="CN29:CN34" si="68">CK29/M</f>
        <v>0</v>
      </c>
      <c r="CO29" s="104">
        <v>0</v>
      </c>
      <c r="CP29" s="104">
        <f t="shared" ref="CP29:CP34" si="69">CO29+CN29+BZ29</f>
        <v>0.14399011759981353</v>
      </c>
      <c r="CQ29" s="104">
        <v>0</v>
      </c>
      <c r="CR29" s="55">
        <v>0</v>
      </c>
      <c r="CS29" s="104">
        <f t="shared" ref="CS29:CS34" si="70">+CP29+CQ29-CA29-CR29</f>
        <v>0.14399011759981353</v>
      </c>
      <c r="CT29" s="104">
        <f t="shared" ref="CT29:CT34" si="71">CW29*M</f>
        <v>0.15372545740081009</v>
      </c>
      <c r="CU29" s="104">
        <f t="shared" ref="CU29:CU34" si="72">+CT29+CU28</f>
        <v>87076.939572536561</v>
      </c>
      <c r="CV29" s="104">
        <v>0</v>
      </c>
      <c r="CW29" s="117">
        <f t="shared" ref="CW29:CW34" si="73">CS29+CS29*STCLAIRCHIP-CV29</f>
        <v>0.14570359999925131</v>
      </c>
      <c r="CX29" s="118">
        <f t="shared" ref="CX29:CX34" si="74">CW29+CX28</f>
        <v>586781.43800190417</v>
      </c>
      <c r="CY29" s="104"/>
      <c r="CZ29" s="104"/>
      <c r="DA29" s="120"/>
      <c r="DB29" s="118"/>
    </row>
    <row r="30" spans="1:106" ht="13.5" customHeight="1">
      <c r="A30" s="96">
        <v>36790</v>
      </c>
      <c r="B30" s="281"/>
      <c r="C30" s="281"/>
      <c r="D30" s="281"/>
      <c r="E30" s="281"/>
      <c r="F30" s="281"/>
      <c r="G30" s="281"/>
      <c r="H30" s="281"/>
      <c r="I30" s="282"/>
      <c r="J30" s="282"/>
      <c r="K30" s="284"/>
      <c r="L30" s="260"/>
      <c r="M30" s="203"/>
      <c r="N30" s="199"/>
      <c r="O30" s="202"/>
      <c r="P30" s="122"/>
      <c r="Q30" s="202"/>
      <c r="R30" s="275"/>
      <c r="S30" s="202"/>
      <c r="T30" s="260"/>
      <c r="U30" s="202"/>
      <c r="V30" s="278"/>
      <c r="W30" s="202"/>
      <c r="X30" s="122"/>
      <c r="Y30" s="202"/>
      <c r="Z30" s="226"/>
      <c r="AA30" s="202"/>
      <c r="AB30" s="199"/>
      <c r="AC30" s="202"/>
      <c r="AD30" s="122"/>
      <c r="AE30" s="202"/>
      <c r="AF30" s="226">
        <v>5583</v>
      </c>
      <c r="AG30" s="217">
        <f t="shared" si="0"/>
        <v>-192.73520940000071</v>
      </c>
      <c r="AH30" s="199">
        <v>0</v>
      </c>
      <c r="AI30" s="202">
        <f t="shared" si="1"/>
        <v>0</v>
      </c>
      <c r="AJ30" s="122">
        <v>0</v>
      </c>
      <c r="AK30" s="202">
        <f t="shared" si="2"/>
        <v>0</v>
      </c>
      <c r="AL30" s="226">
        <v>5179</v>
      </c>
      <c r="AM30" s="217">
        <f t="shared" si="3"/>
        <v>-178.78840219999984</v>
      </c>
      <c r="AN30" s="198">
        <v>0</v>
      </c>
      <c r="AO30" s="202">
        <f t="shared" si="4"/>
        <v>0</v>
      </c>
      <c r="AP30" s="197">
        <v>0</v>
      </c>
      <c r="AQ30" s="202">
        <f t="shared" si="5"/>
        <v>0</v>
      </c>
      <c r="AR30" s="242">
        <v>0</v>
      </c>
      <c r="AS30" s="202">
        <f t="shared" si="6"/>
        <v>0</v>
      </c>
      <c r="AT30" s="205">
        <v>15536</v>
      </c>
      <c r="AU30" s="202">
        <f t="shared" si="7"/>
        <v>-536.33068480000111</v>
      </c>
      <c r="AV30" s="115">
        <v>0</v>
      </c>
      <c r="AW30" s="202">
        <f t="shared" si="8"/>
        <v>0</v>
      </c>
      <c r="AX30" s="197">
        <v>0</v>
      </c>
      <c r="AY30" s="217">
        <f t="shared" si="9"/>
        <v>0</v>
      </c>
      <c r="AZ30" s="198">
        <v>0</v>
      </c>
      <c r="BA30" s="202">
        <f t="shared" si="10"/>
        <v>0</v>
      </c>
      <c r="BB30" s="247">
        <v>0</v>
      </c>
      <c r="BC30" s="202">
        <f t="shared" si="11"/>
        <v>0</v>
      </c>
      <c r="BD30" s="103">
        <v>0</v>
      </c>
      <c r="BE30" s="202">
        <f t="shared" si="12"/>
        <v>0</v>
      </c>
      <c r="BF30" s="107">
        <v>0</v>
      </c>
      <c r="BG30" s="105">
        <f t="shared" si="13"/>
        <v>0</v>
      </c>
      <c r="BH30" s="107"/>
      <c r="BI30" s="107"/>
      <c r="BJ30" s="107">
        <v>0</v>
      </c>
      <c r="BK30" s="107"/>
      <c r="BL30" s="107">
        <v>0</v>
      </c>
      <c r="BM30" s="139">
        <v>0</v>
      </c>
      <c r="BN30" s="156">
        <f t="shared" si="14"/>
        <v>0</v>
      </c>
      <c r="BO30" s="104">
        <v>0</v>
      </c>
      <c r="BP30" s="104">
        <v>0</v>
      </c>
      <c r="BQ30" s="108">
        <f t="shared" si="61"/>
        <v>25390.145703599999</v>
      </c>
      <c r="BR30" s="109">
        <v>0</v>
      </c>
      <c r="BS30" s="109">
        <v>-25390</v>
      </c>
      <c r="BT30" s="109"/>
      <c r="BU30" s="109">
        <v>0</v>
      </c>
      <c r="BV30" s="109">
        <v>0</v>
      </c>
      <c r="BW30" s="110">
        <f t="shared" si="62"/>
        <v>0.15372545740081009</v>
      </c>
      <c r="BX30" s="111">
        <f t="shared" si="17"/>
        <v>-1.8078198864212303E-3</v>
      </c>
      <c r="BY30" s="111">
        <f t="shared" si="63"/>
        <v>0.15191763751438886</v>
      </c>
      <c r="BZ30" s="104">
        <f t="shared" si="19"/>
        <v>0.14399011759981353</v>
      </c>
      <c r="CA30" s="104">
        <v>0</v>
      </c>
      <c r="CB30" s="112">
        <v>0</v>
      </c>
      <c r="CC30" s="113">
        <v>0</v>
      </c>
      <c r="CD30" s="113">
        <v>0</v>
      </c>
      <c r="CE30" s="113">
        <f t="shared" si="64"/>
        <v>0</v>
      </c>
      <c r="CF30" s="114">
        <f t="shared" si="21"/>
        <v>0</v>
      </c>
      <c r="CG30" s="114"/>
      <c r="CH30" s="115">
        <f t="shared" si="65"/>
        <v>0</v>
      </c>
      <c r="CI30" s="106">
        <f t="shared" si="66"/>
        <v>0</v>
      </c>
      <c r="CJ30" s="115">
        <f t="shared" si="24"/>
        <v>0</v>
      </c>
      <c r="CK30" s="115">
        <f t="shared" si="67"/>
        <v>0</v>
      </c>
      <c r="CN30" s="116">
        <f t="shared" si="68"/>
        <v>0</v>
      </c>
      <c r="CO30" s="104">
        <v>0</v>
      </c>
      <c r="CP30" s="104">
        <f t="shared" si="69"/>
        <v>0.14399011759981353</v>
      </c>
      <c r="CQ30" s="104">
        <v>0</v>
      </c>
      <c r="CR30" s="55">
        <v>0</v>
      </c>
      <c r="CS30" s="104">
        <f t="shared" si="70"/>
        <v>0.14399011759981353</v>
      </c>
      <c r="CT30" s="104">
        <f t="shared" si="71"/>
        <v>0.15372545740081009</v>
      </c>
      <c r="CU30" s="104">
        <f t="shared" si="72"/>
        <v>87077.093297993968</v>
      </c>
      <c r="CV30" s="104">
        <v>0</v>
      </c>
      <c r="CW30" s="117">
        <f t="shared" si="73"/>
        <v>0.14570359999925131</v>
      </c>
      <c r="CX30" s="118">
        <f t="shared" si="74"/>
        <v>586781.58370550419</v>
      </c>
      <c r="CY30" s="104"/>
      <c r="CZ30" s="104"/>
      <c r="DA30" s="120"/>
      <c r="DB30" s="118"/>
    </row>
    <row r="31" spans="1:106" ht="13.5" customHeight="1">
      <c r="A31" s="96">
        <v>36791</v>
      </c>
      <c r="B31" s="281"/>
      <c r="C31" s="281"/>
      <c r="D31" s="281"/>
      <c r="E31" s="281"/>
      <c r="F31" s="281"/>
      <c r="G31" s="281"/>
      <c r="H31" s="281"/>
      <c r="I31" s="282"/>
      <c r="J31" s="282"/>
      <c r="K31" s="284"/>
      <c r="L31" s="260"/>
      <c r="M31" s="203"/>
      <c r="N31" s="199"/>
      <c r="O31" s="202"/>
      <c r="P31" s="122"/>
      <c r="Q31" s="202"/>
      <c r="R31" s="275"/>
      <c r="S31" s="202"/>
      <c r="T31" s="260"/>
      <c r="U31" s="202"/>
      <c r="V31" s="278"/>
      <c r="W31" s="202"/>
      <c r="X31" s="122"/>
      <c r="Y31" s="202"/>
      <c r="Z31" s="226"/>
      <c r="AA31" s="202"/>
      <c r="AB31" s="199"/>
      <c r="AC31" s="202"/>
      <c r="AD31" s="122"/>
      <c r="AE31" s="202"/>
      <c r="AF31" s="226">
        <v>5583</v>
      </c>
      <c r="AG31" s="217">
        <f t="shared" si="0"/>
        <v>-192.73520940000071</v>
      </c>
      <c r="AH31" s="199">
        <v>0</v>
      </c>
      <c r="AI31" s="202">
        <f t="shared" si="1"/>
        <v>0</v>
      </c>
      <c r="AJ31" s="122">
        <v>0</v>
      </c>
      <c r="AK31" s="202">
        <f t="shared" si="2"/>
        <v>0</v>
      </c>
      <c r="AL31" s="226">
        <v>5179</v>
      </c>
      <c r="AM31" s="217">
        <f t="shared" si="3"/>
        <v>-178.78840219999984</v>
      </c>
      <c r="AN31" s="198">
        <v>0</v>
      </c>
      <c r="AO31" s="202">
        <f t="shared" si="4"/>
        <v>0</v>
      </c>
      <c r="AP31" s="197">
        <v>0</v>
      </c>
      <c r="AQ31" s="202">
        <f t="shared" si="5"/>
        <v>0</v>
      </c>
      <c r="AR31" s="242">
        <v>0</v>
      </c>
      <c r="AS31" s="202">
        <f t="shared" si="6"/>
        <v>0</v>
      </c>
      <c r="AT31" s="205">
        <v>15536</v>
      </c>
      <c r="AU31" s="202">
        <f t="shared" si="7"/>
        <v>-536.33068480000111</v>
      </c>
      <c r="AV31" s="115">
        <v>0</v>
      </c>
      <c r="AW31" s="202">
        <f t="shared" si="8"/>
        <v>0</v>
      </c>
      <c r="AX31" s="197">
        <v>0</v>
      </c>
      <c r="AY31" s="217">
        <f t="shared" si="9"/>
        <v>0</v>
      </c>
      <c r="AZ31" s="198">
        <v>0</v>
      </c>
      <c r="BA31" s="202">
        <f t="shared" si="10"/>
        <v>0</v>
      </c>
      <c r="BB31" s="247">
        <v>0</v>
      </c>
      <c r="BC31" s="202">
        <f t="shared" si="11"/>
        <v>0</v>
      </c>
      <c r="BD31" s="103">
        <v>0</v>
      </c>
      <c r="BE31" s="202">
        <f t="shared" si="12"/>
        <v>0</v>
      </c>
      <c r="BF31" s="107">
        <v>0</v>
      </c>
      <c r="BG31" s="105">
        <f t="shared" si="13"/>
        <v>0</v>
      </c>
      <c r="BH31" s="107"/>
      <c r="BI31" s="107"/>
      <c r="BJ31" s="107">
        <v>0</v>
      </c>
      <c r="BK31" s="107"/>
      <c r="BL31" s="107">
        <v>0</v>
      </c>
      <c r="BM31" s="139">
        <v>0</v>
      </c>
      <c r="BN31" s="156">
        <f t="shared" si="14"/>
        <v>0</v>
      </c>
      <c r="BO31" s="104">
        <v>0</v>
      </c>
      <c r="BP31" s="104">
        <v>0</v>
      </c>
      <c r="BQ31" s="108">
        <f t="shared" si="61"/>
        <v>25390.145703599999</v>
      </c>
      <c r="BR31" s="109">
        <v>0</v>
      </c>
      <c r="BS31" s="109">
        <v>-25390</v>
      </c>
      <c r="BT31" s="109"/>
      <c r="BU31" s="109">
        <v>0</v>
      </c>
      <c r="BV31" s="109">
        <v>0</v>
      </c>
      <c r="BW31" s="110">
        <f t="shared" si="62"/>
        <v>0.15372545740081009</v>
      </c>
      <c r="BX31" s="111">
        <f t="shared" si="17"/>
        <v>-1.8078198864212303E-3</v>
      </c>
      <c r="BY31" s="111">
        <f t="shared" si="63"/>
        <v>0.15191763751438886</v>
      </c>
      <c r="BZ31" s="104">
        <f t="shared" si="19"/>
        <v>0.14399011759981353</v>
      </c>
      <c r="CA31" s="104">
        <v>0</v>
      </c>
      <c r="CB31" s="112">
        <v>0</v>
      </c>
      <c r="CC31" s="113">
        <v>0</v>
      </c>
      <c r="CD31" s="113">
        <v>0</v>
      </c>
      <c r="CE31" s="113">
        <f t="shared" si="64"/>
        <v>0</v>
      </c>
      <c r="CF31" s="114">
        <f t="shared" si="21"/>
        <v>0</v>
      </c>
      <c r="CG31" s="114"/>
      <c r="CH31" s="115">
        <f t="shared" si="65"/>
        <v>0</v>
      </c>
      <c r="CI31" s="106">
        <f t="shared" si="66"/>
        <v>0</v>
      </c>
      <c r="CJ31" s="115">
        <f t="shared" si="24"/>
        <v>0</v>
      </c>
      <c r="CK31" s="115">
        <f t="shared" si="67"/>
        <v>0</v>
      </c>
      <c r="CN31" s="116">
        <f t="shared" si="68"/>
        <v>0</v>
      </c>
      <c r="CO31" s="104">
        <v>0</v>
      </c>
      <c r="CP31" s="104">
        <f t="shared" si="69"/>
        <v>0.14399011759981353</v>
      </c>
      <c r="CQ31" s="104">
        <v>0</v>
      </c>
      <c r="CR31" s="55">
        <v>0</v>
      </c>
      <c r="CS31" s="104">
        <f t="shared" si="70"/>
        <v>0.14399011759981353</v>
      </c>
      <c r="CT31" s="104">
        <f t="shared" si="71"/>
        <v>0.15372545740081009</v>
      </c>
      <c r="CU31" s="104">
        <f t="shared" si="72"/>
        <v>87077.247023451375</v>
      </c>
      <c r="CV31" s="104">
        <v>0</v>
      </c>
      <c r="CW31" s="117">
        <f t="shared" si="73"/>
        <v>0.14570359999925131</v>
      </c>
      <c r="CX31" s="118">
        <f t="shared" si="74"/>
        <v>586781.72940910421</v>
      </c>
      <c r="CY31" s="104"/>
      <c r="CZ31" s="104"/>
      <c r="DA31" s="120"/>
      <c r="DB31" s="118"/>
    </row>
    <row r="32" spans="1:106" ht="13.5" customHeight="1">
      <c r="A32" s="96">
        <v>36792</v>
      </c>
      <c r="B32" s="281"/>
      <c r="C32" s="281"/>
      <c r="D32" s="281"/>
      <c r="E32" s="281"/>
      <c r="F32" s="281"/>
      <c r="G32" s="281"/>
      <c r="H32" s="281"/>
      <c r="I32" s="282"/>
      <c r="J32" s="282"/>
      <c r="K32" s="284"/>
      <c r="L32" s="260"/>
      <c r="M32" s="203"/>
      <c r="N32" s="199"/>
      <c r="O32" s="202"/>
      <c r="P32" s="122"/>
      <c r="Q32" s="202"/>
      <c r="R32" s="275"/>
      <c r="S32" s="202"/>
      <c r="T32" s="260"/>
      <c r="U32" s="202"/>
      <c r="V32" s="278"/>
      <c r="W32" s="202"/>
      <c r="X32" s="122"/>
      <c r="Y32" s="202"/>
      <c r="Z32" s="226"/>
      <c r="AA32" s="202"/>
      <c r="AB32" s="199"/>
      <c r="AC32" s="202"/>
      <c r="AD32" s="122"/>
      <c r="AE32" s="202"/>
      <c r="AF32" s="226">
        <v>5583</v>
      </c>
      <c r="AG32" s="217">
        <f t="shared" si="0"/>
        <v>-192.73520940000071</v>
      </c>
      <c r="AH32" s="199">
        <v>0</v>
      </c>
      <c r="AI32" s="202">
        <f t="shared" si="1"/>
        <v>0</v>
      </c>
      <c r="AJ32" s="122">
        <v>0</v>
      </c>
      <c r="AK32" s="202">
        <f t="shared" si="2"/>
        <v>0</v>
      </c>
      <c r="AL32" s="226">
        <v>5179</v>
      </c>
      <c r="AM32" s="217">
        <f t="shared" si="3"/>
        <v>-178.78840219999984</v>
      </c>
      <c r="AN32" s="198">
        <v>0</v>
      </c>
      <c r="AO32" s="202">
        <f t="shared" si="4"/>
        <v>0</v>
      </c>
      <c r="AP32" s="197">
        <v>0</v>
      </c>
      <c r="AQ32" s="202">
        <f t="shared" si="5"/>
        <v>0</v>
      </c>
      <c r="AR32" s="242">
        <v>0</v>
      </c>
      <c r="AS32" s="202">
        <f t="shared" si="6"/>
        <v>0</v>
      </c>
      <c r="AT32" s="205">
        <v>15536</v>
      </c>
      <c r="AU32" s="202">
        <f t="shared" si="7"/>
        <v>-536.33068480000111</v>
      </c>
      <c r="AV32" s="115">
        <v>0</v>
      </c>
      <c r="AW32" s="202">
        <f t="shared" si="8"/>
        <v>0</v>
      </c>
      <c r="AX32" s="197">
        <v>0</v>
      </c>
      <c r="AY32" s="217">
        <f t="shared" si="9"/>
        <v>0</v>
      </c>
      <c r="AZ32" s="198">
        <v>0</v>
      </c>
      <c r="BA32" s="202">
        <f t="shared" si="10"/>
        <v>0</v>
      </c>
      <c r="BB32" s="247">
        <v>0</v>
      </c>
      <c r="BC32" s="202">
        <f t="shared" si="11"/>
        <v>0</v>
      </c>
      <c r="BD32" s="103">
        <v>0</v>
      </c>
      <c r="BE32" s="202">
        <f t="shared" si="12"/>
        <v>0</v>
      </c>
      <c r="BF32" s="107">
        <v>0</v>
      </c>
      <c r="BG32" s="105">
        <f t="shared" si="13"/>
        <v>0</v>
      </c>
      <c r="BH32" s="107"/>
      <c r="BI32" s="107"/>
      <c r="BJ32" s="107">
        <v>0</v>
      </c>
      <c r="BK32" s="107"/>
      <c r="BL32" s="107">
        <v>0</v>
      </c>
      <c r="BM32" s="139">
        <v>0</v>
      </c>
      <c r="BN32" s="156">
        <f t="shared" si="14"/>
        <v>0</v>
      </c>
      <c r="BO32" s="104">
        <v>0</v>
      </c>
      <c r="BP32" s="104">
        <v>0</v>
      </c>
      <c r="BQ32" s="108">
        <f t="shared" si="61"/>
        <v>25390.145703599999</v>
      </c>
      <c r="BR32" s="109">
        <v>0</v>
      </c>
      <c r="BS32" s="109">
        <v>-25390</v>
      </c>
      <c r="BT32" s="109"/>
      <c r="BU32" s="109">
        <v>0</v>
      </c>
      <c r="BV32" s="109">
        <v>0</v>
      </c>
      <c r="BW32" s="110">
        <f t="shared" si="62"/>
        <v>0.15372545740081009</v>
      </c>
      <c r="BX32" s="111">
        <f t="shared" si="17"/>
        <v>-1.8078198864212303E-3</v>
      </c>
      <c r="BY32" s="111">
        <f t="shared" si="63"/>
        <v>0.15191763751438886</v>
      </c>
      <c r="BZ32" s="104">
        <f t="shared" si="19"/>
        <v>0.14399011759981353</v>
      </c>
      <c r="CA32" s="104">
        <v>0</v>
      </c>
      <c r="CB32" s="112">
        <v>0</v>
      </c>
      <c r="CC32" s="113">
        <v>0</v>
      </c>
      <c r="CD32" s="113">
        <v>0</v>
      </c>
      <c r="CE32" s="113">
        <f t="shared" si="64"/>
        <v>0</v>
      </c>
      <c r="CF32" s="114">
        <f t="shared" si="21"/>
        <v>0</v>
      </c>
      <c r="CG32" s="114"/>
      <c r="CH32" s="115">
        <f t="shared" si="65"/>
        <v>0</v>
      </c>
      <c r="CI32" s="106">
        <f t="shared" si="66"/>
        <v>0</v>
      </c>
      <c r="CJ32" s="115">
        <f t="shared" si="24"/>
        <v>0</v>
      </c>
      <c r="CK32" s="115">
        <f t="shared" si="67"/>
        <v>0</v>
      </c>
      <c r="CN32" s="116">
        <f t="shared" si="68"/>
        <v>0</v>
      </c>
      <c r="CO32" s="104">
        <v>0</v>
      </c>
      <c r="CP32" s="104">
        <f t="shared" si="69"/>
        <v>0.14399011759981353</v>
      </c>
      <c r="CQ32" s="104">
        <v>0</v>
      </c>
      <c r="CR32" s="55">
        <v>0</v>
      </c>
      <c r="CS32" s="104">
        <f t="shared" si="70"/>
        <v>0.14399011759981353</v>
      </c>
      <c r="CT32" s="104">
        <f t="shared" si="71"/>
        <v>0.15372545740081009</v>
      </c>
      <c r="CU32" s="104">
        <f t="shared" si="72"/>
        <v>87077.400748908782</v>
      </c>
      <c r="CV32" s="104">
        <v>0</v>
      </c>
      <c r="CW32" s="117">
        <f t="shared" si="73"/>
        <v>0.14570359999925131</v>
      </c>
      <c r="CX32" s="118">
        <f t="shared" si="74"/>
        <v>586781.87511270423</v>
      </c>
      <c r="CY32" s="104"/>
      <c r="CZ32" s="104"/>
      <c r="DA32" s="120"/>
      <c r="DB32" s="118"/>
    </row>
    <row r="33" spans="1:106" ht="13.5" customHeight="1">
      <c r="A33" s="96">
        <v>36793</v>
      </c>
      <c r="B33" s="281"/>
      <c r="C33" s="281"/>
      <c r="D33" s="281"/>
      <c r="E33" s="281"/>
      <c r="F33" s="281"/>
      <c r="G33" s="281"/>
      <c r="H33" s="281"/>
      <c r="I33" s="282"/>
      <c r="J33" s="282"/>
      <c r="K33" s="284"/>
      <c r="L33" s="260"/>
      <c r="M33" s="203"/>
      <c r="N33" s="199"/>
      <c r="O33" s="202"/>
      <c r="P33" s="122"/>
      <c r="Q33" s="202"/>
      <c r="R33" s="275"/>
      <c r="S33" s="202"/>
      <c r="T33" s="260"/>
      <c r="U33" s="202"/>
      <c r="V33" s="278"/>
      <c r="W33" s="202"/>
      <c r="X33" s="122"/>
      <c r="Y33" s="202"/>
      <c r="Z33" s="226"/>
      <c r="AA33" s="202"/>
      <c r="AB33" s="199"/>
      <c r="AC33" s="202"/>
      <c r="AD33" s="122"/>
      <c r="AE33" s="202"/>
      <c r="AF33" s="226">
        <v>5583</v>
      </c>
      <c r="AG33" s="217">
        <f t="shared" si="0"/>
        <v>-192.73520940000071</v>
      </c>
      <c r="AH33" s="199">
        <v>0</v>
      </c>
      <c r="AI33" s="202">
        <f t="shared" si="1"/>
        <v>0</v>
      </c>
      <c r="AJ33" s="122">
        <v>0</v>
      </c>
      <c r="AK33" s="202">
        <f t="shared" si="2"/>
        <v>0</v>
      </c>
      <c r="AL33" s="226">
        <v>5179</v>
      </c>
      <c r="AM33" s="217">
        <f t="shared" si="3"/>
        <v>-178.78840219999984</v>
      </c>
      <c r="AN33" s="198">
        <v>0</v>
      </c>
      <c r="AO33" s="202">
        <f t="shared" si="4"/>
        <v>0</v>
      </c>
      <c r="AP33" s="197">
        <v>0</v>
      </c>
      <c r="AQ33" s="202">
        <f t="shared" si="5"/>
        <v>0</v>
      </c>
      <c r="AR33" s="242">
        <v>0</v>
      </c>
      <c r="AS33" s="202">
        <f t="shared" si="6"/>
        <v>0</v>
      </c>
      <c r="AT33" s="205">
        <v>15536</v>
      </c>
      <c r="AU33" s="202">
        <f t="shared" si="7"/>
        <v>-536.33068480000111</v>
      </c>
      <c r="AV33" s="115">
        <v>0</v>
      </c>
      <c r="AW33" s="202">
        <f t="shared" si="8"/>
        <v>0</v>
      </c>
      <c r="AX33" s="197">
        <v>0</v>
      </c>
      <c r="AY33" s="217">
        <f t="shared" si="9"/>
        <v>0</v>
      </c>
      <c r="AZ33" s="198">
        <v>0</v>
      </c>
      <c r="BA33" s="202">
        <f t="shared" si="10"/>
        <v>0</v>
      </c>
      <c r="BB33" s="247">
        <v>0</v>
      </c>
      <c r="BC33" s="202">
        <f t="shared" si="11"/>
        <v>0</v>
      </c>
      <c r="BD33" s="103">
        <v>0</v>
      </c>
      <c r="BE33" s="202">
        <f t="shared" si="12"/>
        <v>0</v>
      </c>
      <c r="BF33" s="107">
        <v>0</v>
      </c>
      <c r="BG33" s="105">
        <f t="shared" si="13"/>
        <v>0</v>
      </c>
      <c r="BH33" s="107"/>
      <c r="BI33" s="107"/>
      <c r="BJ33" s="107">
        <v>0</v>
      </c>
      <c r="BK33" s="107"/>
      <c r="BL33" s="107">
        <v>0</v>
      </c>
      <c r="BM33" s="139">
        <v>0</v>
      </c>
      <c r="BN33" s="156">
        <f t="shared" si="14"/>
        <v>0</v>
      </c>
      <c r="BO33" s="104">
        <v>0</v>
      </c>
      <c r="BP33" s="104">
        <v>0</v>
      </c>
      <c r="BQ33" s="108">
        <f t="shared" si="61"/>
        <v>25390.145703599999</v>
      </c>
      <c r="BR33" s="109">
        <v>0</v>
      </c>
      <c r="BS33" s="109">
        <v>-25390</v>
      </c>
      <c r="BT33" s="109"/>
      <c r="BU33" s="109">
        <v>0</v>
      </c>
      <c r="BV33" s="109">
        <v>0</v>
      </c>
      <c r="BW33" s="110">
        <f t="shared" si="62"/>
        <v>0.15372545740081009</v>
      </c>
      <c r="BX33" s="111">
        <f t="shared" si="17"/>
        <v>-1.8078198864212303E-3</v>
      </c>
      <c r="BY33" s="111">
        <f t="shared" si="63"/>
        <v>0.15191763751438886</v>
      </c>
      <c r="BZ33" s="104">
        <f t="shared" si="19"/>
        <v>0.14399011759981353</v>
      </c>
      <c r="CA33" s="104">
        <v>0</v>
      </c>
      <c r="CB33" s="112">
        <v>0</v>
      </c>
      <c r="CC33" s="113">
        <v>0</v>
      </c>
      <c r="CD33" s="113">
        <v>0</v>
      </c>
      <c r="CE33" s="113">
        <f t="shared" si="64"/>
        <v>0</v>
      </c>
      <c r="CF33" s="114">
        <f t="shared" si="21"/>
        <v>0</v>
      </c>
      <c r="CG33" s="114"/>
      <c r="CH33" s="115">
        <f t="shared" si="65"/>
        <v>0</v>
      </c>
      <c r="CI33" s="106">
        <f t="shared" si="66"/>
        <v>0</v>
      </c>
      <c r="CJ33" s="115">
        <f t="shared" si="24"/>
        <v>0</v>
      </c>
      <c r="CK33" s="115">
        <f t="shared" si="67"/>
        <v>0</v>
      </c>
      <c r="CN33" s="116">
        <f t="shared" si="68"/>
        <v>0</v>
      </c>
      <c r="CO33" s="104">
        <v>0</v>
      </c>
      <c r="CP33" s="104">
        <f t="shared" si="69"/>
        <v>0.14399011759981353</v>
      </c>
      <c r="CQ33" s="104">
        <v>0</v>
      </c>
      <c r="CR33" s="55">
        <v>0</v>
      </c>
      <c r="CS33" s="104">
        <f t="shared" si="70"/>
        <v>0.14399011759981353</v>
      </c>
      <c r="CT33" s="104">
        <f t="shared" si="71"/>
        <v>0.15372545740081009</v>
      </c>
      <c r="CU33" s="104">
        <f t="shared" si="72"/>
        <v>87077.554474366189</v>
      </c>
      <c r="CV33" s="104">
        <v>0</v>
      </c>
      <c r="CW33" s="117">
        <f t="shared" si="73"/>
        <v>0.14570359999925131</v>
      </c>
      <c r="CX33" s="118">
        <f t="shared" si="74"/>
        <v>586782.02081630426</v>
      </c>
      <c r="CY33" s="104"/>
      <c r="CZ33" s="104"/>
      <c r="DA33" s="120"/>
      <c r="DB33" s="118"/>
    </row>
    <row r="34" spans="1:106" ht="13.5" customHeight="1">
      <c r="A34" s="96">
        <v>36794</v>
      </c>
      <c r="B34" s="281"/>
      <c r="C34" s="281"/>
      <c r="D34" s="281"/>
      <c r="E34" s="281"/>
      <c r="F34" s="281"/>
      <c r="G34" s="281"/>
      <c r="H34" s="281"/>
      <c r="I34" s="282"/>
      <c r="J34" s="282"/>
      <c r="K34" s="284"/>
      <c r="L34" s="260"/>
      <c r="M34" s="203"/>
      <c r="N34" s="199"/>
      <c r="O34" s="202"/>
      <c r="P34" s="122"/>
      <c r="Q34" s="202"/>
      <c r="R34" s="275"/>
      <c r="S34" s="202"/>
      <c r="T34" s="260"/>
      <c r="U34" s="202"/>
      <c r="V34" s="278"/>
      <c r="W34" s="202"/>
      <c r="X34" s="122"/>
      <c r="Y34" s="202"/>
      <c r="Z34" s="226"/>
      <c r="AA34" s="202"/>
      <c r="AB34" s="199"/>
      <c r="AC34" s="202"/>
      <c r="AD34" s="122"/>
      <c r="AE34" s="202"/>
      <c r="AF34" s="226">
        <v>5583</v>
      </c>
      <c r="AG34" s="217">
        <f t="shared" si="0"/>
        <v>-192.73520940000071</v>
      </c>
      <c r="AH34" s="199">
        <v>0</v>
      </c>
      <c r="AI34" s="202">
        <f t="shared" si="1"/>
        <v>0</v>
      </c>
      <c r="AJ34" s="122">
        <v>0</v>
      </c>
      <c r="AK34" s="202">
        <f t="shared" si="2"/>
        <v>0</v>
      </c>
      <c r="AL34" s="226">
        <v>5179</v>
      </c>
      <c r="AM34" s="217">
        <f t="shared" si="3"/>
        <v>-178.78840219999984</v>
      </c>
      <c r="AN34" s="198">
        <v>0</v>
      </c>
      <c r="AO34" s="202">
        <f t="shared" si="4"/>
        <v>0</v>
      </c>
      <c r="AP34" s="197">
        <v>0</v>
      </c>
      <c r="AQ34" s="202">
        <f t="shared" si="5"/>
        <v>0</v>
      </c>
      <c r="AR34" s="242">
        <v>0</v>
      </c>
      <c r="AS34" s="202">
        <f t="shared" si="6"/>
        <v>0</v>
      </c>
      <c r="AT34" s="205">
        <v>15536</v>
      </c>
      <c r="AU34" s="202">
        <f t="shared" si="7"/>
        <v>-536.33068480000111</v>
      </c>
      <c r="AV34" s="115">
        <v>0</v>
      </c>
      <c r="AW34" s="202">
        <f t="shared" si="8"/>
        <v>0</v>
      </c>
      <c r="AX34" s="197">
        <v>0</v>
      </c>
      <c r="AY34" s="217">
        <f t="shared" si="9"/>
        <v>0</v>
      </c>
      <c r="AZ34" s="198">
        <v>0</v>
      </c>
      <c r="BA34" s="202">
        <f t="shared" si="10"/>
        <v>0</v>
      </c>
      <c r="BB34" s="247">
        <v>0</v>
      </c>
      <c r="BC34" s="202">
        <f t="shared" si="11"/>
        <v>0</v>
      </c>
      <c r="BD34" s="103">
        <v>0</v>
      </c>
      <c r="BE34" s="202">
        <f t="shared" si="12"/>
        <v>0</v>
      </c>
      <c r="BF34" s="107">
        <v>0</v>
      </c>
      <c r="BG34" s="105">
        <f t="shared" si="13"/>
        <v>0</v>
      </c>
      <c r="BH34" s="107"/>
      <c r="BI34" s="107"/>
      <c r="BJ34" s="107">
        <v>0</v>
      </c>
      <c r="BK34" s="107"/>
      <c r="BL34" s="107">
        <v>0</v>
      </c>
      <c r="BM34" s="139">
        <v>0</v>
      </c>
      <c r="BN34" s="156">
        <f t="shared" si="14"/>
        <v>0</v>
      </c>
      <c r="BO34" s="104">
        <v>0</v>
      </c>
      <c r="BP34" s="104">
        <v>0</v>
      </c>
      <c r="BQ34" s="108">
        <f t="shared" si="61"/>
        <v>25390.145703599999</v>
      </c>
      <c r="BR34" s="109">
        <v>0</v>
      </c>
      <c r="BS34" s="109">
        <v>-25390</v>
      </c>
      <c r="BT34" s="109"/>
      <c r="BU34" s="109">
        <v>0</v>
      </c>
      <c r="BV34" s="109">
        <v>0</v>
      </c>
      <c r="BW34" s="110">
        <f t="shared" si="62"/>
        <v>0.15372545740081009</v>
      </c>
      <c r="BX34" s="111">
        <f t="shared" si="17"/>
        <v>-1.8078198864212303E-3</v>
      </c>
      <c r="BY34" s="111">
        <f t="shared" si="63"/>
        <v>0.15191763751438886</v>
      </c>
      <c r="BZ34" s="104">
        <f t="shared" si="19"/>
        <v>0.14399011759981353</v>
      </c>
      <c r="CA34" s="104">
        <v>0</v>
      </c>
      <c r="CB34" s="112">
        <v>0</v>
      </c>
      <c r="CC34" s="113">
        <v>0</v>
      </c>
      <c r="CD34" s="113">
        <v>0</v>
      </c>
      <c r="CE34" s="113">
        <f t="shared" si="64"/>
        <v>0</v>
      </c>
      <c r="CF34" s="114">
        <f t="shared" si="21"/>
        <v>0</v>
      </c>
      <c r="CG34" s="114"/>
      <c r="CH34" s="115">
        <f t="shared" si="65"/>
        <v>0</v>
      </c>
      <c r="CI34" s="106">
        <f t="shared" si="66"/>
        <v>0</v>
      </c>
      <c r="CJ34" s="115">
        <f t="shared" si="24"/>
        <v>0</v>
      </c>
      <c r="CK34" s="115">
        <f t="shared" si="67"/>
        <v>0</v>
      </c>
      <c r="CN34" s="116">
        <f t="shared" si="68"/>
        <v>0</v>
      </c>
      <c r="CO34" s="104">
        <v>0</v>
      </c>
      <c r="CP34" s="104">
        <f t="shared" si="69"/>
        <v>0.14399011759981353</v>
      </c>
      <c r="CQ34" s="104">
        <v>0</v>
      </c>
      <c r="CR34" s="55">
        <v>0</v>
      </c>
      <c r="CS34" s="104">
        <f t="shared" si="70"/>
        <v>0.14399011759981353</v>
      </c>
      <c r="CT34" s="104">
        <f t="shared" si="71"/>
        <v>0.15372545740081009</v>
      </c>
      <c r="CU34" s="104">
        <f t="shared" si="72"/>
        <v>87077.708199823595</v>
      </c>
      <c r="CV34" s="104">
        <v>0</v>
      </c>
      <c r="CW34" s="117">
        <f t="shared" si="73"/>
        <v>0.14570359999925131</v>
      </c>
      <c r="CX34" s="118">
        <f t="shared" si="74"/>
        <v>586782.16651990428</v>
      </c>
      <c r="CY34" s="104"/>
      <c r="CZ34" s="104"/>
      <c r="DA34" s="120"/>
      <c r="DB34" s="118"/>
    </row>
    <row r="35" spans="1:106" ht="13.5" customHeight="1">
      <c r="A35" s="96">
        <v>36795</v>
      </c>
      <c r="B35" s="281"/>
      <c r="C35" s="281"/>
      <c r="D35" s="281"/>
      <c r="E35" s="281"/>
      <c r="F35" s="281"/>
      <c r="G35" s="281"/>
      <c r="H35" s="281"/>
      <c r="I35" s="282"/>
      <c r="J35" s="282"/>
      <c r="K35" s="284"/>
      <c r="L35" s="260"/>
      <c r="M35" s="203"/>
      <c r="N35" s="199"/>
      <c r="O35" s="202"/>
      <c r="P35" s="122"/>
      <c r="Q35" s="202"/>
      <c r="R35" s="275"/>
      <c r="S35" s="202"/>
      <c r="T35" s="260"/>
      <c r="U35" s="202"/>
      <c r="V35" s="278"/>
      <c r="W35" s="202"/>
      <c r="X35" s="122"/>
      <c r="Y35" s="202"/>
      <c r="Z35" s="226"/>
      <c r="AA35" s="202"/>
      <c r="AB35" s="199"/>
      <c r="AC35" s="202"/>
      <c r="AD35" s="122"/>
      <c r="AE35" s="202"/>
      <c r="AF35" s="226">
        <v>5583</v>
      </c>
      <c r="AG35" s="217">
        <f t="shared" si="0"/>
        <v>-192.73520940000071</v>
      </c>
      <c r="AH35" s="199">
        <v>0</v>
      </c>
      <c r="AI35" s="202">
        <f t="shared" si="1"/>
        <v>0</v>
      </c>
      <c r="AJ35" s="122">
        <v>0</v>
      </c>
      <c r="AK35" s="202">
        <f t="shared" si="2"/>
        <v>0</v>
      </c>
      <c r="AL35" s="226">
        <v>5179</v>
      </c>
      <c r="AM35" s="217">
        <f t="shared" si="3"/>
        <v>-178.78840219999984</v>
      </c>
      <c r="AN35" s="198">
        <v>0</v>
      </c>
      <c r="AO35" s="202">
        <f t="shared" si="4"/>
        <v>0</v>
      </c>
      <c r="AP35" s="197">
        <v>0</v>
      </c>
      <c r="AQ35" s="202">
        <f t="shared" si="5"/>
        <v>0</v>
      </c>
      <c r="AR35" s="242">
        <v>0</v>
      </c>
      <c r="AS35" s="202">
        <f t="shared" si="6"/>
        <v>0</v>
      </c>
      <c r="AT35" s="205">
        <v>15536</v>
      </c>
      <c r="AU35" s="202">
        <f t="shared" si="7"/>
        <v>-536.33068480000111</v>
      </c>
      <c r="AV35" s="115">
        <v>0</v>
      </c>
      <c r="AW35" s="202">
        <f t="shared" si="8"/>
        <v>0</v>
      </c>
      <c r="AX35" s="197">
        <v>0</v>
      </c>
      <c r="AY35" s="217">
        <f t="shared" si="9"/>
        <v>0</v>
      </c>
      <c r="AZ35" s="198">
        <v>0</v>
      </c>
      <c r="BA35" s="202">
        <f t="shared" si="10"/>
        <v>0</v>
      </c>
      <c r="BB35" s="247">
        <v>0</v>
      </c>
      <c r="BC35" s="202">
        <f t="shared" si="11"/>
        <v>0</v>
      </c>
      <c r="BD35" s="103">
        <v>0</v>
      </c>
      <c r="BE35" s="202">
        <f t="shared" si="12"/>
        <v>0</v>
      </c>
      <c r="BF35" s="107">
        <v>0</v>
      </c>
      <c r="BG35" s="105">
        <f t="shared" si="13"/>
        <v>0</v>
      </c>
      <c r="BH35" s="107"/>
      <c r="BI35" s="107"/>
      <c r="BJ35" s="107">
        <v>0</v>
      </c>
      <c r="BK35" s="107"/>
      <c r="BL35" s="107">
        <v>0</v>
      </c>
      <c r="BM35" s="139">
        <v>0</v>
      </c>
      <c r="BN35" s="156">
        <f t="shared" si="14"/>
        <v>0</v>
      </c>
      <c r="BO35" s="104">
        <v>0</v>
      </c>
      <c r="BP35" s="104">
        <v>0</v>
      </c>
      <c r="BQ35" s="108">
        <f>SUM($AF35:$AG35)+SUM($AL35:$AM35)+SUM($AT35:$AU35)+Z35+AA35+L35+M35+T35+U35</f>
        <v>25390.145703599999</v>
      </c>
      <c r="BR35" s="109">
        <v>0</v>
      </c>
      <c r="BS35" s="109">
        <v>0</v>
      </c>
      <c r="BT35" s="109"/>
      <c r="BU35" s="109">
        <v>-25390</v>
      </c>
      <c r="BV35" s="109">
        <v>0</v>
      </c>
      <c r="BW35" s="110">
        <f>(BQ35+BR35+BS35+BU35+BV35)*M</f>
        <v>0.15372545740081009</v>
      </c>
      <c r="BX35" s="111">
        <f t="shared" si="17"/>
        <v>-1.8078198864212303E-3</v>
      </c>
      <c r="BY35" s="111">
        <f>BW35+BX35</f>
        <v>0.15191763751438886</v>
      </c>
      <c r="BZ35" s="104">
        <f t="shared" si="19"/>
        <v>0.14399011759981353</v>
      </c>
      <c r="CA35" s="104">
        <v>0</v>
      </c>
      <c r="CB35" s="112">
        <v>0</v>
      </c>
      <c r="CC35" s="113">
        <v>0</v>
      </c>
      <c r="CD35" s="113">
        <v>0</v>
      </c>
      <c r="CE35" s="113">
        <f>SUM(CB35+CC35+CD35)</f>
        <v>0</v>
      </c>
      <c r="CF35" s="114">
        <f t="shared" si="21"/>
        <v>0</v>
      </c>
      <c r="CG35" s="114"/>
      <c r="CH35" s="115">
        <f>((CF35)/(1+DAWNKIRK))-(CF35)</f>
        <v>0</v>
      </c>
      <c r="CI35" s="106">
        <f>ROUND(CF35+CH35,1)</f>
        <v>0</v>
      </c>
      <c r="CJ35" s="115">
        <f t="shared" si="24"/>
        <v>0</v>
      </c>
      <c r="CK35" s="115">
        <f>CI35+CJ35</f>
        <v>0</v>
      </c>
      <c r="CN35" s="116">
        <f>CK35/M</f>
        <v>0</v>
      </c>
      <c r="CO35" s="104">
        <v>0</v>
      </c>
      <c r="CP35" s="104">
        <f>CO35+CN35+BZ35</f>
        <v>0.14399011759981353</v>
      </c>
      <c r="CQ35" s="104">
        <v>0</v>
      </c>
      <c r="CR35" s="55">
        <v>0</v>
      </c>
      <c r="CS35" s="104">
        <f>+CP35+CQ35-CA35-CR35</f>
        <v>0.14399011759981353</v>
      </c>
      <c r="CT35" s="104">
        <f>CW35*M</f>
        <v>0.15372545740081009</v>
      </c>
      <c r="CU35" s="104">
        <f>+CT35+CU34</f>
        <v>87077.861925281002</v>
      </c>
      <c r="CV35" s="104">
        <v>0</v>
      </c>
      <c r="CW35" s="117">
        <f>CS35+CS35*STCLAIRCHIP-CV35</f>
        <v>0.14570359999925131</v>
      </c>
      <c r="CX35" s="118">
        <f>CW35+CX34</f>
        <v>586782.3122235043</v>
      </c>
      <c r="CY35" s="104"/>
      <c r="CZ35" s="104"/>
      <c r="DA35" s="120"/>
      <c r="DB35" s="118"/>
    </row>
    <row r="36" spans="1:106" ht="13.5" customHeight="1">
      <c r="A36" s="96">
        <v>36796</v>
      </c>
      <c r="B36" s="281"/>
      <c r="C36" s="281"/>
      <c r="D36" s="281"/>
      <c r="E36" s="281"/>
      <c r="F36" s="281"/>
      <c r="G36" s="281"/>
      <c r="H36" s="281"/>
      <c r="I36" s="282"/>
      <c r="J36" s="282"/>
      <c r="K36" s="284"/>
      <c r="L36" s="260"/>
      <c r="M36" s="203"/>
      <c r="N36" s="199"/>
      <c r="O36" s="202"/>
      <c r="P36" s="122"/>
      <c r="Q36" s="202"/>
      <c r="R36" s="275"/>
      <c r="S36" s="202"/>
      <c r="T36" s="260"/>
      <c r="U36" s="202"/>
      <c r="V36" s="278"/>
      <c r="W36" s="202"/>
      <c r="X36" s="122"/>
      <c r="Y36" s="202"/>
      <c r="Z36" s="226"/>
      <c r="AA36" s="202"/>
      <c r="AB36" s="199"/>
      <c r="AC36" s="202"/>
      <c r="AD36" s="122"/>
      <c r="AE36" s="202"/>
      <c r="AF36" s="226">
        <v>5583</v>
      </c>
      <c r="AG36" s="217">
        <f t="shared" si="0"/>
        <v>-192.73520940000071</v>
      </c>
      <c r="AH36" s="199">
        <v>0</v>
      </c>
      <c r="AI36" s="202">
        <f t="shared" si="1"/>
        <v>0</v>
      </c>
      <c r="AJ36" s="122">
        <v>0</v>
      </c>
      <c r="AK36" s="202">
        <f t="shared" si="2"/>
        <v>0</v>
      </c>
      <c r="AL36" s="226">
        <v>5179</v>
      </c>
      <c r="AM36" s="217">
        <f t="shared" si="3"/>
        <v>-178.78840219999984</v>
      </c>
      <c r="AN36" s="198">
        <v>0</v>
      </c>
      <c r="AO36" s="202">
        <f t="shared" si="4"/>
        <v>0</v>
      </c>
      <c r="AP36" s="197">
        <v>0</v>
      </c>
      <c r="AQ36" s="202">
        <f t="shared" si="5"/>
        <v>0</v>
      </c>
      <c r="AR36" s="242">
        <v>0</v>
      </c>
      <c r="AS36" s="202">
        <f t="shared" si="6"/>
        <v>0</v>
      </c>
      <c r="AT36" s="205">
        <v>15536</v>
      </c>
      <c r="AU36" s="202">
        <f t="shared" si="7"/>
        <v>-536.33068480000111</v>
      </c>
      <c r="AV36" s="115">
        <v>0</v>
      </c>
      <c r="AW36" s="202">
        <f t="shared" si="8"/>
        <v>0</v>
      </c>
      <c r="AX36" s="197">
        <v>0</v>
      </c>
      <c r="AY36" s="217">
        <f t="shared" si="9"/>
        <v>0</v>
      </c>
      <c r="AZ36" s="198">
        <v>0</v>
      </c>
      <c r="BA36" s="202">
        <f t="shared" si="10"/>
        <v>0</v>
      </c>
      <c r="BB36" s="247">
        <v>0</v>
      </c>
      <c r="BC36" s="202">
        <f t="shared" si="11"/>
        <v>0</v>
      </c>
      <c r="BD36" s="103">
        <v>0</v>
      </c>
      <c r="BE36" s="202">
        <f t="shared" si="12"/>
        <v>0</v>
      </c>
      <c r="BF36" s="107">
        <v>0</v>
      </c>
      <c r="BG36" s="105">
        <f t="shared" si="13"/>
        <v>0</v>
      </c>
      <c r="BH36" s="107"/>
      <c r="BI36" s="107"/>
      <c r="BJ36" s="107">
        <v>0</v>
      </c>
      <c r="BK36" s="107"/>
      <c r="BL36" s="107">
        <v>0</v>
      </c>
      <c r="BM36" s="139">
        <v>0</v>
      </c>
      <c r="BN36" s="156">
        <f t="shared" si="14"/>
        <v>0</v>
      </c>
      <c r="BO36" s="104">
        <v>0</v>
      </c>
      <c r="BP36" s="104">
        <v>0</v>
      </c>
      <c r="BQ36" s="108">
        <f>SUM($AF36:$AG36)+SUM($AL36:$AM36)+SUM($AT36:$AU36)+Z36+AA36+L36+M36+T36+U36</f>
        <v>25390.145703599999</v>
      </c>
      <c r="BR36" s="109">
        <v>0</v>
      </c>
      <c r="BS36" s="109">
        <v>0</v>
      </c>
      <c r="BT36" s="109"/>
      <c r="BU36" s="109">
        <v>-25390</v>
      </c>
      <c r="BV36" s="109">
        <v>0</v>
      </c>
      <c r="BW36" s="110">
        <f>(BQ36+BR36+BS36+BU36+BV36)*M</f>
        <v>0.15372545740081009</v>
      </c>
      <c r="BX36" s="111">
        <f t="shared" si="17"/>
        <v>-1.8078198864212303E-3</v>
      </c>
      <c r="BY36" s="111">
        <f>BW36+BX36</f>
        <v>0.15191763751438886</v>
      </c>
      <c r="BZ36" s="104">
        <f t="shared" si="19"/>
        <v>0.14399011759981353</v>
      </c>
      <c r="CA36" s="104">
        <v>0</v>
      </c>
      <c r="CB36" s="112">
        <v>0</v>
      </c>
      <c r="CC36" s="113">
        <v>0</v>
      </c>
      <c r="CD36" s="113">
        <v>0</v>
      </c>
      <c r="CE36" s="113">
        <f>SUM(CB36+CC36+CD36)</f>
        <v>0</v>
      </c>
      <c r="CF36" s="114">
        <f t="shared" si="21"/>
        <v>0</v>
      </c>
      <c r="CG36" s="114"/>
      <c r="CH36" s="115">
        <f>((CF36)/(1+DAWNKIRK))-(CF36)</f>
        <v>0</v>
      </c>
      <c r="CI36" s="106">
        <f>ROUND(CF36+CH36,1)</f>
        <v>0</v>
      </c>
      <c r="CJ36" s="115">
        <f t="shared" si="24"/>
        <v>0</v>
      </c>
      <c r="CK36" s="115">
        <f>CI36+CJ36</f>
        <v>0</v>
      </c>
      <c r="CN36" s="116">
        <f>CK36/M</f>
        <v>0</v>
      </c>
      <c r="CO36" s="104">
        <v>0</v>
      </c>
      <c r="CP36" s="104">
        <f>CO36+CN36+BZ36</f>
        <v>0.14399011759981353</v>
      </c>
      <c r="CQ36" s="104">
        <v>0</v>
      </c>
      <c r="CR36" s="55">
        <v>0</v>
      </c>
      <c r="CS36" s="104">
        <f>+CP36+CQ36-CA36-CR36</f>
        <v>0.14399011759981353</v>
      </c>
      <c r="CT36" s="104">
        <f>CW36*M</f>
        <v>0.15372545740081009</v>
      </c>
      <c r="CU36" s="104">
        <f>+CT36+CU35</f>
        <v>87078.015650738409</v>
      </c>
      <c r="CV36" s="104">
        <v>0</v>
      </c>
      <c r="CW36" s="117">
        <f>CS36+CS36*STCLAIRCHIP-CV36</f>
        <v>0.14570359999925131</v>
      </c>
      <c r="CX36" s="118">
        <f>CW36+CX35</f>
        <v>586782.45792710432</v>
      </c>
      <c r="CY36" s="104"/>
      <c r="CZ36" s="104"/>
      <c r="DA36" s="120"/>
      <c r="DB36" s="118"/>
    </row>
    <row r="37" spans="1:106" ht="13.5" customHeight="1">
      <c r="A37" s="96">
        <v>36797</v>
      </c>
      <c r="B37" s="281"/>
      <c r="C37" s="281"/>
      <c r="D37" s="281"/>
      <c r="E37" s="281"/>
      <c r="F37" s="281"/>
      <c r="G37" s="281"/>
      <c r="H37" s="281"/>
      <c r="I37" s="282"/>
      <c r="J37" s="282"/>
      <c r="K37" s="284"/>
      <c r="L37" s="260"/>
      <c r="M37" s="203"/>
      <c r="N37" s="199"/>
      <c r="O37" s="202"/>
      <c r="P37" s="122"/>
      <c r="Q37" s="202"/>
      <c r="R37" s="275"/>
      <c r="S37" s="202"/>
      <c r="T37" s="260"/>
      <c r="U37" s="202"/>
      <c r="V37" s="278"/>
      <c r="W37" s="202"/>
      <c r="X37" s="122"/>
      <c r="Y37" s="202"/>
      <c r="Z37" s="226"/>
      <c r="AA37" s="202"/>
      <c r="AB37" s="199"/>
      <c r="AC37" s="202"/>
      <c r="AD37" s="122"/>
      <c r="AE37" s="202"/>
      <c r="AF37" s="226">
        <v>5583</v>
      </c>
      <c r="AG37" s="217">
        <f t="shared" si="0"/>
        <v>-192.73520940000071</v>
      </c>
      <c r="AH37" s="199">
        <v>0</v>
      </c>
      <c r="AI37" s="202">
        <f t="shared" si="1"/>
        <v>0</v>
      </c>
      <c r="AJ37" s="122">
        <v>0</v>
      </c>
      <c r="AK37" s="202">
        <f t="shared" si="2"/>
        <v>0</v>
      </c>
      <c r="AL37" s="226">
        <v>5179</v>
      </c>
      <c r="AM37" s="217">
        <f t="shared" si="3"/>
        <v>-178.78840219999984</v>
      </c>
      <c r="AN37" s="198">
        <v>0</v>
      </c>
      <c r="AO37" s="202">
        <f t="shared" si="4"/>
        <v>0</v>
      </c>
      <c r="AP37" s="197">
        <v>0</v>
      </c>
      <c r="AQ37" s="202">
        <f t="shared" si="5"/>
        <v>0</v>
      </c>
      <c r="AR37" s="242">
        <v>0</v>
      </c>
      <c r="AS37" s="202">
        <f t="shared" si="6"/>
        <v>0</v>
      </c>
      <c r="AT37" s="205">
        <v>15536</v>
      </c>
      <c r="AU37" s="202">
        <f t="shared" si="7"/>
        <v>-536.33068480000111</v>
      </c>
      <c r="AV37" s="115">
        <v>0</v>
      </c>
      <c r="AW37" s="202">
        <f t="shared" si="8"/>
        <v>0</v>
      </c>
      <c r="AX37" s="197">
        <v>0</v>
      </c>
      <c r="AY37" s="217">
        <f t="shared" si="9"/>
        <v>0</v>
      </c>
      <c r="AZ37" s="198">
        <v>0</v>
      </c>
      <c r="BA37" s="202">
        <f t="shared" si="10"/>
        <v>0</v>
      </c>
      <c r="BB37" s="247">
        <v>0</v>
      </c>
      <c r="BC37" s="202">
        <f t="shared" si="11"/>
        <v>0</v>
      </c>
      <c r="BD37" s="103">
        <v>0</v>
      </c>
      <c r="BE37" s="202">
        <f t="shared" si="12"/>
        <v>0</v>
      </c>
      <c r="BF37" s="107">
        <v>0</v>
      </c>
      <c r="BG37" s="105">
        <f t="shared" si="13"/>
        <v>0</v>
      </c>
      <c r="BH37" s="107"/>
      <c r="BI37" s="107"/>
      <c r="BJ37" s="107">
        <v>0</v>
      </c>
      <c r="BK37" s="107"/>
      <c r="BL37" s="107">
        <v>0</v>
      </c>
      <c r="BM37" s="139">
        <v>0</v>
      </c>
      <c r="BN37" s="156">
        <f t="shared" si="14"/>
        <v>0</v>
      </c>
      <c r="BO37" s="104">
        <v>0</v>
      </c>
      <c r="BP37" s="104">
        <v>0</v>
      </c>
      <c r="BQ37" s="108">
        <f>SUM($AF37:$AG37)+SUM($AL37:$AM37)+SUM($AT37:$AU37)+Z37+AA37+L37+M37+T37+U37</f>
        <v>25390.145703599999</v>
      </c>
      <c r="BR37" s="109">
        <v>0</v>
      </c>
      <c r="BS37" s="109">
        <v>0</v>
      </c>
      <c r="BT37" s="109"/>
      <c r="BU37" s="109">
        <v>-25390</v>
      </c>
      <c r="BV37" s="109">
        <v>0</v>
      </c>
      <c r="BW37" s="110">
        <f>(BQ37+BR37+BS37+BU37+BV37)*M</f>
        <v>0.15372545740081009</v>
      </c>
      <c r="BX37" s="111">
        <f t="shared" si="17"/>
        <v>-1.8078198864212303E-3</v>
      </c>
      <c r="BY37" s="111">
        <f>BW37+BX37</f>
        <v>0.15191763751438886</v>
      </c>
      <c r="BZ37" s="104">
        <f t="shared" si="19"/>
        <v>0.14399011759981353</v>
      </c>
      <c r="CA37" s="104">
        <v>0</v>
      </c>
      <c r="CB37" s="112">
        <v>0</v>
      </c>
      <c r="CC37" s="113">
        <v>0</v>
      </c>
      <c r="CD37" s="113">
        <v>0</v>
      </c>
      <c r="CE37" s="113">
        <f>SUM(CB37+CC37+CD37)</f>
        <v>0</v>
      </c>
      <c r="CF37" s="114">
        <f t="shared" si="21"/>
        <v>0</v>
      </c>
      <c r="CG37" s="114"/>
      <c r="CH37" s="115">
        <f>((CF37)/(1+DAWNKIRK))-(CF37)</f>
        <v>0</v>
      </c>
      <c r="CI37" s="106">
        <f>ROUND(CF37+CH37,1)</f>
        <v>0</v>
      </c>
      <c r="CJ37" s="115">
        <f t="shared" si="24"/>
        <v>0</v>
      </c>
      <c r="CK37" s="115">
        <f>CI37+CJ37</f>
        <v>0</v>
      </c>
      <c r="CN37" s="116">
        <f>CK37/M</f>
        <v>0</v>
      </c>
      <c r="CO37" s="104">
        <v>0</v>
      </c>
      <c r="CP37" s="104">
        <f>CO37+CN37+BZ37</f>
        <v>0.14399011759981353</v>
      </c>
      <c r="CQ37" s="104">
        <v>0</v>
      </c>
      <c r="CR37" s="55">
        <v>0</v>
      </c>
      <c r="CS37" s="104">
        <f>+CP37+CQ37-CA37-CR37</f>
        <v>0.14399011759981353</v>
      </c>
      <c r="CT37" s="104">
        <f>CW37*M</f>
        <v>0.15372545740081009</v>
      </c>
      <c r="CU37" s="104">
        <f>+CT37+CU36</f>
        <v>87078.169376195816</v>
      </c>
      <c r="CV37" s="104">
        <v>0</v>
      </c>
      <c r="CW37" s="117">
        <f>CS37+CS37*STCLAIRCHIP-CV37</f>
        <v>0.14570359999925131</v>
      </c>
      <c r="CX37" s="118">
        <f>CW37+CX36</f>
        <v>586782.60363070434</v>
      </c>
      <c r="CY37" s="104"/>
      <c r="CZ37" s="104"/>
      <c r="DA37" s="120"/>
      <c r="DB37" s="118"/>
    </row>
    <row r="38" spans="1:106" ht="13.5" customHeight="1">
      <c r="A38" s="96">
        <v>36798</v>
      </c>
      <c r="B38" s="281"/>
      <c r="C38" s="281"/>
      <c r="D38" s="281"/>
      <c r="E38" s="281"/>
      <c r="F38" s="281"/>
      <c r="G38" s="281"/>
      <c r="H38" s="281"/>
      <c r="I38" s="282"/>
      <c r="J38" s="282"/>
      <c r="K38" s="284"/>
      <c r="L38" s="260"/>
      <c r="M38" s="203"/>
      <c r="N38" s="199"/>
      <c r="O38" s="202"/>
      <c r="P38" s="122"/>
      <c r="Q38" s="202"/>
      <c r="R38" s="275"/>
      <c r="S38" s="202"/>
      <c r="T38" s="260"/>
      <c r="U38" s="202"/>
      <c r="V38" s="278"/>
      <c r="W38" s="202"/>
      <c r="X38" s="122"/>
      <c r="Y38" s="202"/>
      <c r="Z38" s="226"/>
      <c r="AA38" s="202"/>
      <c r="AB38" s="199"/>
      <c r="AC38" s="202"/>
      <c r="AD38" s="122"/>
      <c r="AE38" s="202"/>
      <c r="AF38" s="226">
        <v>5583</v>
      </c>
      <c r="AG38" s="217">
        <f t="shared" si="0"/>
        <v>-192.73520940000071</v>
      </c>
      <c r="AH38" s="199">
        <v>0</v>
      </c>
      <c r="AI38" s="202">
        <f t="shared" si="1"/>
        <v>0</v>
      </c>
      <c r="AJ38" s="122">
        <v>0</v>
      </c>
      <c r="AK38" s="202">
        <f t="shared" si="2"/>
        <v>0</v>
      </c>
      <c r="AL38" s="226">
        <v>5179</v>
      </c>
      <c r="AM38" s="217">
        <f t="shared" si="3"/>
        <v>-178.78840219999984</v>
      </c>
      <c r="AN38" s="198">
        <v>0</v>
      </c>
      <c r="AO38" s="202">
        <f t="shared" si="4"/>
        <v>0</v>
      </c>
      <c r="AP38" s="197">
        <v>0</v>
      </c>
      <c r="AQ38" s="202">
        <f t="shared" si="5"/>
        <v>0</v>
      </c>
      <c r="AR38" s="242">
        <v>0</v>
      </c>
      <c r="AS38" s="202">
        <f t="shared" si="6"/>
        <v>0</v>
      </c>
      <c r="AT38" s="205">
        <v>15536</v>
      </c>
      <c r="AU38" s="202">
        <f t="shared" si="7"/>
        <v>-536.33068480000111</v>
      </c>
      <c r="AV38" s="115">
        <v>0</v>
      </c>
      <c r="AW38" s="202">
        <f t="shared" si="8"/>
        <v>0</v>
      </c>
      <c r="AX38" s="197">
        <v>0</v>
      </c>
      <c r="AY38" s="217">
        <f t="shared" si="9"/>
        <v>0</v>
      </c>
      <c r="AZ38" s="198">
        <v>0</v>
      </c>
      <c r="BA38" s="202">
        <f t="shared" si="10"/>
        <v>0</v>
      </c>
      <c r="BB38" s="247">
        <v>0</v>
      </c>
      <c r="BC38" s="202">
        <f t="shared" si="11"/>
        <v>0</v>
      </c>
      <c r="BD38" s="103">
        <v>0</v>
      </c>
      <c r="BE38" s="202">
        <f t="shared" si="12"/>
        <v>0</v>
      </c>
      <c r="BF38" s="107">
        <v>0</v>
      </c>
      <c r="BG38" s="105">
        <f t="shared" si="13"/>
        <v>0</v>
      </c>
      <c r="BH38" s="107"/>
      <c r="BI38" s="107"/>
      <c r="BJ38" s="107">
        <v>0</v>
      </c>
      <c r="BK38" s="107"/>
      <c r="BL38" s="107">
        <v>0</v>
      </c>
      <c r="BM38" s="139">
        <v>0</v>
      </c>
      <c r="BN38" s="156">
        <f t="shared" si="14"/>
        <v>0</v>
      </c>
      <c r="BO38" s="104">
        <v>0</v>
      </c>
      <c r="BP38" s="104">
        <v>0</v>
      </c>
      <c r="BQ38" s="108">
        <f>SUM($AF38:$AG38)+SUM($AL38:$AM38)+SUM($AT38:$AU38)+Z38+AA38+L38+M38+T38+U38</f>
        <v>25390.145703599999</v>
      </c>
      <c r="BR38" s="109">
        <v>0</v>
      </c>
      <c r="BS38" s="109">
        <v>0</v>
      </c>
      <c r="BT38" s="109"/>
      <c r="BU38" s="109">
        <v>-25390</v>
      </c>
      <c r="BV38" s="109">
        <v>0</v>
      </c>
      <c r="BW38" s="110">
        <f>(BQ38+BR38+BS38+BU38+BV38)*M</f>
        <v>0.15372545740081009</v>
      </c>
      <c r="BX38" s="111">
        <f t="shared" si="17"/>
        <v>-1.8078198864212303E-3</v>
      </c>
      <c r="BY38" s="111">
        <f>BW38+BX38</f>
        <v>0.15191763751438886</v>
      </c>
      <c r="BZ38" s="104">
        <f t="shared" si="19"/>
        <v>0.14399011759981353</v>
      </c>
      <c r="CA38" s="104">
        <v>0</v>
      </c>
      <c r="CB38" s="112">
        <v>0</v>
      </c>
      <c r="CC38" s="113">
        <v>0</v>
      </c>
      <c r="CD38" s="113">
        <v>0</v>
      </c>
      <c r="CE38" s="113">
        <f>SUM(CB38+CC38+CD38)</f>
        <v>0</v>
      </c>
      <c r="CF38" s="114">
        <f t="shared" si="21"/>
        <v>0</v>
      </c>
      <c r="CG38" s="114"/>
      <c r="CH38" s="115">
        <f>((CF38)/(1+DAWNKIRK))-(CF38)</f>
        <v>0</v>
      </c>
      <c r="CI38" s="106">
        <f>ROUND(CF38+CH38,1)</f>
        <v>0</v>
      </c>
      <c r="CJ38" s="115">
        <f t="shared" si="24"/>
        <v>0</v>
      </c>
      <c r="CK38" s="115">
        <f>CI38+CJ38</f>
        <v>0</v>
      </c>
      <c r="CN38" s="116">
        <f>CK38/M</f>
        <v>0</v>
      </c>
      <c r="CO38" s="104">
        <v>0</v>
      </c>
      <c r="CP38" s="104">
        <f>CO38+CN38+BZ38</f>
        <v>0.14399011759981353</v>
      </c>
      <c r="CQ38" s="104">
        <v>0</v>
      </c>
      <c r="CR38" s="55">
        <v>0</v>
      </c>
      <c r="CS38" s="104">
        <f>+CP38+CQ38-CA38-CR38</f>
        <v>0.14399011759981353</v>
      </c>
      <c r="CT38" s="104">
        <f>CW38*M</f>
        <v>0.15372545740081009</v>
      </c>
      <c r="CU38" s="104">
        <f>+CT38+CU37</f>
        <v>87078.323101653223</v>
      </c>
      <c r="CV38" s="104">
        <v>0</v>
      </c>
      <c r="CW38" s="117">
        <f>CS38+CS38*STCLAIRCHIP-CV38</f>
        <v>0.14570359999925131</v>
      </c>
      <c r="CX38" s="118">
        <f>CW38+CX37</f>
        <v>586782.74933430436</v>
      </c>
      <c r="CY38" s="104"/>
      <c r="CZ38" s="104"/>
      <c r="DA38" s="120"/>
      <c r="DB38" s="118"/>
    </row>
    <row r="39" spans="1:106" ht="13.5" customHeight="1">
      <c r="A39" s="96">
        <v>36799</v>
      </c>
      <c r="B39" s="281"/>
      <c r="C39" s="281"/>
      <c r="D39" s="281"/>
      <c r="E39" s="281"/>
      <c r="F39" s="281"/>
      <c r="G39" s="281"/>
      <c r="H39" s="281"/>
      <c r="I39" s="282"/>
      <c r="J39" s="282"/>
      <c r="K39" s="284"/>
      <c r="L39" s="260"/>
      <c r="M39" s="203"/>
      <c r="N39" s="199"/>
      <c r="O39" s="202"/>
      <c r="P39" s="122"/>
      <c r="Q39" s="202"/>
      <c r="R39" s="275"/>
      <c r="S39" s="202"/>
      <c r="T39" s="260"/>
      <c r="U39" s="202"/>
      <c r="V39" s="278"/>
      <c r="W39" s="202"/>
      <c r="X39" s="122"/>
      <c r="Y39" s="202"/>
      <c r="Z39" s="226"/>
      <c r="AA39" s="202"/>
      <c r="AB39" s="199"/>
      <c r="AC39" s="202"/>
      <c r="AD39" s="122"/>
      <c r="AE39" s="202"/>
      <c r="AF39" s="226">
        <v>5583</v>
      </c>
      <c r="AG39" s="217">
        <f t="shared" si="0"/>
        <v>-192.73520940000071</v>
      </c>
      <c r="AH39" s="199">
        <v>0</v>
      </c>
      <c r="AI39" s="202">
        <f t="shared" si="1"/>
        <v>0</v>
      </c>
      <c r="AJ39" s="122">
        <v>0</v>
      </c>
      <c r="AK39" s="202">
        <f t="shared" si="2"/>
        <v>0</v>
      </c>
      <c r="AL39" s="226">
        <v>5179</v>
      </c>
      <c r="AM39" s="217">
        <f t="shared" si="3"/>
        <v>-178.78840219999984</v>
      </c>
      <c r="AN39" s="198">
        <v>0</v>
      </c>
      <c r="AO39" s="202">
        <f t="shared" si="4"/>
        <v>0</v>
      </c>
      <c r="AP39" s="197">
        <v>0</v>
      </c>
      <c r="AQ39" s="202">
        <f t="shared" si="5"/>
        <v>0</v>
      </c>
      <c r="AR39" s="242">
        <v>0</v>
      </c>
      <c r="AS39" s="202">
        <f t="shared" si="6"/>
        <v>0</v>
      </c>
      <c r="AT39" s="205">
        <v>15536</v>
      </c>
      <c r="AU39" s="202">
        <f t="shared" si="7"/>
        <v>-536.33068480000111</v>
      </c>
      <c r="AV39" s="115">
        <v>0</v>
      </c>
      <c r="AW39" s="202">
        <f t="shared" si="8"/>
        <v>0</v>
      </c>
      <c r="AX39" s="197">
        <v>0</v>
      </c>
      <c r="AY39" s="217">
        <f t="shared" si="9"/>
        <v>0</v>
      </c>
      <c r="AZ39" s="198">
        <v>0</v>
      </c>
      <c r="BA39" s="202">
        <f t="shared" si="10"/>
        <v>0</v>
      </c>
      <c r="BB39" s="247">
        <v>0</v>
      </c>
      <c r="BC39" s="202">
        <f t="shared" si="11"/>
        <v>0</v>
      </c>
      <c r="BD39" s="103">
        <v>0</v>
      </c>
      <c r="BE39" s="202">
        <f t="shared" si="12"/>
        <v>0</v>
      </c>
      <c r="BF39" s="107">
        <v>0</v>
      </c>
      <c r="BG39" s="105">
        <f t="shared" si="13"/>
        <v>0</v>
      </c>
      <c r="BH39" s="107"/>
      <c r="BI39" s="107"/>
      <c r="BJ39" s="107">
        <v>0</v>
      </c>
      <c r="BK39" s="107"/>
      <c r="BL39" s="107">
        <v>0</v>
      </c>
      <c r="BM39" s="139">
        <v>0</v>
      </c>
      <c r="BN39" s="156">
        <f t="shared" si="14"/>
        <v>0</v>
      </c>
      <c r="BO39" s="104">
        <v>0</v>
      </c>
      <c r="BP39" s="104">
        <v>0</v>
      </c>
      <c r="BQ39" s="108">
        <f>SUM($AF39:$AG39)+SUM($AL39:$AM39)+SUM($AT39:$AU39)+Z39+AA39+L39+M39+T39+U39</f>
        <v>25390.145703599999</v>
      </c>
      <c r="BR39" s="109">
        <v>0</v>
      </c>
      <c r="BS39" s="109">
        <v>0</v>
      </c>
      <c r="BT39" s="109"/>
      <c r="BU39" s="109">
        <v>-25390</v>
      </c>
      <c r="BV39" s="109">
        <v>0</v>
      </c>
      <c r="BW39" s="110">
        <f>(BQ39+BR39+BS39+BU39+BV39)*M</f>
        <v>0.15372545740081009</v>
      </c>
      <c r="BX39" s="111">
        <f t="shared" si="17"/>
        <v>-1.8078198864212303E-3</v>
      </c>
      <c r="BY39" s="111">
        <f>BW39+BX39</f>
        <v>0.15191763751438886</v>
      </c>
      <c r="BZ39" s="104">
        <f t="shared" si="19"/>
        <v>0.14399011759981353</v>
      </c>
      <c r="CA39" s="104">
        <v>0</v>
      </c>
      <c r="CB39" s="112">
        <v>0</v>
      </c>
      <c r="CC39" s="113">
        <v>0</v>
      </c>
      <c r="CD39" s="113">
        <v>0</v>
      </c>
      <c r="CE39" s="113">
        <f>SUM(CB39+CC39+CD39)</f>
        <v>0</v>
      </c>
      <c r="CF39" s="114">
        <f t="shared" si="21"/>
        <v>0</v>
      </c>
      <c r="CG39" s="114"/>
      <c r="CH39" s="115">
        <f>((CF39)/(1+DAWNKIRK))-(CF39)</f>
        <v>0</v>
      </c>
      <c r="CI39" s="106">
        <f>ROUND(CF39+CH39,1)</f>
        <v>0</v>
      </c>
      <c r="CJ39" s="115">
        <f t="shared" si="24"/>
        <v>0</v>
      </c>
      <c r="CK39" s="115">
        <f>CI39+CJ39</f>
        <v>0</v>
      </c>
      <c r="CN39" s="116">
        <f>CK39/M</f>
        <v>0</v>
      </c>
      <c r="CO39" s="104">
        <v>0</v>
      </c>
      <c r="CP39" s="104">
        <f>CO39+CN39+BZ39</f>
        <v>0.14399011759981353</v>
      </c>
      <c r="CQ39" s="104">
        <v>0</v>
      </c>
      <c r="CR39" s="55">
        <v>0</v>
      </c>
      <c r="CS39" s="104">
        <f>+CP39+CQ39-CA39-CR39</f>
        <v>0.14399011759981353</v>
      </c>
      <c r="CT39" s="104">
        <f>CW39*M</f>
        <v>0.15372545740081009</v>
      </c>
      <c r="CU39" s="104">
        <f>+CT39+CU38</f>
        <v>87078.47682711063</v>
      </c>
      <c r="CV39" s="104">
        <v>0</v>
      </c>
      <c r="CW39" s="117">
        <f>CS39+CS39*STCLAIRCHIP-CV39</f>
        <v>0.14570359999925131</v>
      </c>
      <c r="CX39" s="118">
        <f>CW39+CX38</f>
        <v>586782.89503790438</v>
      </c>
      <c r="CY39" s="104"/>
      <c r="CZ39" s="104"/>
      <c r="DA39" s="120"/>
      <c r="DB39" s="118"/>
    </row>
    <row r="40" spans="1:106">
      <c r="A40" s="1" t="s">
        <v>105</v>
      </c>
      <c r="B40" s="2"/>
      <c r="C40" s="2"/>
      <c r="D40" s="2"/>
      <c r="E40" s="2"/>
      <c r="F40" s="2"/>
      <c r="G40" s="104"/>
      <c r="H40" s="104"/>
      <c r="I40" s="122"/>
      <c r="J40" s="55"/>
      <c r="K40" s="167" t="s">
        <v>168</v>
      </c>
      <c r="L40" s="55" t="s">
        <v>0</v>
      </c>
      <c r="M40" s="167"/>
      <c r="N40" s="167"/>
      <c r="O40" s="167"/>
      <c r="P40" s="167"/>
      <c r="Q40" s="167"/>
      <c r="R40" s="228"/>
      <c r="S40" s="167"/>
      <c r="T40" s="266"/>
      <c r="U40" s="167" t="s">
        <v>0</v>
      </c>
      <c r="V40" s="167" t="s">
        <v>0</v>
      </c>
      <c r="W40" s="256"/>
      <c r="X40" s="167"/>
      <c r="Y40" s="167"/>
      <c r="Z40" s="228" t="s">
        <v>0</v>
      </c>
      <c r="AA40" s="167"/>
      <c r="AB40" s="167"/>
      <c r="AC40" s="167"/>
      <c r="AD40" s="167"/>
      <c r="AE40" s="167"/>
      <c r="AF40" s="228" t="s">
        <v>0</v>
      </c>
      <c r="AG40" s="55"/>
      <c r="AH40" s="55"/>
      <c r="AI40" s="55" t="s">
        <v>0</v>
      </c>
      <c r="AJ40" s="55"/>
      <c r="AK40" s="55"/>
      <c r="AL40" s="227"/>
      <c r="AM40" s="55"/>
      <c r="AN40" s="55"/>
      <c r="AO40" s="55" t="s">
        <v>0</v>
      </c>
      <c r="AP40" s="55"/>
      <c r="AQ40" s="55"/>
      <c r="AR40" s="227"/>
      <c r="AS40" s="55"/>
      <c r="AT40" s="55"/>
      <c r="AU40" s="55"/>
      <c r="AV40" s="55" t="s">
        <v>0</v>
      </c>
      <c r="AW40" s="55"/>
      <c r="AX40" s="55"/>
      <c r="AY40" s="55"/>
      <c r="AZ40" s="55"/>
      <c r="BA40" s="55"/>
      <c r="BB40" s="227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157"/>
      <c r="BO40" s="104"/>
      <c r="BP40" s="104"/>
      <c r="BQ40" s="104"/>
      <c r="BR40" s="104"/>
      <c r="BS40" s="104"/>
      <c r="BT40" s="104"/>
      <c r="BU40" s="104"/>
      <c r="BV40" s="104"/>
      <c r="BW40" s="114"/>
      <c r="BX40" s="114"/>
      <c r="BY40" s="114"/>
      <c r="BZ40" s="104"/>
      <c r="CA40" s="104"/>
      <c r="CB40" s="55"/>
      <c r="CC40" s="55"/>
      <c r="CD40" s="55"/>
      <c r="CE40" s="55"/>
      <c r="CF40" s="114"/>
      <c r="CG40" s="114"/>
      <c r="CH40" s="114"/>
      <c r="CI40" s="114"/>
      <c r="CJ40" s="114"/>
      <c r="CK40" s="114"/>
      <c r="CL40" s="114"/>
      <c r="CM40" s="114"/>
      <c r="CN40" s="114"/>
      <c r="CO40" s="104"/>
      <c r="CP40" s="104"/>
      <c r="CQ40" s="104"/>
      <c r="CR40" s="55"/>
      <c r="CS40" s="104"/>
      <c r="CT40" s="104"/>
      <c r="CU40" s="104"/>
    </row>
    <row r="41" spans="1:106">
      <c r="A41" s="1"/>
      <c r="B41" s="2"/>
      <c r="C41" s="2"/>
      <c r="D41" s="2"/>
      <c r="E41" s="2"/>
      <c r="F41" s="2"/>
      <c r="G41" s="104"/>
      <c r="H41" s="104"/>
      <c r="I41" s="122"/>
      <c r="J41" s="55"/>
      <c r="K41" s="167"/>
      <c r="L41" s="55"/>
      <c r="M41" s="167"/>
      <c r="N41" s="167"/>
      <c r="O41" s="167"/>
      <c r="P41" s="167"/>
      <c r="Q41" s="167"/>
      <c r="R41" s="228"/>
      <c r="S41" s="167"/>
      <c r="T41" s="266"/>
      <c r="U41" s="167"/>
      <c r="V41" s="167"/>
      <c r="W41" s="256"/>
      <c r="X41" s="279"/>
      <c r="Y41" s="167"/>
      <c r="Z41" s="228"/>
      <c r="AA41" s="167"/>
      <c r="AB41" s="167"/>
      <c r="AC41" s="167"/>
      <c r="AD41" s="167"/>
      <c r="AE41" s="167"/>
      <c r="AF41" s="228"/>
      <c r="AG41" s="55"/>
      <c r="AH41" s="55"/>
      <c r="AI41" s="55" t="s">
        <v>0</v>
      </c>
      <c r="AJ41" s="55"/>
      <c r="AK41" s="55"/>
      <c r="AL41" s="227"/>
      <c r="AM41" s="55"/>
      <c r="AN41" s="55"/>
      <c r="AO41" s="55"/>
      <c r="AP41" s="55"/>
      <c r="AQ41" s="55"/>
      <c r="AR41" s="227"/>
      <c r="AS41" s="55"/>
      <c r="AT41" s="55"/>
      <c r="AU41" s="55"/>
      <c r="AV41" s="55"/>
      <c r="AW41" s="55"/>
      <c r="AX41" s="55"/>
      <c r="AY41" s="55"/>
      <c r="AZ41" s="55"/>
      <c r="BA41" s="55"/>
      <c r="BB41" s="227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157"/>
      <c r="BO41" s="104"/>
      <c r="BP41" s="104"/>
      <c r="BQ41" s="104"/>
      <c r="BR41" s="104"/>
      <c r="BS41" s="104"/>
      <c r="BT41" s="104"/>
      <c r="BU41" s="104"/>
      <c r="BV41" s="104"/>
      <c r="BW41" s="114"/>
      <c r="BX41" s="114"/>
      <c r="BY41" s="114"/>
      <c r="BZ41" s="104"/>
      <c r="CA41" s="104"/>
      <c r="CB41" s="55"/>
      <c r="CC41" s="55"/>
      <c r="CD41" s="55"/>
      <c r="CE41" s="55"/>
      <c r="CF41" s="114"/>
      <c r="CG41" s="114"/>
      <c r="CH41" s="114"/>
      <c r="CI41" s="114"/>
      <c r="CJ41" s="114"/>
      <c r="CK41" s="114"/>
      <c r="CL41" s="114"/>
      <c r="CM41" s="114"/>
      <c r="CN41" s="114"/>
      <c r="CO41" s="104"/>
      <c r="CP41" s="104"/>
      <c r="CQ41" s="104"/>
      <c r="CR41" s="55"/>
      <c r="CS41" s="104"/>
      <c r="CT41" s="104"/>
      <c r="CU41" s="104"/>
    </row>
    <row r="42" spans="1:106" ht="12" customHeight="1">
      <c r="A42" s="1"/>
      <c r="B42" s="2"/>
      <c r="C42" s="2"/>
      <c r="D42" s="2"/>
      <c r="E42" s="2"/>
      <c r="F42" s="2"/>
      <c r="G42" s="104"/>
      <c r="H42" s="104"/>
      <c r="I42" s="122"/>
      <c r="J42" s="55"/>
      <c r="K42" s="167"/>
      <c r="L42" s="55" t="s">
        <v>0</v>
      </c>
      <c r="M42" s="167"/>
      <c r="N42" s="167"/>
      <c r="O42" s="167"/>
      <c r="P42" s="167"/>
      <c r="Q42" s="167"/>
      <c r="R42" s="228"/>
      <c r="S42" s="167"/>
      <c r="T42" s="266"/>
      <c r="U42" s="167"/>
      <c r="V42" s="167"/>
      <c r="W42" s="256"/>
      <c r="X42" s="167"/>
      <c r="Y42" s="167"/>
      <c r="Z42" s="228"/>
      <c r="AA42" s="167"/>
      <c r="AB42" s="167"/>
      <c r="AC42" s="167"/>
      <c r="AD42" s="167"/>
      <c r="AE42" s="167"/>
      <c r="AF42" s="228"/>
      <c r="AG42" s="55"/>
      <c r="AH42" s="55"/>
      <c r="AI42" s="55" t="s">
        <v>0</v>
      </c>
      <c r="AJ42" s="55"/>
      <c r="AK42" s="55"/>
      <c r="AL42" s="227"/>
      <c r="AM42" s="55"/>
      <c r="AN42" s="55"/>
      <c r="AO42" s="55"/>
      <c r="AP42" s="55"/>
      <c r="AQ42" s="55"/>
      <c r="AR42" s="227"/>
      <c r="AS42" s="55"/>
      <c r="AT42" s="55"/>
      <c r="AU42" s="55"/>
      <c r="AV42" s="55"/>
      <c r="AW42" s="55"/>
      <c r="AX42" s="55"/>
      <c r="AY42" s="55"/>
      <c r="AZ42" s="55"/>
      <c r="BA42" s="55"/>
      <c r="BB42" s="227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157"/>
      <c r="BO42" s="104"/>
      <c r="BP42" s="104"/>
      <c r="BQ42" s="104"/>
      <c r="BR42" s="104"/>
      <c r="BS42" s="104"/>
      <c r="BT42" s="104"/>
      <c r="BU42" s="104"/>
      <c r="BV42" s="104"/>
      <c r="BW42" s="114"/>
      <c r="BX42" s="114"/>
      <c r="BY42" s="114"/>
      <c r="BZ42" s="104"/>
      <c r="CA42" s="104"/>
      <c r="CB42" s="55"/>
      <c r="CC42" s="55"/>
      <c r="CD42" s="55"/>
      <c r="CE42" s="55"/>
      <c r="CF42" s="114"/>
      <c r="CG42" s="114"/>
      <c r="CH42" s="114"/>
      <c r="CI42" s="114"/>
      <c r="CJ42" s="114"/>
      <c r="CK42" s="114"/>
      <c r="CL42" s="114"/>
      <c r="CM42" s="114"/>
      <c r="CN42" s="114"/>
      <c r="CO42" s="104"/>
      <c r="CP42" s="104"/>
      <c r="CQ42" s="104"/>
      <c r="CR42" s="55"/>
      <c r="CS42" s="104"/>
      <c r="CT42" s="104"/>
      <c r="CU42" s="104"/>
    </row>
    <row r="43" spans="1:106">
      <c r="A43" s="136" t="s">
        <v>106</v>
      </c>
      <c r="J43" s="15">
        <v>4.6100000000000002E-2</v>
      </c>
      <c r="K43" s="15">
        <v>4.6100000000000002E-2</v>
      </c>
      <c r="L43" s="15">
        <f>J43-K43</f>
        <v>0</v>
      </c>
      <c r="M43" s="15"/>
      <c r="N43" s="15"/>
      <c r="O43" s="15"/>
      <c r="P43" s="15"/>
      <c r="Q43" s="15"/>
      <c r="R43" s="250"/>
      <c r="S43" s="15"/>
      <c r="T43" s="267"/>
      <c r="U43" s="15"/>
      <c r="V43" s="15"/>
      <c r="W43" s="15"/>
      <c r="X43" s="15"/>
      <c r="Y43" s="15"/>
      <c r="Z43" s="250"/>
      <c r="AA43" s="15"/>
      <c r="AB43" s="15"/>
      <c r="AC43" s="15"/>
      <c r="AD43" s="15"/>
      <c r="AE43" s="15"/>
      <c r="AF43" s="229">
        <f t="shared" ref="AF43:AF52" si="75">J43-K43</f>
        <v>0</v>
      </c>
      <c r="AG43" s="3"/>
      <c r="AH43" s="3"/>
      <c r="AI43" s="3"/>
      <c r="AJ43" s="3"/>
      <c r="AK43" s="3"/>
      <c r="AL43" s="234"/>
      <c r="AM43" s="124"/>
      <c r="AN43" s="3"/>
      <c r="AO43" s="3"/>
      <c r="AP43" s="3"/>
      <c r="AQ43" s="55"/>
      <c r="AR43" s="227"/>
      <c r="AS43" s="55"/>
      <c r="AT43" s="55"/>
      <c r="AU43" s="55"/>
      <c r="AV43" s="55"/>
      <c r="AW43" s="55"/>
      <c r="AX43" s="55"/>
      <c r="AY43" s="55"/>
      <c r="AZ43" s="55"/>
      <c r="BA43" s="55"/>
      <c r="BB43" s="227"/>
      <c r="BC43" s="55"/>
      <c r="BD43" s="3"/>
      <c r="BE43" s="3"/>
      <c r="BF43" s="3"/>
      <c r="BG43" s="3"/>
      <c r="BH43" s="3"/>
      <c r="BI43" s="3"/>
      <c r="BJ43" s="3"/>
      <c r="BK43" s="3"/>
      <c r="BL43" s="3"/>
      <c r="BM43" s="55"/>
      <c r="BN43" s="157"/>
      <c r="BO43" s="104"/>
      <c r="BP43" s="104"/>
      <c r="BQ43" s="104"/>
      <c r="BR43" s="104"/>
      <c r="BS43" s="104"/>
      <c r="BT43" s="104"/>
      <c r="BU43" s="104"/>
      <c r="BV43" s="104"/>
      <c r="BW43" s="114"/>
      <c r="BX43" s="114"/>
      <c r="BY43" s="114"/>
      <c r="BZ43" s="104"/>
      <c r="CA43" s="104"/>
      <c r="CB43" s="55"/>
      <c r="CC43" s="55"/>
      <c r="CD43" s="55"/>
      <c r="CE43" s="55"/>
      <c r="CF43" s="114"/>
      <c r="CG43" s="114"/>
      <c r="CH43" s="114"/>
      <c r="CI43" s="114"/>
      <c r="CJ43" s="114"/>
      <c r="CK43" s="114"/>
      <c r="CL43" s="114"/>
      <c r="CM43" s="114"/>
      <c r="CN43" s="114"/>
      <c r="CO43" s="104"/>
      <c r="CP43" s="104"/>
      <c r="CQ43" s="104"/>
      <c r="CR43" s="55"/>
      <c r="CS43" s="104"/>
      <c r="CT43" s="104"/>
      <c r="CU43" s="104"/>
    </row>
    <row r="44" spans="1:106">
      <c r="A44" s="136" t="s">
        <v>107</v>
      </c>
      <c r="J44" s="15">
        <v>4.9700000000000001E-2</v>
      </c>
      <c r="K44" s="15">
        <v>4.9700000000000001E-2</v>
      </c>
      <c r="L44" s="15">
        <f t="shared" ref="L44:L58" si="76">J44-K44</f>
        <v>0</v>
      </c>
      <c r="M44" s="15"/>
      <c r="N44" s="15"/>
      <c r="O44" s="15"/>
      <c r="P44" s="15"/>
      <c r="Q44" s="15"/>
      <c r="R44" s="250"/>
      <c r="S44" s="15"/>
      <c r="T44" s="267"/>
      <c r="U44" s="15"/>
      <c r="V44" s="15"/>
      <c r="W44" s="15"/>
      <c r="X44" s="15"/>
      <c r="Y44" s="15"/>
      <c r="Z44" s="250"/>
      <c r="AA44" s="15"/>
      <c r="AB44" s="15"/>
      <c r="AC44" s="15"/>
      <c r="AD44" s="214"/>
      <c r="AE44" s="15"/>
      <c r="AF44" s="229">
        <f t="shared" si="75"/>
        <v>0</v>
      </c>
      <c r="AG44" s="137">
        <v>0</v>
      </c>
      <c r="AH44" s="137"/>
      <c r="AI44" s="137"/>
      <c r="AJ44" s="137"/>
      <c r="AK44" s="137"/>
      <c r="AL44" s="235"/>
      <c r="AM44" s="124"/>
      <c r="AN44" s="137">
        <v>0</v>
      </c>
      <c r="AO44" s="137"/>
      <c r="AP44" s="137"/>
      <c r="AQ44" s="55"/>
      <c r="AR44" s="227"/>
      <c r="AS44" s="55"/>
      <c r="AT44" s="55"/>
      <c r="AU44" s="55"/>
      <c r="AV44" s="55"/>
      <c r="AW44" s="55"/>
      <c r="AX44" s="55"/>
      <c r="AY44" s="55"/>
      <c r="AZ44" s="55"/>
      <c r="BA44" s="55"/>
      <c r="BB44" s="227"/>
      <c r="BC44" s="55"/>
      <c r="BD44" s="137">
        <v>0</v>
      </c>
      <c r="BE44" s="137">
        <v>0</v>
      </c>
      <c r="BF44" s="137">
        <v>0</v>
      </c>
      <c r="BG44" s="137">
        <v>0</v>
      </c>
      <c r="BH44" s="137">
        <v>0</v>
      </c>
      <c r="BI44" s="137">
        <v>0</v>
      </c>
      <c r="BJ44" s="137">
        <v>0</v>
      </c>
      <c r="BK44" s="137"/>
      <c r="BL44" s="137">
        <v>0</v>
      </c>
      <c r="BM44" s="55"/>
      <c r="BN44" s="157"/>
      <c r="BO44" s="104"/>
      <c r="BP44" s="104"/>
      <c r="BQ44" s="104"/>
      <c r="BR44" s="104"/>
      <c r="BS44" s="104"/>
      <c r="BT44" s="104"/>
      <c r="BU44" s="104"/>
      <c r="BV44" s="104"/>
      <c r="BW44" s="114"/>
      <c r="BX44" s="114"/>
      <c r="BY44" s="114"/>
      <c r="BZ44" s="104"/>
      <c r="CA44" s="104"/>
      <c r="CB44" s="55"/>
      <c r="CC44" s="55"/>
      <c r="CD44" s="55"/>
      <c r="CE44" s="55"/>
      <c r="CF44" s="114"/>
      <c r="CG44" s="114"/>
      <c r="CH44" s="114"/>
      <c r="CI44" s="114"/>
      <c r="CJ44" s="114"/>
      <c r="CK44" s="114"/>
      <c r="CL44" s="114"/>
      <c r="CM44" s="114"/>
      <c r="CN44" s="114"/>
      <c r="CO44" s="104"/>
      <c r="CP44" s="104"/>
      <c r="CQ44" s="104"/>
      <c r="CR44" s="55"/>
      <c r="CS44" s="104"/>
      <c r="CT44" s="104"/>
      <c r="CU44" s="104"/>
    </row>
    <row r="45" spans="1:106">
      <c r="A45" s="136" t="s">
        <v>108</v>
      </c>
      <c r="J45" s="15">
        <v>4.41E-2</v>
      </c>
      <c r="K45" s="15">
        <v>4.41E-2</v>
      </c>
      <c r="L45" s="15">
        <f t="shared" si="76"/>
        <v>0</v>
      </c>
      <c r="M45" s="15"/>
      <c r="N45" s="15"/>
      <c r="O45" s="15"/>
      <c r="P45" s="15"/>
      <c r="Q45" s="15"/>
      <c r="R45" s="250"/>
      <c r="S45" s="15"/>
      <c r="T45" s="267"/>
      <c r="U45" s="15"/>
      <c r="V45" s="15"/>
      <c r="W45" s="15"/>
      <c r="X45" s="15"/>
      <c r="Y45" s="15"/>
      <c r="Z45" s="250"/>
      <c r="AA45" s="15"/>
      <c r="AB45" s="15"/>
      <c r="AC45" s="15"/>
      <c r="AD45" s="15"/>
      <c r="AE45" s="15"/>
      <c r="AF45" s="229">
        <f t="shared" si="75"/>
        <v>0</v>
      </c>
      <c r="AG45" s="137">
        <v>0</v>
      </c>
      <c r="AH45" s="137"/>
      <c r="AI45" s="137"/>
      <c r="AJ45" s="137"/>
      <c r="AK45" s="137"/>
      <c r="AL45" s="235"/>
      <c r="AM45" s="124"/>
      <c r="AN45" s="137">
        <v>0</v>
      </c>
      <c r="AO45" s="137"/>
      <c r="AP45" s="17"/>
      <c r="AQ45" s="55"/>
      <c r="AR45" s="227"/>
      <c r="AS45" s="55"/>
      <c r="AT45" s="55"/>
      <c r="AU45" s="55"/>
      <c r="AV45" s="55"/>
      <c r="AW45" s="55"/>
      <c r="AX45" s="55"/>
      <c r="AY45" s="55"/>
      <c r="AZ45" s="55"/>
      <c r="BA45" s="55"/>
      <c r="BB45" s="227"/>
      <c r="BC45" s="55"/>
      <c r="BD45" s="137">
        <v>0</v>
      </c>
      <c r="BE45" s="137">
        <v>0</v>
      </c>
      <c r="BF45" s="137">
        <v>0</v>
      </c>
      <c r="BG45" s="137">
        <v>0</v>
      </c>
      <c r="BH45" s="137">
        <v>0</v>
      </c>
      <c r="BI45" s="137">
        <v>0</v>
      </c>
      <c r="BJ45" s="137">
        <v>0</v>
      </c>
      <c r="BK45" s="137"/>
      <c r="BL45" s="137">
        <v>0</v>
      </c>
      <c r="BM45" s="55"/>
      <c r="BN45" s="157"/>
      <c r="BO45" s="104"/>
      <c r="BP45" s="104"/>
      <c r="BQ45" s="104"/>
      <c r="BR45" s="104"/>
      <c r="BS45" s="104"/>
      <c r="BT45" s="104"/>
      <c r="BU45" s="104"/>
      <c r="BV45" s="104"/>
      <c r="BW45" s="114"/>
      <c r="BX45" s="114"/>
      <c r="BY45" s="114"/>
      <c r="BZ45" s="104"/>
      <c r="CA45" s="104"/>
      <c r="CB45" s="55"/>
      <c r="CC45" s="55"/>
      <c r="CD45" s="55"/>
      <c r="CE45" s="55"/>
      <c r="CF45" s="114"/>
      <c r="CG45" s="114"/>
      <c r="CH45" s="114"/>
      <c r="CI45" s="114"/>
      <c r="CJ45" s="114"/>
      <c r="CK45" s="114"/>
      <c r="CL45" s="114"/>
      <c r="CM45" s="114"/>
      <c r="CN45" s="114"/>
      <c r="CO45" s="104"/>
      <c r="CP45" s="104"/>
      <c r="CQ45" s="104"/>
      <c r="CR45" s="55"/>
      <c r="CS45" s="104"/>
      <c r="CT45" s="104"/>
      <c r="CU45" s="104"/>
    </row>
    <row r="46" spans="1:106">
      <c r="A46" s="136" t="s">
        <v>109</v>
      </c>
      <c r="J46" s="18">
        <v>6.1919000000000002E-3</v>
      </c>
      <c r="K46" s="164">
        <v>6.1919000000000002E-3</v>
      </c>
      <c r="L46" s="15">
        <f t="shared" si="76"/>
        <v>0</v>
      </c>
      <c r="M46" s="18"/>
      <c r="N46" s="18"/>
      <c r="O46" s="18"/>
      <c r="P46" s="18"/>
      <c r="Q46" s="18"/>
      <c r="R46" s="251"/>
      <c r="S46" s="18"/>
      <c r="T46" s="268"/>
      <c r="U46" s="18"/>
      <c r="V46" s="18"/>
      <c r="W46" s="18"/>
      <c r="X46" s="18"/>
      <c r="Y46" s="18"/>
      <c r="Z46" s="251"/>
      <c r="AA46" s="18"/>
      <c r="AB46" s="18"/>
      <c r="AC46" s="18"/>
      <c r="AD46" s="18"/>
      <c r="AE46" s="18"/>
      <c r="AF46" s="229">
        <f t="shared" si="75"/>
        <v>0</v>
      </c>
      <c r="AG46" s="137">
        <v>0</v>
      </c>
      <c r="AH46" s="137"/>
      <c r="AI46" s="137"/>
      <c r="AJ46" s="137"/>
      <c r="AK46" s="137"/>
      <c r="AL46" s="235"/>
      <c r="AM46" s="124"/>
      <c r="AN46" s="137">
        <v>0</v>
      </c>
      <c r="AO46" s="137"/>
      <c r="AP46" s="137"/>
      <c r="AQ46" s="55"/>
      <c r="AR46" s="227"/>
      <c r="AS46" s="55"/>
      <c r="AT46" s="55"/>
      <c r="AU46" s="55"/>
      <c r="AV46" s="55"/>
      <c r="AW46" s="55"/>
      <c r="AX46" s="55"/>
      <c r="AY46" s="55"/>
      <c r="AZ46" s="55"/>
      <c r="BA46" s="55"/>
      <c r="BB46" s="227"/>
      <c r="BC46" s="55"/>
      <c r="BD46" s="137">
        <v>0</v>
      </c>
      <c r="BE46" s="137">
        <v>0</v>
      </c>
      <c r="BF46" s="137">
        <v>0</v>
      </c>
      <c r="BG46" s="137">
        <v>0</v>
      </c>
      <c r="BH46" s="137">
        <v>0</v>
      </c>
      <c r="BI46" s="137">
        <v>0</v>
      </c>
      <c r="BJ46" s="137">
        <v>0</v>
      </c>
      <c r="BK46" s="137"/>
      <c r="BL46" s="137">
        <v>0</v>
      </c>
      <c r="BM46" s="55"/>
      <c r="BN46" s="157"/>
      <c r="BO46" s="104"/>
      <c r="BP46" s="104"/>
      <c r="BQ46" s="104"/>
      <c r="BR46" s="104"/>
      <c r="BS46" s="104"/>
      <c r="BT46" s="104"/>
      <c r="BU46" s="104"/>
      <c r="BV46" s="104"/>
      <c r="BW46" s="114"/>
      <c r="BX46" s="114"/>
      <c r="BY46" s="114"/>
      <c r="BZ46" s="104"/>
      <c r="CA46" s="104"/>
      <c r="CB46" s="55"/>
      <c r="CC46" s="55"/>
      <c r="CD46" s="55"/>
      <c r="CE46" s="55"/>
      <c r="CF46" s="114"/>
      <c r="CG46" s="114"/>
      <c r="CH46" s="114"/>
      <c r="CI46" s="114"/>
      <c r="CJ46" s="114"/>
      <c r="CK46" s="114"/>
      <c r="CL46" s="114"/>
      <c r="CM46" s="114"/>
      <c r="CN46" s="114"/>
      <c r="CO46" s="104"/>
      <c r="CP46" s="104"/>
      <c r="CQ46" s="104"/>
      <c r="CR46" s="55"/>
      <c r="CS46" s="104"/>
      <c r="CT46" s="104"/>
      <c r="CU46" s="104"/>
    </row>
    <row r="47" spans="1:106">
      <c r="A47" s="136" t="s">
        <v>110</v>
      </c>
      <c r="J47" s="162">
        <v>1.1900000000000001E-2</v>
      </c>
      <c r="K47" s="162">
        <v>1.1900000000000001E-2</v>
      </c>
      <c r="L47" s="15">
        <f t="shared" si="76"/>
        <v>0</v>
      </c>
      <c r="M47" s="162"/>
      <c r="N47" s="162"/>
      <c r="O47" s="162"/>
      <c r="P47" s="162"/>
      <c r="Q47" s="162"/>
      <c r="R47" s="252"/>
      <c r="S47" s="162"/>
      <c r="T47" s="269"/>
      <c r="U47" s="162"/>
      <c r="V47" s="162"/>
      <c r="W47" s="162"/>
      <c r="X47" s="162"/>
      <c r="Y47" s="162"/>
      <c r="Z47" s="252"/>
      <c r="AA47" s="162"/>
      <c r="AB47" s="162"/>
      <c r="AC47" s="162"/>
      <c r="AD47" s="162"/>
      <c r="AE47" s="162"/>
      <c r="AF47" s="229">
        <f t="shared" si="75"/>
        <v>0</v>
      </c>
      <c r="AG47" s="137">
        <v>0</v>
      </c>
      <c r="AH47" s="137"/>
      <c r="AI47" s="137"/>
      <c r="AJ47" s="17"/>
      <c r="AK47" s="137"/>
      <c r="AL47" s="235"/>
      <c r="AM47" s="124"/>
      <c r="AN47" s="137">
        <v>0</v>
      </c>
      <c r="AO47" s="137"/>
      <c r="AP47" s="137"/>
      <c r="AQ47" s="55"/>
      <c r="AR47" s="227"/>
      <c r="AS47" s="55"/>
      <c r="AT47" s="55"/>
      <c r="AU47" s="55"/>
      <c r="AV47" s="55"/>
      <c r="AW47" s="55"/>
      <c r="AX47" s="55"/>
      <c r="AY47" s="55"/>
      <c r="AZ47" s="55"/>
      <c r="BA47" s="55"/>
      <c r="BB47" s="227"/>
      <c r="BC47" s="55"/>
      <c r="BD47" s="137">
        <v>0</v>
      </c>
      <c r="BE47" s="137">
        <v>0</v>
      </c>
      <c r="BF47" s="137">
        <v>0</v>
      </c>
      <c r="BG47" s="137">
        <v>0</v>
      </c>
      <c r="BH47" s="137">
        <v>0</v>
      </c>
      <c r="BI47" s="137">
        <v>0</v>
      </c>
      <c r="BJ47" s="137">
        <v>0</v>
      </c>
      <c r="BK47" s="137"/>
      <c r="BL47" s="137">
        <v>0</v>
      </c>
      <c r="BM47" s="55"/>
      <c r="BN47" s="157"/>
      <c r="BO47" s="104"/>
      <c r="BP47" s="104"/>
      <c r="BQ47" s="104"/>
      <c r="BR47" s="104"/>
      <c r="BS47" s="104"/>
      <c r="BT47" s="104"/>
      <c r="BU47" s="104"/>
      <c r="BV47" s="104"/>
      <c r="BW47" s="114"/>
      <c r="BX47" s="114"/>
      <c r="BY47" s="114"/>
      <c r="BZ47" s="104"/>
      <c r="CA47" s="104"/>
      <c r="CB47" s="55"/>
      <c r="CC47" s="55"/>
      <c r="CD47" s="55"/>
      <c r="CE47" s="55"/>
      <c r="CF47" s="114"/>
      <c r="CG47" s="114"/>
      <c r="CH47" s="114"/>
      <c r="CI47" s="114"/>
      <c r="CJ47" s="114"/>
      <c r="CK47" s="114"/>
      <c r="CL47" s="114"/>
      <c r="CM47" s="114"/>
      <c r="CN47" s="114"/>
      <c r="CO47" s="104"/>
      <c r="CP47" s="104"/>
      <c r="CQ47" s="104"/>
      <c r="CR47" s="55"/>
      <c r="CS47" s="104"/>
      <c r="CT47" s="104"/>
      <c r="CU47" s="104"/>
    </row>
    <row r="48" spans="1:106">
      <c r="A48" s="136" t="s">
        <v>111</v>
      </c>
      <c r="J48" s="15">
        <v>0</v>
      </c>
      <c r="K48" s="15">
        <v>0</v>
      </c>
      <c r="L48" s="15">
        <f t="shared" si="76"/>
        <v>0</v>
      </c>
      <c r="M48" s="15"/>
      <c r="N48" s="15"/>
      <c r="O48" s="15"/>
      <c r="P48" s="15"/>
      <c r="Q48" s="15"/>
      <c r="R48" s="250"/>
      <c r="S48" s="15"/>
      <c r="T48" s="267"/>
      <c r="U48" s="15"/>
      <c r="V48" s="15"/>
      <c r="W48" s="15"/>
      <c r="X48" s="15"/>
      <c r="Y48" s="15"/>
      <c r="Z48" s="250"/>
      <c r="AA48" s="15"/>
      <c r="AB48" s="15"/>
      <c r="AC48" s="15"/>
      <c r="AD48" s="15"/>
      <c r="AE48" s="15"/>
      <c r="AF48" s="229">
        <f t="shared" si="75"/>
        <v>0</v>
      </c>
      <c r="AG48" s="137">
        <v>0</v>
      </c>
      <c r="AH48" s="137"/>
      <c r="AI48" s="137"/>
      <c r="AJ48" s="137"/>
      <c r="AK48" s="137"/>
      <c r="AL48" s="235"/>
      <c r="AM48" s="124"/>
      <c r="AN48" s="137">
        <v>0</v>
      </c>
      <c r="AO48" s="137"/>
      <c r="AP48" s="137"/>
      <c r="AQ48" s="55"/>
      <c r="AR48" s="227"/>
      <c r="AS48" s="55"/>
      <c r="AT48" s="55"/>
      <c r="AU48" s="55"/>
      <c r="AV48" s="103"/>
      <c r="AW48" s="55"/>
      <c r="AX48" s="55"/>
      <c r="AY48" s="55"/>
      <c r="AZ48" s="55"/>
      <c r="BA48" s="55"/>
      <c r="BB48" s="227"/>
      <c r="BC48" s="55"/>
      <c r="BD48" s="137">
        <v>0</v>
      </c>
      <c r="BE48" s="137">
        <v>0</v>
      </c>
      <c r="BF48" s="137">
        <v>0</v>
      </c>
      <c r="BG48" s="137">
        <v>0</v>
      </c>
      <c r="BH48" s="137">
        <v>0</v>
      </c>
      <c r="BI48" s="137">
        <v>0</v>
      </c>
      <c r="BJ48" s="137">
        <v>0</v>
      </c>
      <c r="BK48" s="137"/>
      <c r="BL48" s="137">
        <v>0</v>
      </c>
      <c r="BM48" s="55"/>
      <c r="BN48" s="157"/>
      <c r="BO48" s="104"/>
      <c r="BP48" s="104"/>
      <c r="BQ48" s="104"/>
      <c r="BR48" s="104"/>
      <c r="BS48" s="104"/>
      <c r="BT48" s="104"/>
      <c r="BU48" s="104"/>
      <c r="BV48" s="104"/>
      <c r="BW48" s="114"/>
      <c r="BX48" s="114"/>
      <c r="BY48" s="114"/>
      <c r="BZ48" s="104"/>
      <c r="CA48" s="104"/>
      <c r="CB48" s="55"/>
      <c r="CC48" s="55"/>
      <c r="CD48" s="55"/>
      <c r="CE48" s="55"/>
      <c r="CF48" s="114"/>
      <c r="CG48" s="114"/>
      <c r="CH48" s="114"/>
      <c r="CI48" s="114"/>
      <c r="CJ48" s="114"/>
      <c r="CK48" s="114"/>
      <c r="CL48" s="114"/>
      <c r="CM48" s="114"/>
      <c r="CN48" s="114"/>
      <c r="CO48" s="104"/>
      <c r="CP48" s="104"/>
      <c r="CQ48" s="104"/>
      <c r="CR48" s="55"/>
      <c r="CS48" s="104"/>
      <c r="CT48" s="104"/>
      <c r="CU48" s="104"/>
    </row>
    <row r="49" spans="1:99">
      <c r="A49" s="136" t="s">
        <v>112</v>
      </c>
      <c r="J49" s="15">
        <v>4.8300000000000001E-3</v>
      </c>
      <c r="K49" s="15">
        <v>4.8300000000000001E-3</v>
      </c>
      <c r="L49" s="15">
        <f t="shared" si="76"/>
        <v>0</v>
      </c>
      <c r="M49" s="15"/>
      <c r="N49" s="15"/>
      <c r="O49" s="15"/>
      <c r="P49" s="15"/>
      <c r="Q49" s="15"/>
      <c r="R49" s="250"/>
      <c r="S49" s="15"/>
      <c r="T49" s="267"/>
      <c r="U49" s="15"/>
      <c r="V49" s="15"/>
      <c r="W49" s="15"/>
      <c r="X49" s="15"/>
      <c r="Y49" s="15"/>
      <c r="Z49" s="250"/>
      <c r="AA49" s="15"/>
      <c r="AB49" s="15"/>
      <c r="AC49" s="15"/>
      <c r="AD49" s="15"/>
      <c r="AE49" s="15"/>
      <c r="AF49" s="229">
        <f t="shared" si="75"/>
        <v>0</v>
      </c>
      <c r="AG49" s="137"/>
      <c r="AH49" s="137"/>
      <c r="AI49" s="137"/>
      <c r="AJ49" s="137"/>
      <c r="AK49" s="137"/>
      <c r="AL49" s="235"/>
      <c r="AM49" s="124"/>
      <c r="AN49" s="137"/>
      <c r="AO49" s="137"/>
      <c r="AP49" s="137"/>
      <c r="AQ49" s="55"/>
      <c r="AR49" s="227"/>
      <c r="AS49" s="55"/>
      <c r="AT49" s="55"/>
      <c r="AU49" s="55"/>
      <c r="AV49" s="55"/>
      <c r="AW49" s="55"/>
      <c r="AX49" s="55"/>
      <c r="AY49" s="55"/>
      <c r="AZ49" s="55"/>
      <c r="BA49" s="55"/>
      <c r="BB49" s="227"/>
      <c r="BC49" s="55"/>
      <c r="BD49" s="137"/>
      <c r="BE49" s="137"/>
      <c r="BF49" s="137"/>
      <c r="BG49" s="137"/>
      <c r="BH49" s="137"/>
      <c r="BI49" s="137"/>
      <c r="BJ49" s="137"/>
      <c r="BK49" s="137"/>
      <c r="BL49" s="137"/>
      <c r="BM49" s="55"/>
      <c r="BN49" s="157"/>
      <c r="BO49" s="104"/>
      <c r="BP49" s="104"/>
      <c r="BQ49" s="104"/>
      <c r="BR49" s="104"/>
      <c r="BS49" s="104"/>
      <c r="BT49" s="104"/>
      <c r="BU49" s="104"/>
      <c r="BV49" s="104"/>
      <c r="BW49" s="114"/>
      <c r="BX49" s="114"/>
      <c r="BY49" s="114"/>
      <c r="BZ49" s="104"/>
      <c r="CA49" s="104"/>
      <c r="CB49" s="55"/>
      <c r="CC49" s="55"/>
      <c r="CD49" s="55"/>
      <c r="CE49" s="55"/>
      <c r="CF49" s="114"/>
      <c r="CG49" s="114"/>
      <c r="CH49" s="114"/>
      <c r="CI49" s="114"/>
      <c r="CJ49" s="114"/>
      <c r="CK49" s="114"/>
      <c r="CL49" s="114"/>
      <c r="CM49" s="114"/>
      <c r="CN49" s="114"/>
      <c r="CO49" s="104"/>
      <c r="CP49" s="104"/>
      <c r="CQ49" s="104"/>
      <c r="CR49" s="55"/>
      <c r="CS49" s="104"/>
      <c r="CT49" s="104"/>
      <c r="CU49" s="104"/>
    </row>
    <row r="50" spans="1:99">
      <c r="A50" s="136" t="s">
        <v>113</v>
      </c>
      <c r="J50" s="15">
        <v>6.7000000000000002E-3</v>
      </c>
      <c r="K50" s="15">
        <v>6.7000000000000002E-3</v>
      </c>
      <c r="L50" s="15">
        <f t="shared" si="76"/>
        <v>0</v>
      </c>
      <c r="M50" s="15"/>
      <c r="N50" s="15"/>
      <c r="O50" s="15"/>
      <c r="P50" s="15"/>
      <c r="Q50" s="15"/>
      <c r="R50" s="250"/>
      <c r="S50" s="15"/>
      <c r="T50" s="267"/>
      <c r="U50" s="15"/>
      <c r="V50" s="15"/>
      <c r="W50" s="15"/>
      <c r="X50" s="15"/>
      <c r="Y50" s="15"/>
      <c r="Z50" s="250"/>
      <c r="AA50" s="15"/>
      <c r="AB50" s="15"/>
      <c r="AC50" s="15"/>
      <c r="AD50" s="15"/>
      <c r="AE50" s="15"/>
      <c r="AF50" s="229">
        <f t="shared" si="75"/>
        <v>0</v>
      </c>
      <c r="AG50" s="138">
        <v>1.055056</v>
      </c>
      <c r="AH50" s="138"/>
      <c r="AI50" s="138"/>
      <c r="AJ50" s="138"/>
      <c r="AK50" s="138"/>
      <c r="AL50" s="236"/>
      <c r="AM50" s="124"/>
      <c r="AN50" s="138">
        <v>1.055056</v>
      </c>
      <c r="AO50" s="138"/>
      <c r="AP50" s="138"/>
      <c r="AQ50" s="55"/>
      <c r="AR50" s="227"/>
      <c r="AS50" s="55"/>
      <c r="AT50" s="55"/>
      <c r="AU50" s="55"/>
      <c r="AV50" s="55"/>
      <c r="AW50" s="55"/>
      <c r="AX50" s="55"/>
      <c r="AY50" s="55"/>
      <c r="AZ50" s="55"/>
      <c r="BA50" s="55"/>
      <c r="BB50" s="227"/>
      <c r="BC50" s="55"/>
      <c r="BD50" s="138">
        <v>1.055056</v>
      </c>
      <c r="BE50" s="138">
        <v>1.055056</v>
      </c>
      <c r="BF50" s="138">
        <v>1.055056</v>
      </c>
      <c r="BG50" s="138">
        <v>1.055056</v>
      </c>
      <c r="BH50" s="138">
        <v>1.055056</v>
      </c>
      <c r="BI50" s="138">
        <v>1.055056</v>
      </c>
      <c r="BJ50" s="138">
        <v>1.055056</v>
      </c>
      <c r="BK50" s="138"/>
      <c r="BL50" s="138">
        <v>1.055056</v>
      </c>
      <c r="BM50" s="55"/>
      <c r="BN50" s="157"/>
      <c r="BO50" s="104"/>
      <c r="BP50" s="104"/>
      <c r="BQ50" s="104"/>
      <c r="BR50" s="104"/>
      <c r="BS50" s="104"/>
      <c r="BT50" s="104"/>
      <c r="BU50" s="104"/>
      <c r="BV50" s="104"/>
      <c r="BW50" s="114"/>
      <c r="BX50" s="114"/>
      <c r="BY50" s="114"/>
      <c r="BZ50" s="104"/>
      <c r="CA50" s="104"/>
      <c r="CB50" s="55"/>
      <c r="CC50" s="55"/>
      <c r="CD50" s="55"/>
      <c r="CE50" s="55"/>
      <c r="CF50" s="114"/>
      <c r="CG50" s="114"/>
      <c r="CH50" s="114"/>
      <c r="CI50" s="114"/>
      <c r="CJ50" s="114"/>
      <c r="CK50" s="114"/>
      <c r="CL50" s="114"/>
      <c r="CM50" s="114"/>
      <c r="CN50" s="114"/>
      <c r="CO50" s="104"/>
      <c r="CP50" s="104"/>
      <c r="CQ50" s="104"/>
      <c r="CR50" s="55"/>
      <c r="CS50" s="104"/>
      <c r="CT50" s="104"/>
      <c r="CU50" s="104"/>
    </row>
    <row r="51" spans="1:99">
      <c r="A51" s="136" t="s">
        <v>114</v>
      </c>
      <c r="J51" s="15">
        <v>3.0000000000000001E-3</v>
      </c>
      <c r="K51" s="15">
        <v>3.0000000000000001E-3</v>
      </c>
      <c r="L51" s="15">
        <f t="shared" si="76"/>
        <v>0</v>
      </c>
      <c r="M51" s="15"/>
      <c r="N51" s="15"/>
      <c r="O51" s="15"/>
      <c r="P51" s="15"/>
      <c r="Q51" s="15"/>
      <c r="R51" s="250"/>
      <c r="S51" s="15"/>
      <c r="T51" s="267"/>
      <c r="U51" s="15"/>
      <c r="V51" s="15"/>
      <c r="W51" s="15"/>
      <c r="X51" s="15"/>
      <c r="Y51" s="15"/>
      <c r="Z51" s="250"/>
      <c r="AA51" s="15"/>
      <c r="AB51" s="15"/>
      <c r="AC51" s="15"/>
      <c r="AD51" s="15"/>
      <c r="AE51" s="15"/>
      <c r="AF51" s="229">
        <f t="shared" si="75"/>
        <v>0</v>
      </c>
      <c r="AG51" s="124"/>
      <c r="AH51" s="124"/>
      <c r="AI51" s="124"/>
      <c r="AJ51" s="124"/>
      <c r="AK51" s="124"/>
      <c r="AL51" s="136"/>
      <c r="AM51" s="124"/>
      <c r="AN51" s="124"/>
      <c r="AO51" s="124"/>
      <c r="AP51" s="124"/>
      <c r="AQ51" s="55"/>
      <c r="AR51" s="227"/>
      <c r="AS51" s="55"/>
      <c r="AT51" s="55"/>
      <c r="AU51" s="55"/>
      <c r="AV51" s="55"/>
      <c r="AW51" s="55"/>
      <c r="AX51" s="55"/>
      <c r="AY51" s="55"/>
      <c r="AZ51" s="55"/>
      <c r="BA51" s="55"/>
      <c r="BB51" s="227"/>
      <c r="BC51" s="55"/>
      <c r="BD51" s="124"/>
      <c r="BE51" s="124"/>
      <c r="BF51" s="124"/>
      <c r="BG51" s="124"/>
      <c r="BH51" s="124"/>
      <c r="BI51" s="124"/>
      <c r="BJ51" s="124"/>
      <c r="BK51" s="124"/>
      <c r="BL51" s="124"/>
      <c r="BM51" s="55"/>
      <c r="BN51" s="157"/>
      <c r="BO51" s="104"/>
      <c r="BP51" s="104"/>
      <c r="BQ51" s="104"/>
      <c r="BR51" s="104"/>
      <c r="BS51" s="104"/>
      <c r="BT51" s="104"/>
      <c r="BU51" s="104"/>
      <c r="BV51" s="104"/>
      <c r="BW51" s="114"/>
      <c r="BX51" s="114"/>
      <c r="BY51" s="114"/>
      <c r="BZ51" s="104"/>
      <c r="CA51" s="104"/>
      <c r="CB51" s="55"/>
      <c r="CC51" s="55"/>
      <c r="CD51" s="55"/>
      <c r="CE51" s="55"/>
      <c r="CF51" s="114"/>
      <c r="CG51" s="114"/>
      <c r="CH51" s="114"/>
      <c r="CI51" s="114"/>
      <c r="CJ51" s="114"/>
      <c r="CK51" s="114"/>
      <c r="CL51" s="114"/>
      <c r="CM51" s="114"/>
      <c r="CN51" s="114"/>
      <c r="CO51" s="104"/>
      <c r="CP51" s="104"/>
      <c r="CQ51" s="104"/>
      <c r="CR51" s="55"/>
      <c r="CS51" s="104"/>
      <c r="CT51" s="104"/>
      <c r="CU51" s="104"/>
    </row>
    <row r="52" spans="1:99">
      <c r="A52" s="287" t="s">
        <v>115</v>
      </c>
      <c r="J52" s="210">
        <v>7.8E-2</v>
      </c>
      <c r="K52" s="210">
        <v>7.8E-2</v>
      </c>
      <c r="L52" s="210">
        <f t="shared" si="76"/>
        <v>0</v>
      </c>
      <c r="M52" s="15"/>
      <c r="N52" s="15"/>
      <c r="O52" s="15"/>
      <c r="P52" s="15"/>
      <c r="Q52" s="15"/>
      <c r="R52" s="250"/>
      <c r="S52" s="15"/>
      <c r="T52" s="267"/>
      <c r="U52" s="15"/>
      <c r="V52" s="15"/>
      <c r="W52" s="15"/>
      <c r="X52" s="15"/>
      <c r="Y52" s="15"/>
      <c r="Z52" s="250"/>
      <c r="AA52" s="15"/>
      <c r="AB52" s="15"/>
      <c r="AC52" s="15"/>
      <c r="AD52" s="15"/>
      <c r="AE52" s="15"/>
      <c r="AF52" s="229">
        <f t="shared" si="75"/>
        <v>0</v>
      </c>
      <c r="AG52" s="124"/>
      <c r="AH52" s="124"/>
      <c r="AI52" s="124"/>
      <c r="AJ52" s="124"/>
      <c r="AK52" s="124"/>
      <c r="AL52" s="136"/>
      <c r="AM52" s="124"/>
      <c r="AN52" s="124"/>
      <c r="AO52" s="124"/>
      <c r="AP52" s="124"/>
      <c r="AQ52" s="55"/>
      <c r="AR52" s="227"/>
      <c r="AS52" s="55"/>
      <c r="AT52" s="55"/>
      <c r="AU52" s="55"/>
      <c r="AV52" s="55"/>
      <c r="AW52" s="55"/>
      <c r="AX52" s="55"/>
      <c r="AY52" s="55"/>
      <c r="AZ52" s="55"/>
      <c r="BA52" s="55"/>
      <c r="BB52" s="227"/>
      <c r="BC52" s="55"/>
      <c r="BD52" s="124"/>
      <c r="BE52" s="124"/>
      <c r="BF52" s="124"/>
      <c r="BG52" s="124"/>
      <c r="BH52" s="124"/>
      <c r="BI52" s="124"/>
      <c r="BJ52" s="124"/>
      <c r="BK52" s="124"/>
      <c r="BL52" s="124"/>
      <c r="BM52" s="55"/>
      <c r="BN52" s="157"/>
      <c r="BO52" s="104"/>
      <c r="BP52" s="104"/>
      <c r="BQ52" s="104"/>
      <c r="BR52" s="104"/>
      <c r="BS52" s="104"/>
      <c r="BT52" s="104"/>
      <c r="BU52" s="104"/>
      <c r="BV52" s="104"/>
      <c r="BW52" s="114"/>
      <c r="BX52" s="114"/>
      <c r="BY52" s="114"/>
      <c r="BZ52" s="104"/>
      <c r="CA52" s="104"/>
      <c r="CB52" s="55"/>
      <c r="CC52" s="55"/>
      <c r="CD52" s="55"/>
      <c r="CE52" s="55"/>
      <c r="CF52" s="114"/>
      <c r="CG52" s="114"/>
      <c r="CH52" s="114"/>
      <c r="CI52" s="114"/>
      <c r="CJ52" s="114"/>
      <c r="CK52" s="114"/>
      <c r="CL52" s="114"/>
      <c r="CM52" s="114"/>
      <c r="CN52" s="114"/>
      <c r="CO52" s="104"/>
      <c r="CP52" s="104"/>
      <c r="CQ52" s="104"/>
      <c r="CR52" s="55"/>
      <c r="CS52" s="104"/>
      <c r="CT52" s="104"/>
      <c r="CU52" s="104"/>
    </row>
    <row r="53" spans="1:99">
      <c r="A53" t="s">
        <v>116</v>
      </c>
      <c r="J53" s="148">
        <v>3.4521799999999998E-2</v>
      </c>
      <c r="K53" s="148">
        <v>3.4521799999999998E-2</v>
      </c>
      <c r="L53" s="15">
        <f t="shared" si="76"/>
        <v>0</v>
      </c>
      <c r="M53" s="148"/>
      <c r="N53" s="148"/>
      <c r="O53" s="148"/>
      <c r="P53" s="148"/>
      <c r="Q53" s="148"/>
      <c r="R53" s="253"/>
      <c r="S53" s="148"/>
      <c r="T53" s="270"/>
      <c r="U53" s="148"/>
      <c r="V53" s="148"/>
      <c r="W53" s="148"/>
      <c r="X53" s="148"/>
      <c r="Y53" s="148"/>
      <c r="Z53" s="253"/>
      <c r="AA53" s="148"/>
      <c r="AB53" s="148"/>
      <c r="AC53" s="148"/>
      <c r="AD53" s="148"/>
      <c r="AE53" s="148"/>
      <c r="AF53" s="229">
        <f t="shared" ref="AF53:AF58" si="77">J53-K53</f>
        <v>0</v>
      </c>
      <c r="AG53"/>
      <c r="AH53"/>
      <c r="AI53"/>
      <c r="AJ53"/>
      <c r="AK53"/>
      <c r="AL53" s="22"/>
      <c r="AM53"/>
      <c r="AN53"/>
      <c r="AO53"/>
      <c r="AP53"/>
      <c r="AQ53" s="55"/>
      <c r="AR53" s="227"/>
      <c r="AS53" s="55"/>
      <c r="AT53" s="55"/>
      <c r="AU53" s="55"/>
      <c r="AV53" s="55"/>
      <c r="AW53" s="55"/>
      <c r="AX53" s="55"/>
      <c r="AY53" s="55"/>
      <c r="AZ53" s="55"/>
      <c r="BA53" s="55"/>
      <c r="BB53" s="227"/>
      <c r="BC53" s="55"/>
      <c r="BD53"/>
      <c r="BE53"/>
      <c r="BF53"/>
      <c r="BG53"/>
      <c r="BH53"/>
      <c r="BI53"/>
      <c r="BJ53"/>
      <c r="BK53"/>
      <c r="BL53"/>
      <c r="BM53" s="55"/>
      <c r="BN53" s="157"/>
      <c r="BO53" s="104"/>
      <c r="BP53" s="104"/>
      <c r="BQ53" s="104"/>
      <c r="BR53" s="104"/>
      <c r="BS53" s="104"/>
      <c r="BT53" s="104"/>
      <c r="BU53" s="104"/>
      <c r="BV53" s="104"/>
      <c r="BW53" s="114"/>
      <c r="BX53" s="114"/>
      <c r="BY53" s="114"/>
      <c r="BZ53" s="104"/>
      <c r="CA53" s="104"/>
      <c r="CB53" s="55"/>
      <c r="CC53" s="55"/>
      <c r="CD53" s="55"/>
      <c r="CE53" s="55"/>
      <c r="CF53" s="114"/>
      <c r="CG53" s="114"/>
      <c r="CH53" s="114"/>
      <c r="CI53" s="114"/>
      <c r="CJ53" s="114"/>
      <c r="CK53" s="114"/>
      <c r="CL53" s="114"/>
      <c r="CM53" s="114"/>
      <c r="CN53" s="114"/>
      <c r="CO53" s="104"/>
      <c r="CP53" s="104"/>
      <c r="CQ53" s="104"/>
      <c r="CR53" s="55"/>
      <c r="CS53" s="104"/>
      <c r="CT53" s="104"/>
      <c r="CU53" s="104"/>
    </row>
    <row r="54" spans="1:99">
      <c r="A54" t="s">
        <v>117</v>
      </c>
      <c r="J54" s="148">
        <v>1.78169E-2</v>
      </c>
      <c r="K54" s="148">
        <v>1.78169E-2</v>
      </c>
      <c r="L54" s="15">
        <f t="shared" si="76"/>
        <v>0</v>
      </c>
      <c r="M54" s="148"/>
      <c r="N54" s="148"/>
      <c r="O54" s="148"/>
      <c r="P54" s="148"/>
      <c r="Q54" s="148"/>
      <c r="R54" s="253"/>
      <c r="S54" s="148"/>
      <c r="T54" s="270"/>
      <c r="U54" s="148"/>
      <c r="V54" s="148"/>
      <c r="W54" s="148"/>
      <c r="X54" s="148"/>
      <c r="Y54" s="148"/>
      <c r="Z54" s="253"/>
      <c r="AA54" s="148"/>
      <c r="AB54" s="148"/>
      <c r="AC54" s="148"/>
      <c r="AD54" s="148"/>
      <c r="AE54" s="148"/>
      <c r="AF54" s="229">
        <f t="shared" si="77"/>
        <v>0</v>
      </c>
      <c r="AG54" s="46"/>
      <c r="AH54" s="46"/>
      <c r="AI54" s="46"/>
      <c r="AJ54" s="46"/>
      <c r="AK54" s="46"/>
      <c r="AL54" s="22"/>
      <c r="AM54" s="46"/>
      <c r="AN54" s="46"/>
      <c r="AO54" s="46"/>
      <c r="AP54" s="46"/>
      <c r="AQ54" s="55"/>
      <c r="AR54" s="227"/>
      <c r="AS54" s="55"/>
      <c r="AT54" s="55"/>
      <c r="AU54" s="55"/>
      <c r="AV54" s="55"/>
      <c r="AW54" s="55"/>
      <c r="AX54" s="55"/>
      <c r="AY54" s="55"/>
      <c r="AZ54" s="55"/>
      <c r="BA54" s="55"/>
      <c r="BB54" s="227"/>
      <c r="BC54" s="55"/>
      <c r="BD54" s="46"/>
      <c r="BE54" s="46"/>
      <c r="BF54" s="46"/>
      <c r="BG54" s="46"/>
      <c r="BH54" s="46"/>
      <c r="BI54" s="46"/>
      <c r="BJ54" s="46"/>
      <c r="BK54" s="46"/>
      <c r="BL54" s="46"/>
      <c r="BM54" s="55"/>
      <c r="BN54" s="157"/>
      <c r="BO54" s="104"/>
      <c r="BP54" s="104"/>
      <c r="BQ54" s="104"/>
      <c r="BR54" s="104"/>
      <c r="BS54" s="104"/>
      <c r="BT54" s="104"/>
      <c r="BU54" s="104"/>
      <c r="BV54" s="104"/>
      <c r="BW54" s="114"/>
      <c r="BX54" s="114"/>
      <c r="BY54" s="114"/>
      <c r="BZ54" s="104"/>
      <c r="CA54" s="104"/>
      <c r="CB54" s="55"/>
      <c r="CC54" s="55"/>
      <c r="CD54" s="55"/>
      <c r="CE54" s="55"/>
      <c r="CF54" s="114"/>
      <c r="CG54" s="114"/>
      <c r="CH54" s="114"/>
      <c r="CI54" s="114"/>
      <c r="CJ54" s="114"/>
      <c r="CK54" s="114"/>
      <c r="CL54" s="114"/>
      <c r="CM54" s="114"/>
      <c r="CN54" s="114"/>
      <c r="CO54" s="104"/>
      <c r="CP54" s="104"/>
      <c r="CQ54" s="104"/>
      <c r="CR54" s="55"/>
      <c r="CS54" s="104"/>
      <c r="CT54" s="104"/>
      <c r="CU54" s="104"/>
    </row>
    <row r="55" spans="1:99">
      <c r="A55" t="s">
        <v>118</v>
      </c>
      <c r="J55" s="163">
        <v>2.7560000000000002E-3</v>
      </c>
      <c r="K55" s="163">
        <v>2.7560000000000002E-3</v>
      </c>
      <c r="L55" s="15">
        <f t="shared" si="76"/>
        <v>0</v>
      </c>
      <c r="M55" s="163"/>
      <c r="N55" s="163"/>
      <c r="O55" s="163"/>
      <c r="P55" s="163"/>
      <c r="Q55" s="163"/>
      <c r="R55" s="254"/>
      <c r="S55" s="163"/>
      <c r="T55" s="163"/>
      <c r="U55" s="163"/>
      <c r="V55" s="163"/>
      <c r="W55" s="163"/>
      <c r="X55" s="163"/>
      <c r="Y55" s="163"/>
      <c r="Z55" s="254"/>
      <c r="AA55" s="163"/>
      <c r="AB55" s="163"/>
      <c r="AC55" s="163"/>
      <c r="AD55" s="163"/>
      <c r="AE55" s="163"/>
      <c r="AF55" s="229">
        <f t="shared" si="77"/>
        <v>0</v>
      </c>
      <c r="AG55" s="46"/>
      <c r="AH55" s="46"/>
      <c r="AI55" s="46"/>
      <c r="AJ55" s="46"/>
      <c r="AK55" s="46"/>
      <c r="AL55" s="22"/>
      <c r="AM55" s="46"/>
      <c r="AN55" s="46"/>
      <c r="AO55" s="46"/>
      <c r="AP55" s="46"/>
      <c r="AQ55" s="55"/>
      <c r="AR55" s="227"/>
      <c r="AS55" s="55"/>
      <c r="AT55" s="55"/>
      <c r="AU55" s="55"/>
      <c r="AV55" s="55"/>
      <c r="AW55" s="55"/>
      <c r="AX55" s="55"/>
      <c r="AY55" s="55"/>
      <c r="AZ55" s="55"/>
      <c r="BA55" s="55"/>
      <c r="BB55" s="227"/>
      <c r="BC55" s="55"/>
      <c r="BD55" s="46"/>
      <c r="BE55" s="46"/>
      <c r="BF55" s="46"/>
      <c r="BG55" s="46"/>
      <c r="BH55" s="46"/>
      <c r="BI55" s="46"/>
      <c r="BJ55" s="46"/>
      <c r="BK55" s="46"/>
      <c r="BL55" s="46"/>
      <c r="BM55" s="55"/>
      <c r="BN55" s="157"/>
      <c r="BO55" s="104"/>
      <c r="BP55" s="104"/>
      <c r="BQ55" s="104"/>
      <c r="BR55" s="104"/>
      <c r="BS55" s="104"/>
      <c r="BT55" s="104"/>
      <c r="BU55" s="104"/>
      <c r="BV55" s="104"/>
      <c r="BW55" s="114"/>
      <c r="BX55" s="114"/>
      <c r="BY55" s="114"/>
      <c r="BZ55" s="104"/>
      <c r="CA55" s="104"/>
      <c r="CB55" s="55"/>
      <c r="CC55" s="55"/>
      <c r="CD55" s="55"/>
      <c r="CE55" s="55"/>
      <c r="CF55" s="114"/>
      <c r="CG55" s="114"/>
      <c r="CH55" s="114"/>
      <c r="CI55" s="114"/>
      <c r="CJ55" s="114"/>
      <c r="CK55" s="114"/>
      <c r="CL55" s="114"/>
      <c r="CM55" s="114"/>
      <c r="CN55" s="114"/>
      <c r="CO55" s="104"/>
      <c r="CP55" s="104"/>
      <c r="CQ55" s="104"/>
      <c r="CR55" s="55"/>
      <c r="CS55" s="104"/>
      <c r="CT55" s="104"/>
      <c r="CU55" s="104"/>
    </row>
    <row r="56" spans="1:99">
      <c r="A56" t="s">
        <v>119</v>
      </c>
      <c r="J56" s="164">
        <v>9.1239000000000008E-3</v>
      </c>
      <c r="K56" s="164">
        <v>9.1239000000000008E-3</v>
      </c>
      <c r="L56" s="15">
        <f t="shared" si="76"/>
        <v>0</v>
      </c>
      <c r="M56" s="164"/>
      <c r="N56" s="164"/>
      <c r="O56" s="164"/>
      <c r="P56" s="164"/>
      <c r="Q56" s="164"/>
      <c r="R56" s="255"/>
      <c r="S56" s="164"/>
      <c r="T56" s="271"/>
      <c r="U56" s="164"/>
      <c r="V56" s="164"/>
      <c r="W56" s="164"/>
      <c r="X56" s="164"/>
      <c r="Y56" s="164"/>
      <c r="Z56" s="255"/>
      <c r="AA56" s="164"/>
      <c r="AB56" s="164"/>
      <c r="AC56" s="164"/>
      <c r="AD56" s="164"/>
      <c r="AE56" s="164"/>
      <c r="AF56" s="229">
        <f t="shared" si="77"/>
        <v>0</v>
      </c>
      <c r="AG56" s="55"/>
      <c r="AH56" s="55"/>
      <c r="AI56" s="55"/>
      <c r="AJ56" s="55"/>
      <c r="AK56" s="55"/>
      <c r="AL56" s="227"/>
      <c r="AM56" s="122"/>
      <c r="AN56" s="55"/>
      <c r="AO56" s="55"/>
      <c r="AP56" s="55"/>
      <c r="AQ56" s="55"/>
      <c r="AR56" s="227"/>
      <c r="AS56" s="55"/>
      <c r="AT56" s="55"/>
      <c r="AU56" s="55"/>
      <c r="AV56" s="55"/>
      <c r="AW56" s="55"/>
      <c r="AX56" s="55"/>
      <c r="AY56" s="55"/>
      <c r="AZ56" s="55"/>
      <c r="BA56" s="55"/>
      <c r="BB56" s="227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157"/>
      <c r="BO56" s="104"/>
      <c r="BP56" s="104"/>
      <c r="BQ56" s="104"/>
      <c r="BR56" s="104"/>
      <c r="BS56" s="104"/>
      <c r="BT56" s="104"/>
      <c r="BU56" s="104"/>
      <c r="BV56" s="104"/>
      <c r="BW56" s="114"/>
      <c r="BX56" s="114"/>
      <c r="BY56" s="114"/>
      <c r="BZ56" s="104"/>
      <c r="CA56" s="104"/>
      <c r="CB56" s="55"/>
      <c r="CC56" s="55"/>
      <c r="CD56" s="55"/>
      <c r="CE56" s="55"/>
      <c r="CF56" s="114"/>
      <c r="CG56" s="114"/>
      <c r="CH56" s="114"/>
      <c r="CI56" s="114"/>
      <c r="CJ56" s="114"/>
      <c r="CK56" s="114"/>
      <c r="CL56" s="114"/>
      <c r="CM56" s="114"/>
      <c r="CN56" s="114"/>
      <c r="CO56" s="104"/>
      <c r="CP56" s="104"/>
      <c r="CQ56" s="104"/>
      <c r="CR56" s="55"/>
      <c r="CS56" s="104"/>
      <c r="CT56" s="104"/>
      <c r="CU56" s="104"/>
    </row>
    <row r="57" spans="1:99">
      <c r="A57" t="s">
        <v>120</v>
      </c>
      <c r="E57" s="46" t="s">
        <v>172</v>
      </c>
      <c r="J57" s="164">
        <v>3.1971199999999998E-2</v>
      </c>
      <c r="K57" s="164">
        <v>3.1971199999999998E-2</v>
      </c>
      <c r="L57" s="15">
        <f t="shared" si="76"/>
        <v>0</v>
      </c>
      <c r="M57" s="164"/>
      <c r="N57" s="164"/>
      <c r="O57" s="164"/>
      <c r="P57" s="164"/>
      <c r="Q57" s="164"/>
      <c r="R57" s="255"/>
      <c r="S57" s="164"/>
      <c r="T57" s="271"/>
      <c r="U57" s="164"/>
      <c r="V57" s="164"/>
      <c r="W57" s="164"/>
      <c r="X57" s="164"/>
      <c r="Y57" s="164"/>
      <c r="Z57" s="255"/>
      <c r="AA57" s="164"/>
      <c r="AB57" s="164"/>
      <c r="AC57" s="164"/>
      <c r="AD57" s="164"/>
      <c r="AE57" s="164"/>
      <c r="AF57" s="229">
        <f t="shared" si="77"/>
        <v>0</v>
      </c>
      <c r="AG57" s="55"/>
      <c r="AH57" s="55"/>
      <c r="AI57" s="55"/>
      <c r="AJ57" s="55"/>
      <c r="AK57" s="55"/>
      <c r="AL57" s="227"/>
      <c r="AM57" s="122"/>
      <c r="AN57" s="55"/>
      <c r="AO57" s="55"/>
      <c r="AP57" s="55"/>
      <c r="AQ57" s="55"/>
      <c r="AR57" s="227"/>
      <c r="AS57" s="55"/>
      <c r="AT57" s="55"/>
      <c r="AU57" s="55"/>
      <c r="AV57" s="55"/>
      <c r="AW57" s="55"/>
      <c r="AX57" s="55"/>
      <c r="AY57" s="55"/>
      <c r="AZ57" s="55"/>
      <c r="BA57" s="55"/>
      <c r="BB57" s="227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157"/>
      <c r="BO57" s="104"/>
      <c r="BP57" s="104"/>
      <c r="BQ57" s="104"/>
      <c r="BR57" s="104"/>
      <c r="BS57" s="104"/>
      <c r="BT57" s="104"/>
      <c r="BU57" s="104"/>
      <c r="BV57" s="104"/>
      <c r="BW57" s="114"/>
      <c r="BX57" s="114"/>
      <c r="BY57" s="114"/>
      <c r="BZ57" s="104"/>
      <c r="CA57" s="104"/>
      <c r="CB57" s="55"/>
      <c r="CC57" s="55"/>
      <c r="CD57" s="55"/>
      <c r="CE57" s="55"/>
      <c r="CF57" s="114"/>
      <c r="CG57" s="114"/>
      <c r="CH57" s="114"/>
      <c r="CI57" s="114"/>
      <c r="CJ57" s="114"/>
      <c r="CK57" s="114"/>
      <c r="CL57" s="114"/>
      <c r="CM57" s="114"/>
      <c r="CN57" s="114"/>
      <c r="CO57" s="104"/>
      <c r="CP57" s="104"/>
      <c r="CQ57" s="104"/>
      <c r="CR57" s="55"/>
      <c r="CS57" s="104"/>
      <c r="CT57" s="104"/>
      <c r="CU57" s="104"/>
    </row>
    <row r="58" spans="1:99">
      <c r="A58" t="s">
        <v>121</v>
      </c>
      <c r="G58" s="104"/>
      <c r="H58" s="104"/>
      <c r="I58" s="122"/>
      <c r="J58" s="164">
        <v>2.91731E-2</v>
      </c>
      <c r="K58" s="164">
        <v>2.91731E-2</v>
      </c>
      <c r="L58" s="15">
        <f t="shared" si="76"/>
        <v>0</v>
      </c>
      <c r="M58" s="164"/>
      <c r="N58" s="164"/>
      <c r="O58" s="164"/>
      <c r="P58" s="164"/>
      <c r="Q58" s="164"/>
      <c r="R58" s="255"/>
      <c r="S58" s="164"/>
      <c r="T58" s="271"/>
      <c r="U58" s="164"/>
      <c r="V58" s="164"/>
      <c r="W58" s="164"/>
      <c r="X58" s="164"/>
      <c r="Y58" s="164"/>
      <c r="Z58" s="255"/>
      <c r="AA58" s="164"/>
      <c r="AB58" s="164"/>
      <c r="AC58" s="164"/>
      <c r="AD58" s="164"/>
      <c r="AE58" s="164"/>
      <c r="AF58" s="229">
        <f t="shared" si="77"/>
        <v>0</v>
      </c>
      <c r="AG58" s="55"/>
      <c r="AH58" s="55"/>
      <c r="AI58" s="55"/>
      <c r="AJ58" s="55"/>
      <c r="AK58" s="55"/>
      <c r="AL58" s="227"/>
      <c r="AM58" s="55"/>
      <c r="AN58" s="55"/>
      <c r="AO58" s="55"/>
      <c r="AP58" s="55"/>
      <c r="AQ58" s="55"/>
      <c r="AR58" s="227"/>
      <c r="AS58" s="55"/>
      <c r="AT58" s="55"/>
      <c r="AU58" s="55"/>
      <c r="AV58" s="55"/>
      <c r="AW58" s="55"/>
      <c r="AX58" s="55"/>
      <c r="AY58" s="55"/>
      <c r="AZ58" s="55"/>
      <c r="BA58" s="55"/>
      <c r="BB58" s="227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157"/>
      <c r="BO58" s="104"/>
      <c r="BP58" s="104"/>
      <c r="BQ58" s="104"/>
      <c r="BR58" s="104"/>
      <c r="BS58" s="104"/>
      <c r="BT58" s="104"/>
      <c r="BU58" s="104"/>
      <c r="BV58" s="104"/>
      <c r="BW58" s="114"/>
      <c r="BX58" s="114"/>
      <c r="BY58" s="114"/>
      <c r="BZ58" s="104"/>
      <c r="CA58" s="104"/>
      <c r="CB58" s="55"/>
      <c r="CC58" s="55"/>
      <c r="CD58" s="55"/>
      <c r="CE58" s="55"/>
      <c r="CF58" s="114"/>
      <c r="CG58" s="114"/>
      <c r="CH58" s="114"/>
      <c r="CI58" s="114"/>
      <c r="CJ58" s="114"/>
      <c r="CK58" s="114"/>
      <c r="CL58" s="114"/>
      <c r="CM58" s="114"/>
      <c r="CN58" s="114"/>
      <c r="CO58" s="104"/>
      <c r="CP58" s="104"/>
      <c r="CQ58" s="104"/>
      <c r="CR58" s="55"/>
      <c r="CS58" s="104"/>
      <c r="CT58" s="104"/>
      <c r="CU58" s="104"/>
    </row>
    <row r="59" spans="1:99">
      <c r="G59" s="104"/>
      <c r="H59" s="104"/>
      <c r="I59" s="122"/>
      <c r="J59" s="55"/>
      <c r="K59" s="55"/>
      <c r="L59" s="55"/>
      <c r="M59" s="55"/>
      <c r="N59" s="55"/>
      <c r="O59" s="55"/>
      <c r="P59" s="55"/>
      <c r="Q59" s="55"/>
      <c r="R59" s="227"/>
      <c r="S59" s="55"/>
      <c r="T59" s="157"/>
      <c r="U59" s="55"/>
      <c r="V59" s="55"/>
      <c r="W59" s="55"/>
      <c r="X59" s="55"/>
      <c r="Y59" s="55"/>
      <c r="Z59" s="227"/>
      <c r="AA59" s="55"/>
      <c r="AB59" s="55"/>
      <c r="AC59" s="55"/>
      <c r="AD59" s="55"/>
      <c r="AE59" s="55"/>
      <c r="AF59" s="227"/>
      <c r="AG59" s="55"/>
      <c r="AH59" s="55"/>
      <c r="AI59" s="55"/>
      <c r="AJ59" s="55"/>
      <c r="AK59" s="55"/>
      <c r="AL59" s="227"/>
      <c r="AM59" s="55"/>
      <c r="AN59" s="55"/>
      <c r="AO59" s="55"/>
      <c r="AP59" s="55"/>
      <c r="AQ59" s="55"/>
      <c r="AR59" s="227"/>
      <c r="AS59" s="55"/>
      <c r="AT59" s="55"/>
      <c r="AU59" s="55"/>
      <c r="AV59" s="55"/>
      <c r="AW59" s="55"/>
      <c r="AX59" s="55"/>
      <c r="AY59" s="55"/>
      <c r="AZ59" s="55"/>
      <c r="BA59" s="55"/>
      <c r="BB59" s="227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157"/>
      <c r="BO59" s="104"/>
      <c r="BP59" s="104"/>
      <c r="BQ59" s="104"/>
      <c r="BR59" s="104"/>
      <c r="BS59" s="104"/>
      <c r="BT59" s="104"/>
      <c r="BU59" s="104"/>
      <c r="BV59" s="104"/>
      <c r="BW59" s="114"/>
      <c r="BX59" s="114"/>
      <c r="BY59" s="114"/>
      <c r="BZ59" s="104"/>
      <c r="CA59" s="104"/>
      <c r="CB59" s="55"/>
      <c r="CC59" s="55"/>
      <c r="CD59" s="55"/>
      <c r="CE59" s="55"/>
      <c r="CF59" s="114"/>
      <c r="CG59" s="114"/>
      <c r="CH59" s="114"/>
      <c r="CI59" s="114"/>
      <c r="CJ59" s="114"/>
      <c r="CK59" s="114"/>
      <c r="CL59" s="114"/>
      <c r="CM59" s="114"/>
      <c r="CN59" s="114"/>
      <c r="CO59" s="104"/>
      <c r="CP59" s="104"/>
      <c r="CQ59" s="104"/>
      <c r="CR59" s="55"/>
      <c r="CS59" s="104"/>
      <c r="CT59" s="104"/>
      <c r="CU59" s="104"/>
    </row>
    <row r="60" spans="1:99">
      <c r="G60" s="104"/>
      <c r="H60" s="104"/>
      <c r="I60" s="122"/>
      <c r="J60" s="55"/>
      <c r="K60" s="55"/>
      <c r="L60" s="55"/>
      <c r="M60" s="55"/>
      <c r="N60" s="55"/>
      <c r="O60" s="55"/>
      <c r="P60" s="55"/>
      <c r="Q60" s="55"/>
      <c r="R60" s="227"/>
      <c r="S60" s="55"/>
      <c r="T60" s="157"/>
      <c r="U60" s="55"/>
      <c r="V60" s="55"/>
      <c r="W60" s="55"/>
      <c r="X60" s="55"/>
      <c r="Y60" s="55"/>
      <c r="Z60" s="227"/>
      <c r="AA60" s="55"/>
      <c r="AB60" s="55"/>
      <c r="AC60" s="55"/>
      <c r="AD60" s="55"/>
      <c r="AE60" s="55"/>
      <c r="AF60" s="227"/>
      <c r="AG60" s="55"/>
      <c r="AH60" s="55"/>
      <c r="AI60" s="55"/>
      <c r="AJ60" s="55"/>
      <c r="AK60" s="55"/>
      <c r="AL60" s="227"/>
      <c r="AM60" s="55"/>
      <c r="AN60" s="55"/>
      <c r="AO60" s="55"/>
      <c r="AP60" s="55"/>
      <c r="AQ60" s="55"/>
      <c r="AR60" s="227"/>
      <c r="AS60" s="55"/>
      <c r="AT60" s="55"/>
      <c r="AU60" s="55"/>
      <c r="AV60" s="55"/>
      <c r="AW60" s="55"/>
      <c r="AX60" s="55"/>
      <c r="AY60" s="55"/>
      <c r="AZ60" s="55"/>
      <c r="BA60" s="55"/>
      <c r="BB60" s="227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157"/>
      <c r="BO60" s="104"/>
      <c r="BP60" s="104"/>
      <c r="BQ60" s="104"/>
      <c r="BR60" s="104"/>
      <c r="BS60" s="104"/>
      <c r="BT60" s="104"/>
      <c r="BU60" s="104"/>
      <c r="BV60" s="104"/>
      <c r="BW60" s="114"/>
      <c r="BX60" s="114"/>
      <c r="BY60" s="114"/>
      <c r="BZ60" s="104"/>
      <c r="CA60" s="104"/>
      <c r="CB60" s="55"/>
      <c r="CC60" s="55"/>
      <c r="CD60" s="55"/>
      <c r="CE60" s="55"/>
      <c r="CF60" s="114"/>
      <c r="CG60" s="114"/>
      <c r="CH60" s="114"/>
      <c r="CI60" s="114"/>
      <c r="CJ60" s="114"/>
      <c r="CK60" s="114"/>
      <c r="CL60" s="114"/>
      <c r="CM60" s="114"/>
      <c r="CN60" s="114"/>
      <c r="CO60" s="104"/>
      <c r="CP60" s="104"/>
      <c r="CQ60" s="104"/>
      <c r="CR60" s="55"/>
      <c r="CS60" s="104"/>
      <c r="CT60" s="104"/>
      <c r="CU60" s="104"/>
    </row>
    <row r="61" spans="1:99">
      <c r="G61" s="104"/>
      <c r="H61" s="104"/>
      <c r="I61" s="122"/>
      <c r="J61" s="55"/>
      <c r="K61" s="55"/>
      <c r="L61" s="55"/>
      <c r="M61" s="55"/>
      <c r="N61" s="55"/>
      <c r="O61" s="55"/>
      <c r="P61" s="55"/>
      <c r="Q61" s="55"/>
      <c r="R61" s="227"/>
      <c r="S61" s="55"/>
      <c r="T61" s="157"/>
      <c r="U61" s="55"/>
      <c r="V61" s="55"/>
      <c r="W61" s="55"/>
      <c r="X61" s="55"/>
      <c r="Y61" s="55"/>
      <c r="Z61" s="227"/>
      <c r="AA61" s="55"/>
      <c r="AB61" s="55"/>
      <c r="AC61" s="55"/>
      <c r="AD61" s="55"/>
      <c r="AE61" s="55"/>
      <c r="AF61" s="227"/>
      <c r="AG61" s="55"/>
      <c r="AH61" s="55"/>
      <c r="AI61" s="55"/>
      <c r="AJ61" s="55"/>
      <c r="AK61" s="55"/>
      <c r="AL61" s="227"/>
      <c r="AM61" s="55"/>
      <c r="AN61" s="55"/>
      <c r="AO61" s="55"/>
      <c r="AP61" s="55"/>
      <c r="AQ61" s="55"/>
      <c r="AR61" s="227"/>
      <c r="AS61" s="55"/>
      <c r="AT61" s="55"/>
      <c r="AU61" s="55"/>
      <c r="AV61" s="55"/>
      <c r="AW61" s="55"/>
      <c r="AX61" s="55"/>
      <c r="AY61" s="55"/>
      <c r="AZ61" s="55"/>
      <c r="BA61" s="55"/>
      <c r="BB61" s="227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157"/>
      <c r="BO61" s="104"/>
      <c r="BP61" s="104"/>
      <c r="BQ61" s="104"/>
      <c r="BR61" s="104"/>
      <c r="BS61" s="104"/>
      <c r="BT61" s="104"/>
      <c r="BU61" s="104"/>
      <c r="BV61" s="104"/>
      <c r="BW61" s="114"/>
      <c r="BX61" s="114"/>
      <c r="BY61" s="114"/>
      <c r="BZ61" s="104"/>
      <c r="CA61" s="104"/>
      <c r="CB61" s="55"/>
      <c r="CC61" s="55"/>
      <c r="CD61" s="55"/>
      <c r="CE61" s="55"/>
      <c r="CF61" s="114"/>
      <c r="CG61" s="114"/>
      <c r="CH61" s="114"/>
      <c r="CI61" s="114"/>
      <c r="CJ61" s="114"/>
      <c r="CK61" s="114"/>
      <c r="CL61" s="114"/>
      <c r="CM61" s="114"/>
      <c r="CN61" s="114"/>
      <c r="CO61" s="104"/>
      <c r="CP61" s="104"/>
      <c r="CQ61" s="104"/>
      <c r="CR61" s="55"/>
      <c r="CS61" s="104"/>
      <c r="CT61" s="104"/>
      <c r="CU61" s="104"/>
    </row>
    <row r="62" spans="1:99">
      <c r="G62" s="104"/>
      <c r="H62" s="104"/>
      <c r="I62" s="122"/>
      <c r="J62" s="55"/>
      <c r="K62" s="55"/>
      <c r="L62" s="55"/>
      <c r="M62" s="55"/>
      <c r="N62" s="55"/>
      <c r="O62" s="55"/>
      <c r="P62" s="55"/>
      <c r="Q62" s="55"/>
      <c r="R62" s="227"/>
      <c r="S62" s="55"/>
      <c r="T62" s="157"/>
      <c r="U62" s="55"/>
      <c r="V62" s="55"/>
      <c r="W62" s="55"/>
      <c r="X62" s="55"/>
      <c r="Y62" s="55"/>
      <c r="Z62" s="227"/>
      <c r="AA62" s="55"/>
      <c r="AB62" s="55"/>
      <c r="AC62" s="55"/>
      <c r="AD62" s="55"/>
      <c r="AE62" s="55"/>
      <c r="AF62" s="227"/>
      <c r="AG62" s="55"/>
      <c r="AH62" s="55"/>
      <c r="AI62" s="55"/>
      <c r="AJ62" s="55"/>
      <c r="AK62" s="55"/>
      <c r="AL62" s="227"/>
      <c r="AM62" s="55"/>
      <c r="AN62" s="55"/>
      <c r="AO62" s="55"/>
      <c r="AP62" s="55"/>
      <c r="AQ62" s="55"/>
      <c r="AR62" s="227"/>
      <c r="AS62" s="55"/>
      <c r="AT62" s="55"/>
      <c r="AU62" s="55"/>
      <c r="AV62" s="55"/>
      <c r="AW62" s="55"/>
      <c r="AX62" s="55"/>
      <c r="AY62" s="55"/>
      <c r="AZ62" s="55"/>
      <c r="BA62" s="55"/>
      <c r="BB62" s="227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157"/>
      <c r="BO62" s="104"/>
      <c r="BP62" s="104"/>
      <c r="BQ62" s="104"/>
      <c r="BR62" s="104"/>
      <c r="BS62" s="104"/>
      <c r="BT62" s="104"/>
      <c r="BU62" s="104"/>
      <c r="BV62" s="104"/>
      <c r="BW62" s="114"/>
      <c r="BX62" s="114"/>
      <c r="BY62" s="114"/>
      <c r="BZ62" s="104"/>
      <c r="CA62" s="104"/>
      <c r="CB62" s="55"/>
      <c r="CC62" s="55"/>
      <c r="CD62" s="55"/>
      <c r="CE62" s="55"/>
      <c r="CF62" s="114"/>
      <c r="CG62" s="114"/>
      <c r="CH62" s="114"/>
      <c r="CI62" s="114"/>
      <c r="CJ62" s="114"/>
      <c r="CK62" s="114"/>
      <c r="CL62" s="114"/>
      <c r="CM62" s="114"/>
      <c r="CN62" s="114"/>
      <c r="CO62" s="104"/>
      <c r="CP62" s="104"/>
      <c r="CQ62" s="104"/>
      <c r="CR62" s="55"/>
      <c r="CS62" s="104"/>
      <c r="CT62" s="104"/>
      <c r="CU62" s="104"/>
    </row>
    <row r="63" spans="1:99">
      <c r="G63" s="104"/>
      <c r="H63" s="104"/>
      <c r="I63" s="122"/>
      <c r="J63" s="55"/>
      <c r="K63" s="55"/>
      <c r="L63" s="55"/>
      <c r="M63" s="55"/>
      <c r="N63" s="55"/>
      <c r="O63" s="55"/>
      <c r="P63" s="55"/>
      <c r="Q63" s="55"/>
      <c r="R63" s="227"/>
      <c r="S63" s="55"/>
      <c r="T63" s="157"/>
      <c r="U63" s="55"/>
      <c r="V63" s="55"/>
      <c r="W63" s="55"/>
      <c r="X63" s="55"/>
      <c r="Y63" s="55"/>
      <c r="Z63" s="227"/>
      <c r="AA63" s="55"/>
      <c r="AB63" s="55"/>
      <c r="AC63" s="55"/>
      <c r="AD63" s="55"/>
      <c r="AE63" s="55"/>
      <c r="AF63" s="227"/>
      <c r="AG63" s="55"/>
      <c r="AH63" s="55"/>
      <c r="AI63" s="55"/>
      <c r="AJ63" s="55"/>
      <c r="AK63" s="55"/>
      <c r="AL63" s="227"/>
      <c r="AM63" s="55"/>
      <c r="AN63" s="55"/>
      <c r="AO63" s="55"/>
      <c r="AP63" s="55"/>
      <c r="AQ63" s="55"/>
      <c r="AR63" s="227"/>
      <c r="AS63" s="55"/>
      <c r="AT63" s="55"/>
      <c r="AU63" s="55"/>
      <c r="AV63" s="55"/>
      <c r="AW63" s="55"/>
      <c r="AX63" s="55"/>
      <c r="AY63" s="55"/>
      <c r="AZ63" s="55"/>
      <c r="BA63" s="55"/>
      <c r="BB63" s="227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157"/>
      <c r="BO63" s="104"/>
      <c r="BP63" s="104"/>
      <c r="BQ63" s="104"/>
      <c r="BR63" s="104"/>
      <c r="BS63" s="104"/>
      <c r="BT63" s="104"/>
      <c r="BU63" s="104"/>
      <c r="BV63" s="104"/>
      <c r="BW63" s="114"/>
      <c r="BX63" s="114"/>
      <c r="BY63" s="114"/>
      <c r="BZ63" s="104"/>
      <c r="CA63" s="104"/>
      <c r="CB63" s="55"/>
      <c r="CC63" s="55"/>
      <c r="CD63" s="55"/>
      <c r="CE63" s="55"/>
      <c r="CF63" s="114"/>
      <c r="CG63" s="114"/>
      <c r="CH63" s="114"/>
      <c r="CI63" s="114"/>
      <c r="CJ63" s="114"/>
      <c r="CK63" s="114"/>
      <c r="CL63" s="114"/>
      <c r="CM63" s="114"/>
      <c r="CN63" s="114"/>
      <c r="CO63" s="104"/>
      <c r="CP63" s="104"/>
      <c r="CQ63" s="104"/>
      <c r="CR63" s="55"/>
      <c r="CS63" s="104"/>
      <c r="CT63" s="104"/>
      <c r="CU63" s="104"/>
    </row>
    <row r="64" spans="1:99">
      <c r="G64" s="104"/>
      <c r="H64" s="104"/>
      <c r="I64" s="122"/>
      <c r="J64" s="55"/>
      <c r="K64" s="55"/>
      <c r="L64" s="55"/>
      <c r="M64" s="55"/>
      <c r="N64" s="55"/>
      <c r="O64" s="55"/>
      <c r="P64" s="55"/>
      <c r="Q64" s="55"/>
      <c r="R64" s="227"/>
      <c r="S64" s="55"/>
      <c r="T64" s="157"/>
      <c r="U64" s="55"/>
      <c r="V64" s="55"/>
      <c r="W64" s="55"/>
      <c r="X64" s="55"/>
      <c r="Y64" s="55"/>
      <c r="Z64" s="227"/>
      <c r="AA64" s="55"/>
      <c r="AB64" s="55"/>
      <c r="AC64" s="55"/>
      <c r="AD64" s="55"/>
      <c r="AE64" s="55"/>
      <c r="AF64" s="227"/>
      <c r="AG64" s="55"/>
      <c r="AH64" s="55"/>
      <c r="AI64" s="55"/>
      <c r="AJ64" s="55"/>
      <c r="AK64" s="55"/>
      <c r="AL64" s="227"/>
      <c r="AM64" s="55"/>
      <c r="AN64" s="55"/>
      <c r="AO64" s="55"/>
      <c r="AP64" s="55"/>
      <c r="AQ64" s="55"/>
      <c r="AR64" s="227"/>
      <c r="AS64" s="55"/>
      <c r="AT64" s="55"/>
      <c r="AU64" s="55"/>
      <c r="AV64" s="55"/>
      <c r="AW64" s="55"/>
      <c r="AX64" s="55"/>
      <c r="AY64" s="55"/>
      <c r="AZ64" s="55"/>
      <c r="BA64" s="55"/>
      <c r="BB64" s="227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157"/>
      <c r="BO64" s="104"/>
      <c r="BP64" s="104"/>
      <c r="BQ64" s="104"/>
      <c r="BR64" s="104"/>
      <c r="BS64" s="104"/>
      <c r="BT64" s="104"/>
      <c r="BU64" s="104"/>
      <c r="BV64" s="104"/>
      <c r="BW64" s="114"/>
      <c r="BX64" s="114"/>
      <c r="BY64" s="114"/>
      <c r="BZ64" s="104"/>
      <c r="CA64" s="104"/>
      <c r="CB64" s="55"/>
      <c r="CC64" s="55"/>
      <c r="CD64" s="55"/>
      <c r="CE64" s="55"/>
      <c r="CF64" s="114"/>
      <c r="CG64" s="114"/>
      <c r="CH64" s="114"/>
      <c r="CI64" s="114"/>
      <c r="CJ64" s="114"/>
      <c r="CK64" s="114"/>
      <c r="CL64" s="114"/>
      <c r="CM64" s="114"/>
      <c r="CN64" s="114"/>
      <c r="CO64" s="104"/>
      <c r="CP64" s="104"/>
      <c r="CQ64" s="104"/>
      <c r="CR64" s="55"/>
      <c r="CS64" s="104"/>
      <c r="CT64" s="104"/>
      <c r="CU64" s="104"/>
    </row>
    <row r="65" spans="7:99">
      <c r="G65" s="104"/>
      <c r="H65" s="104"/>
      <c r="I65" s="122"/>
      <c r="J65" s="55"/>
      <c r="K65" s="55"/>
      <c r="L65" s="55"/>
      <c r="M65" s="55"/>
      <c r="N65" s="55"/>
      <c r="O65" s="55"/>
      <c r="P65" s="55"/>
      <c r="Q65" s="55"/>
      <c r="R65" s="227"/>
      <c r="S65" s="55"/>
      <c r="T65" s="157"/>
      <c r="U65" s="55"/>
      <c r="V65" s="55"/>
      <c r="W65" s="55"/>
      <c r="X65" s="55"/>
      <c r="Y65" s="55"/>
      <c r="Z65" s="227"/>
      <c r="AA65" s="55"/>
      <c r="AB65" s="55"/>
      <c r="AC65" s="55"/>
      <c r="AD65" s="55"/>
      <c r="AE65" s="55"/>
      <c r="AF65" s="227"/>
      <c r="AG65" s="55"/>
      <c r="AH65" s="55"/>
      <c r="AI65" s="55"/>
      <c r="AJ65" s="55"/>
      <c r="AK65" s="55"/>
      <c r="AL65" s="227"/>
      <c r="AM65" s="55"/>
      <c r="AN65" s="55"/>
      <c r="AO65" s="55"/>
      <c r="AP65" s="55"/>
      <c r="AQ65" s="55"/>
      <c r="AR65" s="227"/>
      <c r="AS65" s="55"/>
      <c r="AT65" s="55"/>
      <c r="AU65" s="55"/>
      <c r="AV65" s="55"/>
      <c r="AW65" s="55"/>
      <c r="AX65" s="55"/>
      <c r="AY65" s="55"/>
      <c r="AZ65" s="55"/>
      <c r="BA65" s="55"/>
      <c r="BB65" s="227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157"/>
      <c r="BO65" s="104"/>
      <c r="BP65" s="104"/>
      <c r="BQ65" s="104"/>
      <c r="BR65" s="104"/>
      <c r="BS65" s="104"/>
      <c r="BT65" s="104"/>
      <c r="BU65" s="104"/>
      <c r="BV65" s="104"/>
      <c r="BW65" s="114"/>
      <c r="BX65" s="114"/>
      <c r="BY65" s="114"/>
      <c r="BZ65" s="104"/>
      <c r="CA65" s="104"/>
      <c r="CB65" s="55"/>
      <c r="CC65" s="55"/>
      <c r="CD65" s="55"/>
      <c r="CE65" s="55"/>
      <c r="CF65" s="114"/>
      <c r="CG65" s="114"/>
      <c r="CH65" s="114"/>
      <c r="CI65" s="114"/>
      <c r="CJ65" s="114"/>
      <c r="CK65" s="114"/>
      <c r="CL65" s="114"/>
      <c r="CM65" s="114"/>
      <c r="CN65" s="114"/>
      <c r="CO65" s="104"/>
      <c r="CP65" s="104"/>
      <c r="CQ65" s="104"/>
      <c r="CR65" s="55"/>
      <c r="CS65" s="104"/>
      <c r="CT65" s="104"/>
      <c r="CU65" s="104"/>
    </row>
    <row r="66" spans="7:99">
      <c r="G66" s="104"/>
      <c r="H66" s="104"/>
      <c r="I66" s="122"/>
      <c r="J66" s="55"/>
      <c r="K66" s="55"/>
      <c r="L66" s="55"/>
      <c r="M66" s="55"/>
      <c r="N66" s="55"/>
      <c r="O66" s="55"/>
      <c r="P66" s="55"/>
      <c r="Q66" s="55"/>
      <c r="R66" s="227"/>
      <c r="S66" s="55"/>
      <c r="T66" s="157"/>
      <c r="U66" s="55"/>
      <c r="V66" s="55"/>
      <c r="W66" s="55"/>
      <c r="X66" s="55"/>
      <c r="Y66" s="55"/>
      <c r="Z66" s="227"/>
      <c r="AA66" s="55"/>
      <c r="AB66" s="55"/>
      <c r="AC66" s="55"/>
      <c r="AD66" s="55"/>
      <c r="AE66" s="55"/>
      <c r="AF66" s="227"/>
      <c r="AG66" s="55"/>
      <c r="AH66" s="55"/>
      <c r="AI66" s="55"/>
      <c r="AJ66" s="55"/>
      <c r="AK66" s="55"/>
      <c r="AL66" s="227"/>
      <c r="AM66" s="55"/>
      <c r="AN66" s="55"/>
      <c r="AO66" s="55"/>
      <c r="AP66" s="55"/>
      <c r="AQ66" s="55"/>
      <c r="AR66" s="227"/>
      <c r="AS66" s="55"/>
      <c r="AT66" s="55"/>
      <c r="AU66" s="55"/>
      <c r="AV66" s="55"/>
      <c r="AW66" s="55"/>
      <c r="AX66" s="55"/>
      <c r="AY66" s="55"/>
      <c r="AZ66" s="55"/>
      <c r="BA66" s="55"/>
      <c r="BB66" s="227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157"/>
      <c r="BO66" s="104"/>
      <c r="BP66" s="104"/>
      <c r="BQ66" s="104"/>
      <c r="BR66" s="104"/>
      <c r="BS66" s="104"/>
      <c r="BT66" s="104"/>
      <c r="BU66" s="104"/>
      <c r="BV66" s="104"/>
      <c r="BW66" s="114"/>
      <c r="BX66" s="114"/>
      <c r="BY66" s="114"/>
      <c r="BZ66" s="104"/>
      <c r="CA66" s="104"/>
      <c r="CB66" s="55"/>
      <c r="CC66" s="55"/>
      <c r="CD66" s="55"/>
      <c r="CE66" s="55"/>
      <c r="CF66" s="114"/>
      <c r="CG66" s="114"/>
      <c r="CH66" s="114"/>
      <c r="CI66" s="114"/>
      <c r="CJ66" s="114"/>
      <c r="CK66" s="114"/>
      <c r="CL66" s="114"/>
      <c r="CM66" s="114"/>
      <c r="CN66" s="114"/>
      <c r="CO66" s="104"/>
      <c r="CP66" s="104"/>
      <c r="CQ66" s="104"/>
      <c r="CR66" s="55"/>
      <c r="CS66" s="104"/>
      <c r="CT66" s="104"/>
      <c r="CU66" s="104"/>
    </row>
    <row r="67" spans="7:99">
      <c r="G67" s="104"/>
      <c r="H67" s="104"/>
      <c r="I67" s="122"/>
      <c r="J67" s="55"/>
      <c r="K67" s="55"/>
      <c r="L67" s="55"/>
      <c r="M67" s="55"/>
      <c r="N67" s="55"/>
      <c r="O67" s="55"/>
      <c r="P67" s="55"/>
      <c r="Q67" s="55"/>
      <c r="R67" s="227"/>
      <c r="S67" s="55"/>
      <c r="T67" s="157"/>
      <c r="U67" s="55"/>
      <c r="V67" s="55"/>
      <c r="W67" s="55"/>
      <c r="X67" s="55"/>
      <c r="Y67" s="55"/>
      <c r="Z67" s="227"/>
      <c r="AA67" s="55"/>
      <c r="AB67" s="55"/>
      <c r="AC67" s="55"/>
      <c r="AD67" s="55"/>
      <c r="AE67" s="55"/>
      <c r="AF67" s="227"/>
      <c r="AG67" s="55"/>
      <c r="AH67" s="55"/>
      <c r="AI67" s="55"/>
      <c r="AJ67" s="55"/>
      <c r="AK67" s="55"/>
      <c r="AL67" s="227"/>
      <c r="AM67" s="55"/>
      <c r="AN67" s="55"/>
      <c r="AO67" s="55"/>
      <c r="AP67" s="55"/>
      <c r="AQ67" s="55"/>
      <c r="AR67" s="227"/>
      <c r="AS67" s="55"/>
      <c r="AT67" s="55"/>
      <c r="AU67" s="55"/>
      <c r="AV67" s="55"/>
      <c r="AW67" s="55"/>
      <c r="AX67" s="55"/>
      <c r="AY67" s="55"/>
      <c r="AZ67" s="55"/>
      <c r="BA67" s="55"/>
      <c r="BB67" s="227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157"/>
      <c r="BO67" s="104"/>
      <c r="BP67" s="104"/>
      <c r="BQ67" s="104"/>
      <c r="BR67" s="104"/>
      <c r="BS67" s="104"/>
      <c r="BT67" s="104"/>
      <c r="BU67" s="104"/>
      <c r="BV67" s="104"/>
      <c r="BW67" s="114"/>
      <c r="BX67" s="114"/>
      <c r="BY67" s="114"/>
      <c r="BZ67" s="104"/>
      <c r="CA67" s="104"/>
      <c r="CB67" s="55"/>
      <c r="CC67" s="55"/>
      <c r="CD67" s="55"/>
      <c r="CE67" s="55"/>
      <c r="CF67" s="114"/>
      <c r="CG67" s="114"/>
      <c r="CH67" s="114"/>
      <c r="CI67" s="114"/>
      <c r="CJ67" s="114"/>
      <c r="CK67" s="114"/>
      <c r="CL67" s="114"/>
      <c r="CM67" s="114"/>
      <c r="CN67" s="114"/>
      <c r="CO67" s="104"/>
      <c r="CP67" s="104"/>
      <c r="CQ67" s="104"/>
      <c r="CR67" s="55"/>
      <c r="CS67" s="104"/>
      <c r="CT67" s="104"/>
      <c r="CU67" s="104"/>
    </row>
    <row r="68" spans="7:99">
      <c r="G68" s="104"/>
      <c r="H68" s="104"/>
      <c r="I68" s="122"/>
      <c r="J68" s="55"/>
      <c r="K68" s="55"/>
      <c r="L68" s="55"/>
      <c r="M68" s="55"/>
      <c r="N68" s="55"/>
      <c r="O68" s="55"/>
      <c r="P68" s="55"/>
      <c r="Q68" s="55"/>
      <c r="R68" s="227"/>
      <c r="S68" s="55"/>
      <c r="T68" s="157"/>
      <c r="U68" s="55"/>
      <c r="V68" s="55"/>
      <c r="W68" s="55"/>
      <c r="X68" s="55"/>
      <c r="Y68" s="55"/>
      <c r="Z68" s="227"/>
      <c r="AA68" s="55"/>
      <c r="AB68" s="55"/>
      <c r="AC68" s="55"/>
      <c r="AD68" s="55"/>
      <c r="AE68" s="55"/>
      <c r="AF68" s="227"/>
      <c r="AG68" s="55"/>
      <c r="AH68" s="55"/>
      <c r="AI68" s="55"/>
      <c r="AJ68" s="55"/>
      <c r="AK68" s="55"/>
      <c r="AL68" s="227"/>
      <c r="AM68" s="55"/>
      <c r="AN68" s="55"/>
      <c r="AO68" s="55"/>
      <c r="AP68" s="55"/>
      <c r="AQ68" s="55"/>
      <c r="AR68" s="227"/>
      <c r="AS68" s="55"/>
      <c r="AT68" s="55"/>
      <c r="AU68" s="55"/>
      <c r="AV68" s="55"/>
      <c r="AW68" s="55"/>
      <c r="AX68" s="55"/>
      <c r="AY68" s="55"/>
      <c r="AZ68" s="55"/>
      <c r="BA68" s="55"/>
      <c r="BB68" s="227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157"/>
      <c r="BO68" s="104"/>
      <c r="BP68" s="104"/>
      <c r="BQ68" s="104"/>
      <c r="BR68" s="104"/>
      <c r="BS68" s="104"/>
      <c r="BT68" s="104"/>
      <c r="BU68" s="104"/>
      <c r="BV68" s="104"/>
      <c r="BW68" s="114"/>
      <c r="BX68" s="114"/>
      <c r="BY68" s="114"/>
      <c r="BZ68" s="104"/>
      <c r="CA68" s="104"/>
      <c r="CB68" s="55"/>
      <c r="CC68" s="55"/>
      <c r="CD68" s="55"/>
      <c r="CE68" s="55"/>
      <c r="CF68" s="114"/>
      <c r="CG68" s="114"/>
      <c r="CH68" s="114"/>
      <c r="CI68" s="114"/>
      <c r="CJ68" s="114"/>
      <c r="CK68" s="114"/>
      <c r="CL68" s="114"/>
      <c r="CM68" s="114"/>
      <c r="CN68" s="114"/>
      <c r="CO68" s="104"/>
      <c r="CP68" s="104"/>
      <c r="CQ68" s="104"/>
      <c r="CR68" s="55"/>
      <c r="CS68" s="104"/>
      <c r="CT68" s="104"/>
      <c r="CU68" s="104"/>
    </row>
    <row r="69" spans="7:99">
      <c r="G69" s="104"/>
      <c r="H69" s="104"/>
      <c r="I69" s="122"/>
      <c r="J69" s="55"/>
      <c r="K69" s="55"/>
      <c r="L69" s="55"/>
      <c r="M69" s="55"/>
      <c r="N69" s="55"/>
      <c r="O69" s="55"/>
      <c r="P69" s="55"/>
      <c r="Q69" s="55"/>
      <c r="R69" s="227"/>
      <c r="S69" s="55"/>
      <c r="T69" s="157"/>
      <c r="U69" s="55"/>
      <c r="V69" s="55"/>
      <c r="W69" s="55"/>
      <c r="X69" s="55"/>
      <c r="Y69" s="55"/>
      <c r="Z69" s="227"/>
      <c r="AA69" s="55"/>
      <c r="AB69" s="55"/>
      <c r="AC69" s="55"/>
      <c r="AD69" s="55"/>
      <c r="AE69" s="55"/>
      <c r="AF69" s="227"/>
      <c r="AG69" s="55"/>
      <c r="AH69" s="55"/>
      <c r="AI69" s="55"/>
      <c r="AJ69" s="55"/>
      <c r="AK69" s="55"/>
      <c r="AL69" s="227"/>
      <c r="AM69" s="55"/>
      <c r="AN69" s="55"/>
      <c r="AO69" s="55"/>
      <c r="AP69" s="55"/>
      <c r="AQ69" s="55"/>
      <c r="AR69" s="227"/>
      <c r="AS69" s="55"/>
      <c r="AT69" s="55"/>
      <c r="AU69" s="55"/>
      <c r="AV69" s="55"/>
      <c r="AW69" s="55"/>
      <c r="AX69" s="55"/>
      <c r="AY69" s="55"/>
      <c r="AZ69" s="55"/>
      <c r="BA69" s="55"/>
      <c r="BB69" s="227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157"/>
      <c r="BO69" s="104"/>
      <c r="BP69" s="104"/>
      <c r="BQ69" s="104"/>
      <c r="BR69" s="104"/>
      <c r="BS69" s="104"/>
      <c r="BT69" s="104"/>
      <c r="BU69" s="104"/>
      <c r="BV69" s="104"/>
      <c r="BW69" s="114"/>
      <c r="BX69" s="114"/>
      <c r="BY69" s="114"/>
      <c r="BZ69" s="104"/>
      <c r="CA69" s="104"/>
      <c r="CB69" s="55"/>
      <c r="CC69" s="55"/>
      <c r="CD69" s="55"/>
      <c r="CE69" s="55"/>
      <c r="CF69" s="114"/>
      <c r="CG69" s="114"/>
      <c r="CH69" s="114"/>
      <c r="CI69" s="114"/>
      <c r="CJ69" s="114"/>
      <c r="CK69" s="114"/>
      <c r="CL69" s="114"/>
      <c r="CM69" s="114"/>
      <c r="CN69" s="114"/>
      <c r="CO69" s="104"/>
      <c r="CP69" s="104"/>
      <c r="CQ69" s="104"/>
      <c r="CR69" s="55"/>
      <c r="CS69" s="104"/>
      <c r="CT69" s="104"/>
      <c r="CU69" s="104"/>
    </row>
    <row r="70" spans="7:99">
      <c r="G70" s="104"/>
      <c r="H70" s="104"/>
      <c r="I70" s="122"/>
      <c r="J70" s="55"/>
      <c r="K70" s="55"/>
      <c r="L70" s="55"/>
      <c r="M70" s="55"/>
      <c r="N70" s="55"/>
      <c r="O70" s="55"/>
      <c r="P70" s="55"/>
      <c r="Q70" s="55"/>
      <c r="R70" s="227"/>
      <c r="S70" s="55"/>
      <c r="T70" s="157"/>
      <c r="U70" s="55"/>
      <c r="V70" s="55"/>
      <c r="W70" s="55"/>
      <c r="X70" s="55"/>
      <c r="Y70" s="55"/>
      <c r="Z70" s="227"/>
      <c r="AA70" s="55"/>
      <c r="AB70" s="55"/>
      <c r="AC70" s="55"/>
      <c r="AD70" s="55"/>
      <c r="AE70" s="55"/>
      <c r="AF70" s="227"/>
      <c r="AG70" s="55"/>
      <c r="AH70" s="55"/>
      <c r="AI70" s="55"/>
      <c r="AJ70" s="55"/>
      <c r="AK70" s="55"/>
      <c r="AL70" s="227"/>
      <c r="AM70" s="55"/>
      <c r="AN70" s="55"/>
      <c r="AO70" s="55"/>
      <c r="AP70" s="55"/>
      <c r="AQ70" s="55"/>
      <c r="AR70" s="227"/>
      <c r="AS70" s="55"/>
      <c r="AT70" s="55"/>
      <c r="AU70" s="55"/>
      <c r="AV70" s="55"/>
      <c r="AW70" s="55"/>
      <c r="AX70" s="55"/>
      <c r="AY70" s="55"/>
      <c r="AZ70" s="55"/>
      <c r="BA70" s="55"/>
      <c r="BB70" s="227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157"/>
      <c r="BO70" s="104"/>
      <c r="BP70" s="104"/>
      <c r="BQ70" s="104"/>
      <c r="BR70" s="104"/>
      <c r="BS70" s="104"/>
      <c r="BT70" s="104"/>
      <c r="BU70" s="104"/>
      <c r="BV70" s="104"/>
      <c r="BW70" s="114"/>
      <c r="BX70" s="114"/>
      <c r="BY70" s="114"/>
      <c r="BZ70" s="104"/>
      <c r="CA70" s="104"/>
      <c r="CB70" s="55"/>
      <c r="CC70" s="55"/>
      <c r="CD70" s="55"/>
      <c r="CE70" s="55"/>
      <c r="CF70" s="114"/>
      <c r="CG70" s="114"/>
      <c r="CH70" s="114"/>
      <c r="CI70" s="114"/>
      <c r="CJ70" s="114"/>
      <c r="CK70" s="114"/>
      <c r="CL70" s="114"/>
      <c r="CM70" s="114"/>
      <c r="CN70" s="114"/>
      <c r="CO70" s="104"/>
      <c r="CP70" s="104"/>
      <c r="CQ70" s="104"/>
      <c r="CR70" s="55"/>
      <c r="CS70" s="104"/>
      <c r="CT70" s="104"/>
      <c r="CU70" s="104"/>
    </row>
    <row r="71" spans="7:99">
      <c r="G71" s="104"/>
      <c r="H71" s="104"/>
      <c r="I71" s="122"/>
      <c r="J71" s="55"/>
      <c r="K71" s="55"/>
      <c r="L71" s="55"/>
      <c r="M71" s="55"/>
      <c r="N71" s="55"/>
      <c r="O71" s="55"/>
      <c r="P71" s="55"/>
      <c r="Q71" s="55"/>
      <c r="R71" s="227"/>
      <c r="S71" s="55"/>
      <c r="T71" s="157"/>
      <c r="U71" s="55"/>
      <c r="V71" s="55"/>
      <c r="W71" s="55"/>
      <c r="X71" s="55"/>
      <c r="Y71" s="55"/>
      <c r="Z71" s="227"/>
      <c r="AA71" s="55"/>
      <c r="AB71" s="55"/>
      <c r="AC71" s="55"/>
      <c r="AD71" s="55"/>
      <c r="AE71" s="55"/>
      <c r="AF71" s="227"/>
      <c r="AG71" s="55"/>
      <c r="AH71" s="55"/>
      <c r="AI71" s="55"/>
      <c r="AJ71" s="55"/>
      <c r="AK71" s="55"/>
      <c r="AL71" s="227"/>
      <c r="AM71" s="55"/>
      <c r="AN71" s="55"/>
      <c r="AO71" s="55"/>
      <c r="AP71" s="55"/>
      <c r="AQ71" s="55"/>
      <c r="AR71" s="227"/>
      <c r="AS71" s="55"/>
      <c r="AT71" s="55"/>
      <c r="AU71" s="55"/>
      <c r="AV71" s="55"/>
      <c r="AW71" s="55"/>
      <c r="AX71" s="55"/>
      <c r="AY71" s="55"/>
      <c r="AZ71" s="55"/>
      <c r="BA71" s="55"/>
      <c r="BB71" s="227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157"/>
      <c r="BO71" s="104"/>
      <c r="BP71" s="104"/>
      <c r="BQ71" s="104"/>
      <c r="BR71" s="104"/>
      <c r="BS71" s="104"/>
      <c r="BT71" s="104"/>
      <c r="BU71" s="104"/>
      <c r="BV71" s="104"/>
      <c r="BW71" s="114"/>
      <c r="BX71" s="114"/>
      <c r="BY71" s="114"/>
      <c r="BZ71" s="104"/>
      <c r="CA71" s="104"/>
      <c r="CB71" s="55"/>
      <c r="CC71" s="55"/>
      <c r="CD71" s="55"/>
      <c r="CE71" s="55"/>
      <c r="CF71" s="114"/>
      <c r="CG71" s="114"/>
      <c r="CH71" s="114"/>
      <c r="CI71" s="114"/>
      <c r="CJ71" s="114"/>
      <c r="CK71" s="114"/>
      <c r="CL71" s="114"/>
      <c r="CM71" s="114"/>
      <c r="CN71" s="114"/>
      <c r="CO71" s="104"/>
      <c r="CP71" s="104"/>
      <c r="CQ71" s="104"/>
      <c r="CR71" s="55"/>
      <c r="CS71" s="104"/>
      <c r="CT71" s="104"/>
      <c r="CU71" s="104"/>
    </row>
    <row r="72" spans="7:99">
      <c r="G72" s="104"/>
      <c r="H72" s="104"/>
      <c r="I72" s="122"/>
      <c r="J72" s="55"/>
      <c r="K72" s="55"/>
      <c r="L72" s="55"/>
      <c r="M72" s="55"/>
      <c r="N72" s="55"/>
      <c r="O72" s="55"/>
      <c r="P72" s="55"/>
      <c r="Q72" s="55"/>
      <c r="R72" s="227"/>
      <c r="S72" s="55"/>
      <c r="T72" s="157"/>
      <c r="U72" s="55"/>
      <c r="V72" s="55"/>
      <c r="W72" s="55"/>
      <c r="X72" s="55"/>
      <c r="Y72" s="55"/>
      <c r="Z72" s="227"/>
      <c r="AA72" s="55"/>
      <c r="AB72" s="55"/>
      <c r="AC72" s="55"/>
      <c r="AD72" s="55"/>
      <c r="AE72" s="55"/>
      <c r="AF72" s="227"/>
      <c r="AG72" s="55"/>
      <c r="AH72" s="55"/>
      <c r="AI72" s="55"/>
      <c r="AJ72" s="55"/>
      <c r="AK72" s="55"/>
      <c r="AL72" s="227"/>
      <c r="AM72" s="55"/>
      <c r="AN72" s="55"/>
      <c r="AO72" s="55"/>
      <c r="AP72" s="55"/>
      <c r="AQ72" s="55"/>
      <c r="AR72" s="227"/>
      <c r="AS72" s="55"/>
      <c r="AT72" s="55"/>
      <c r="AU72" s="55"/>
      <c r="AV72" s="55"/>
      <c r="AW72" s="55"/>
      <c r="AX72" s="55"/>
      <c r="AY72" s="55"/>
      <c r="AZ72" s="55"/>
      <c r="BA72" s="55"/>
      <c r="BB72" s="227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157"/>
      <c r="BO72" s="104"/>
      <c r="BP72" s="104"/>
      <c r="BQ72" s="104"/>
      <c r="BR72" s="104"/>
      <c r="BS72" s="104"/>
      <c r="BT72" s="104"/>
      <c r="BU72" s="104"/>
      <c r="BV72" s="104"/>
      <c r="BW72" s="114"/>
      <c r="BX72" s="114"/>
      <c r="BY72" s="114"/>
      <c r="BZ72" s="104"/>
      <c r="CA72" s="104"/>
      <c r="CB72" s="55"/>
      <c r="CC72" s="55"/>
      <c r="CD72" s="55"/>
      <c r="CE72" s="55"/>
      <c r="CF72" s="114"/>
      <c r="CG72" s="114"/>
      <c r="CH72" s="114"/>
      <c r="CI72" s="114"/>
      <c r="CJ72" s="114"/>
      <c r="CK72" s="114"/>
      <c r="CL72" s="114"/>
      <c r="CM72" s="114"/>
      <c r="CN72" s="114"/>
      <c r="CO72" s="104"/>
      <c r="CP72" s="104"/>
      <c r="CQ72" s="104"/>
      <c r="CR72" s="55"/>
      <c r="CS72" s="104"/>
      <c r="CT72" s="104"/>
      <c r="CU72" s="104"/>
    </row>
    <row r="73" spans="7:99">
      <c r="G73" s="104"/>
      <c r="H73" s="104"/>
      <c r="I73" s="122"/>
      <c r="J73" s="55"/>
      <c r="K73" s="55"/>
      <c r="L73" s="55"/>
      <c r="M73" s="55"/>
      <c r="N73" s="55"/>
      <c r="O73" s="55"/>
      <c r="P73" s="55"/>
      <c r="Q73" s="55"/>
      <c r="R73" s="227"/>
      <c r="S73" s="55"/>
      <c r="T73" s="157"/>
      <c r="U73" s="55"/>
      <c r="V73" s="55"/>
      <c r="W73" s="55"/>
      <c r="X73" s="55"/>
      <c r="Y73" s="55"/>
      <c r="Z73" s="227"/>
      <c r="AA73" s="55"/>
      <c r="AB73" s="55"/>
      <c r="AC73" s="55"/>
      <c r="AD73" s="55"/>
      <c r="AE73" s="55"/>
      <c r="AF73" s="227"/>
      <c r="AG73" s="55"/>
      <c r="AH73" s="55"/>
      <c r="AI73" s="55"/>
      <c r="AJ73" s="55"/>
      <c r="AK73" s="55"/>
      <c r="AL73" s="227"/>
      <c r="AM73" s="55"/>
      <c r="AN73" s="55"/>
      <c r="AO73" s="55"/>
      <c r="AP73" s="55"/>
      <c r="AQ73" s="55"/>
      <c r="AR73" s="227"/>
      <c r="AS73" s="55"/>
      <c r="AT73" s="55"/>
      <c r="AU73" s="55"/>
      <c r="AV73" s="55"/>
      <c r="AW73" s="55"/>
      <c r="AX73" s="55"/>
      <c r="AY73" s="55"/>
      <c r="AZ73" s="55"/>
      <c r="BA73" s="55"/>
      <c r="BB73" s="227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157"/>
      <c r="BO73" s="104"/>
      <c r="BP73" s="104"/>
      <c r="BQ73" s="104"/>
      <c r="BR73" s="104"/>
      <c r="BS73" s="104"/>
      <c r="BT73" s="104"/>
      <c r="BU73" s="104"/>
      <c r="BV73" s="104"/>
      <c r="BW73" s="114"/>
      <c r="BX73" s="114"/>
      <c r="BY73" s="114"/>
      <c r="BZ73" s="104"/>
      <c r="CA73" s="104"/>
      <c r="CB73" s="55"/>
      <c r="CC73" s="55"/>
      <c r="CD73" s="55"/>
      <c r="CE73" s="55"/>
      <c r="CF73" s="114"/>
      <c r="CG73" s="114"/>
      <c r="CH73" s="114"/>
      <c r="CI73" s="114"/>
      <c r="CJ73" s="114"/>
      <c r="CK73" s="114"/>
      <c r="CL73" s="114"/>
      <c r="CM73" s="114"/>
      <c r="CN73" s="114"/>
      <c r="CO73" s="104"/>
      <c r="CP73" s="104"/>
      <c r="CQ73" s="104"/>
      <c r="CR73" s="55"/>
      <c r="CS73" s="104"/>
      <c r="CT73" s="104"/>
      <c r="CU73" s="104"/>
    </row>
    <row r="74" spans="7:99">
      <c r="AQ74" s="55"/>
      <c r="AR74" s="227"/>
      <c r="AS74" s="55"/>
      <c r="AT74" s="55"/>
      <c r="AU74" s="55"/>
      <c r="AV74" s="55"/>
      <c r="AW74" s="55"/>
      <c r="AX74" s="55"/>
      <c r="AY74" s="55"/>
      <c r="AZ74" s="55"/>
      <c r="BA74" s="55"/>
      <c r="BB74" s="227"/>
      <c r="BC74" s="55"/>
      <c r="BO74" s="104"/>
    </row>
    <row r="75" spans="7:99">
      <c r="AQ75" s="55"/>
      <c r="AR75" s="227"/>
      <c r="AS75" s="55"/>
      <c r="AT75" s="55"/>
      <c r="AU75" s="55"/>
      <c r="AV75" s="55"/>
      <c r="AW75" s="55"/>
      <c r="AX75" s="55"/>
      <c r="AY75" s="55"/>
      <c r="AZ75" s="55"/>
      <c r="BA75" s="55"/>
      <c r="BB75" s="227"/>
      <c r="BC75" s="55"/>
    </row>
    <row r="86" spans="95:106">
      <c r="CQ86" s="53"/>
      <c r="CR86" s="53"/>
      <c r="CS86" s="53"/>
      <c r="CT86" s="53"/>
      <c r="CU86" s="53"/>
      <c r="CV86" s="53"/>
      <c r="CW86" s="71"/>
      <c r="CX86" s="53"/>
      <c r="CY86" s="53"/>
      <c r="CZ86" s="53"/>
      <c r="DA86" s="125"/>
      <c r="DB86" s="53"/>
    </row>
    <row r="87" spans="95:106">
      <c r="CQ87" s="53"/>
      <c r="CR87" s="53"/>
      <c r="CS87" s="53"/>
      <c r="CT87" s="53"/>
      <c r="CU87" s="53"/>
      <c r="CV87" s="53"/>
      <c r="CW87" s="71"/>
      <c r="CX87" s="53"/>
      <c r="CY87" s="81"/>
      <c r="CZ87" s="81"/>
      <c r="DA87" s="53"/>
      <c r="DB87" s="53"/>
    </row>
    <row r="88" spans="95:106">
      <c r="CQ88" s="53"/>
      <c r="CR88" s="53"/>
      <c r="CS88" s="53"/>
      <c r="CT88" s="53"/>
      <c r="CU88" s="53"/>
      <c r="CV88" s="53"/>
      <c r="CW88" s="71"/>
      <c r="CX88" s="53"/>
      <c r="CY88" s="81"/>
      <c r="CZ88" s="81"/>
      <c r="DA88" s="81"/>
      <c r="DB88" s="81"/>
    </row>
    <row r="89" spans="95:106">
      <c r="CQ89" s="91"/>
      <c r="CR89" s="91"/>
      <c r="CS89" s="91"/>
      <c r="CT89" s="91"/>
      <c r="CU89" s="91"/>
      <c r="CV89" s="91"/>
      <c r="CW89" s="71"/>
      <c r="CX89" s="91"/>
      <c r="CY89" s="126"/>
      <c r="CZ89" s="126"/>
      <c r="DA89" s="91"/>
      <c r="DB89" s="91"/>
    </row>
    <row r="90" spans="95:106">
      <c r="CQ90" s="104"/>
      <c r="CR90" s="104"/>
      <c r="CS90" s="104"/>
      <c r="CT90" s="104"/>
      <c r="CU90" s="104"/>
      <c r="CV90" s="104"/>
      <c r="CW90" s="117"/>
      <c r="CX90" s="104"/>
      <c r="CY90" s="104"/>
      <c r="CZ90" s="104"/>
      <c r="DA90" s="104"/>
      <c r="DB90" s="104"/>
    </row>
  </sheetData>
  <printOptions gridLines="1"/>
  <pageMargins left="0" right="0" top="1" bottom="1" header="0.5" footer="0.5"/>
  <pageSetup paperSize="5" scale="55" orientation="landscape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E16"/>
  <sheetViews>
    <sheetView workbookViewId="0">
      <selection activeCell="C16" sqref="C16"/>
    </sheetView>
  </sheetViews>
  <sheetFormatPr defaultRowHeight="12.75"/>
  <cols>
    <col min="2" max="2" width="10.140625" customWidth="1"/>
    <col min="3" max="3" width="12.28515625" bestFit="1" customWidth="1"/>
    <col min="4" max="4" width="10.28515625" bestFit="1" customWidth="1"/>
  </cols>
  <sheetData>
    <row r="1" spans="2:5">
      <c r="B1" s="36" t="s">
        <v>151</v>
      </c>
      <c r="C1" s="36"/>
      <c r="D1" s="36"/>
    </row>
    <row r="2" spans="2:5">
      <c r="B2" s="36" t="s">
        <v>154</v>
      </c>
      <c r="C2" s="36" t="s">
        <v>153</v>
      </c>
      <c r="D2" s="36" t="s">
        <v>152</v>
      </c>
      <c r="E2" s="36" t="s">
        <v>157</v>
      </c>
    </row>
    <row r="3" spans="2:5">
      <c r="B3" s="36"/>
      <c r="C3" s="36"/>
      <c r="D3" s="36"/>
    </row>
    <row r="4" spans="2:5">
      <c r="B4" s="143">
        <f>D4/(1-C4)</f>
        <v>403.53596840251282</v>
      </c>
      <c r="C4" s="148">
        <v>3.3543400000000001E-2</v>
      </c>
      <c r="D4" s="143">
        <v>390</v>
      </c>
      <c r="E4">
        <f>B4*C4</f>
        <v>13.535968402512848</v>
      </c>
    </row>
    <row r="5" spans="2:5">
      <c r="C5" s="147"/>
    </row>
    <row r="7" spans="2:5">
      <c r="B7" s="36" t="s">
        <v>155</v>
      </c>
      <c r="C7" s="36"/>
    </row>
    <row r="8" spans="2:5">
      <c r="B8" s="36" t="s">
        <v>154</v>
      </c>
      <c r="C8" s="36" t="s">
        <v>153</v>
      </c>
      <c r="D8" s="36"/>
      <c r="E8" s="36" t="s">
        <v>152</v>
      </c>
    </row>
    <row r="10" spans="2:5">
      <c r="B10" s="143">
        <v>66436</v>
      </c>
      <c r="C10" s="18">
        <v>8.0389999999999993E-3</v>
      </c>
      <c r="D10" s="143">
        <f>B10*C10</f>
        <v>534.07900399999994</v>
      </c>
      <c r="E10" s="145">
        <f>B10-D10</f>
        <v>65901.920996000001</v>
      </c>
    </row>
    <row r="11" spans="2:5">
      <c r="C11" s="146"/>
    </row>
    <row r="13" spans="2:5">
      <c r="B13" s="36" t="s">
        <v>156</v>
      </c>
      <c r="C13" s="36"/>
    </row>
    <row r="14" spans="2:5">
      <c r="B14" s="36" t="s">
        <v>154</v>
      </c>
      <c r="C14" s="36" t="s">
        <v>153</v>
      </c>
      <c r="D14" s="36" t="s">
        <v>152</v>
      </c>
    </row>
    <row r="16" spans="2:5">
      <c r="B16" s="143">
        <f>D16/(1-C16)</f>
        <v>15041.743847525653</v>
      </c>
      <c r="C16" s="8">
        <v>2.7751999999999998E-3</v>
      </c>
      <c r="D16">
        <v>15000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A12" sqref="A12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zoomScaleNormal="100" workbookViewId="0">
      <selection activeCell="AB30" sqref="AB30:AC30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"/>
  <sheetViews>
    <sheetView topLeftCell="B1" zoomScaleNormal="100" workbookViewId="0">
      <selection activeCell="B1" sqref="B1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Sithe sept</vt:lpstr>
      <vt:lpstr>Central sept</vt:lpstr>
      <vt:lpstr>calcuations</vt:lpstr>
      <vt:lpstr>May rates</vt:lpstr>
      <vt:lpstr>June rates</vt:lpstr>
      <vt:lpstr>July rates</vt:lpstr>
      <vt:lpstr>'Central sept'!DAWNKIRK</vt:lpstr>
      <vt:lpstr>'Sithe sept'!DAWNKIRK</vt:lpstr>
      <vt:lpstr>'Central sept'!empplant</vt:lpstr>
      <vt:lpstr>'Sithe sept'!empplant</vt:lpstr>
      <vt:lpstr>'Central sept'!FARSTCL</vt:lpstr>
      <vt:lpstr>'Sithe sept'!FARSTCL</vt:lpstr>
      <vt:lpstr>'Central sept'!HVCHIP</vt:lpstr>
      <vt:lpstr>'Sithe sept'!HVCHIP</vt:lpstr>
      <vt:lpstr>'Central sept'!HVDAWN</vt:lpstr>
      <vt:lpstr>'Sithe sept'!HVDAWN</vt:lpstr>
      <vt:lpstr>'Central sept'!HVKIRK</vt:lpstr>
      <vt:lpstr>'Sithe sept'!HVKIRK</vt:lpstr>
      <vt:lpstr>'Central sept'!HVOJIB</vt:lpstr>
      <vt:lpstr>'Sithe sept'!HVOJIB</vt:lpstr>
      <vt:lpstr>'Central sept'!HVSTCL</vt:lpstr>
      <vt:lpstr>'Sithe sept'!HVSTCL</vt:lpstr>
      <vt:lpstr>'Central sept'!KIRKCHIP</vt:lpstr>
      <vt:lpstr>'Sithe sept'!KIRKCHIP</vt:lpstr>
      <vt:lpstr>'Central sept'!M</vt:lpstr>
      <vt:lpstr>'Sithe sept'!M</vt:lpstr>
      <vt:lpstr>'Central sept'!Print_Area</vt:lpstr>
      <vt:lpstr>'Central sept'!Print_Titles</vt:lpstr>
      <vt:lpstr>'Sithe sept'!Print_Titles</vt:lpstr>
      <vt:lpstr>'Central sept'!STCLAIRCHIP</vt:lpstr>
      <vt:lpstr>'Sithe sept'!STCLAIRCHIP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mschrab</dc:creator>
  <cp:lastModifiedBy>Felienne</cp:lastModifiedBy>
  <cp:lastPrinted>2000-09-01T16:39:12Z</cp:lastPrinted>
  <dcterms:created xsi:type="dcterms:W3CDTF">2000-01-27T19:53:34Z</dcterms:created>
  <dcterms:modified xsi:type="dcterms:W3CDTF">2014-09-05T06:39:32Z</dcterms:modified>
</cp:coreProperties>
</file>