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3825" windowHeight="8325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DAILY!$A$1:$Z$71</definedName>
    <definedName name="_xlnm.Print_Area" localSheetId="0">WEEKEND!$A$1:$O$54</definedName>
  </definedNames>
  <calcPr calcId="152511"/>
</workbook>
</file>

<file path=xl/calcChain.xml><?xml version="1.0" encoding="utf-8"?>
<calcChain xmlns="http://schemas.openxmlformats.org/spreadsheetml/2006/main">
  <c r="B1" i="9" l="1"/>
  <c r="S1" i="9"/>
  <c r="W1" i="9"/>
  <c r="B2" i="9"/>
  <c r="S2" i="9"/>
  <c r="W2" i="9"/>
  <c r="AK2" i="9"/>
  <c r="AO2" i="9" s="1"/>
  <c r="AL2" i="9"/>
  <c r="AM2" i="9"/>
  <c r="AP2" i="9"/>
  <c r="S3" i="9"/>
  <c r="W3" i="9"/>
  <c r="AE3" i="9"/>
  <c r="AI3" i="9"/>
  <c r="AI4" i="9" s="1"/>
  <c r="AI5" i="9" s="1"/>
  <c r="AI6" i="9" s="1"/>
  <c r="AI7" i="9" s="1"/>
  <c r="AI8" i="9" s="1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27" i="9" s="1"/>
  <c r="AI28" i="9" s="1"/>
  <c r="AI29" i="9" s="1"/>
  <c r="AI30" i="9" s="1"/>
  <c r="AI31" i="9" s="1"/>
  <c r="AK3" i="9"/>
  <c r="AO3" i="9" s="1"/>
  <c r="AL3" i="9"/>
  <c r="AM3" i="9"/>
  <c r="AP3" i="9"/>
  <c r="D4" i="9"/>
  <c r="AE4" i="9"/>
  <c r="AK4" i="9"/>
  <c r="AO4" i="9" s="1"/>
  <c r="AL4" i="9"/>
  <c r="AM4" i="9"/>
  <c r="AP4" i="9"/>
  <c r="L5" i="9"/>
  <c r="M5" i="9"/>
  <c r="AE5" i="9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K5" i="9"/>
  <c r="AL5" i="9"/>
  <c r="AM5" i="9"/>
  <c r="AO5" i="9"/>
  <c r="AP5" i="9"/>
  <c r="L6" i="9"/>
  <c r="R6" i="11" s="1"/>
  <c r="R8" i="11" s="1"/>
  <c r="M6" i="9"/>
  <c r="M8" i="9" s="1"/>
  <c r="N8" i="9" s="1"/>
  <c r="N6" i="9"/>
  <c r="AK6" i="9"/>
  <c r="AL6" i="9"/>
  <c r="AM6" i="9"/>
  <c r="AO6" i="9"/>
  <c r="AP6" i="9"/>
  <c r="N7" i="9"/>
  <c r="AK7" i="9"/>
  <c r="AL7" i="9"/>
  <c r="AM7" i="9"/>
  <c r="AO7" i="9"/>
  <c r="AP7" i="9"/>
  <c r="L8" i="9"/>
  <c r="AK8" i="9"/>
  <c r="AL8" i="9"/>
  <c r="AM8" i="9"/>
  <c r="AO8" i="9"/>
  <c r="AP8" i="9"/>
  <c r="AK9" i="9"/>
  <c r="AL9" i="9"/>
  <c r="AM9" i="9"/>
  <c r="AO9" i="9"/>
  <c r="AP9" i="9"/>
  <c r="B10" i="9"/>
  <c r="AC10" i="9"/>
  <c r="AK10" i="9"/>
  <c r="AL10" i="9"/>
  <c r="AM10" i="9"/>
  <c r="AO10" i="9"/>
  <c r="AP10" i="9"/>
  <c r="AK11" i="9"/>
  <c r="AL11" i="9"/>
  <c r="AM11" i="9"/>
  <c r="AO11" i="9"/>
  <c r="AP11" i="9"/>
  <c r="B12" i="9"/>
  <c r="AK12" i="9"/>
  <c r="AL12" i="9"/>
  <c r="AM12" i="9"/>
  <c r="AO12" i="9"/>
  <c r="AP12" i="9"/>
  <c r="AK13" i="9"/>
  <c r="AL13" i="9"/>
  <c r="AM13" i="9"/>
  <c r="AO13" i="9"/>
  <c r="AP13" i="9"/>
  <c r="F14" i="9"/>
  <c r="AK14" i="9"/>
  <c r="AL14" i="9"/>
  <c r="AM14" i="9"/>
  <c r="AO14" i="9"/>
  <c r="AP14" i="9"/>
  <c r="AK15" i="9"/>
  <c r="AL15" i="9"/>
  <c r="AM15" i="9"/>
  <c r="AO15" i="9"/>
  <c r="AP15" i="9"/>
  <c r="AK16" i="9"/>
  <c r="AL16" i="9"/>
  <c r="AM16" i="9"/>
  <c r="AO16" i="9"/>
  <c r="AP16" i="9"/>
  <c r="AK17" i="9"/>
  <c r="AO17" i="9" s="1"/>
  <c r="AL17" i="9"/>
  <c r="AM17" i="9"/>
  <c r="AP17" i="9"/>
  <c r="AK18" i="9"/>
  <c r="AO18" i="9" s="1"/>
  <c r="AL18" i="9"/>
  <c r="AM18" i="9"/>
  <c r="AP18" i="9"/>
  <c r="AC19" i="9"/>
  <c r="AK19" i="9"/>
  <c r="AO19" i="9" s="1"/>
  <c r="AL19" i="9"/>
  <c r="AM19" i="9"/>
  <c r="AP19" i="9"/>
  <c r="AC20" i="9"/>
  <c r="AK20" i="9"/>
  <c r="AO20" i="9" s="1"/>
  <c r="AL20" i="9"/>
  <c r="AM20" i="9"/>
  <c r="AP20" i="9"/>
  <c r="AC21" i="9"/>
  <c r="AK21" i="9"/>
  <c r="AO21" i="9" s="1"/>
  <c r="AL21" i="9"/>
  <c r="AP21" i="9"/>
  <c r="AC22" i="9"/>
  <c r="AK22" i="9"/>
  <c r="AO22" i="9" s="1"/>
  <c r="AL22" i="9"/>
  <c r="AP22" i="9"/>
  <c r="AK23" i="9"/>
  <c r="AL23" i="9"/>
  <c r="AO23" i="9"/>
  <c r="AK24" i="9"/>
  <c r="AL24" i="9"/>
  <c r="AO24" i="9"/>
  <c r="AK25" i="9"/>
  <c r="AO25" i="9" s="1"/>
  <c r="AL25" i="9"/>
  <c r="B26" i="9"/>
  <c r="C22" i="9" s="1"/>
  <c r="AK26" i="9"/>
  <c r="AL26" i="9"/>
  <c r="AO26" i="9"/>
  <c r="AK27" i="9"/>
  <c r="AO27" i="9" s="1"/>
  <c r="AK28" i="9"/>
  <c r="AO28" i="9"/>
  <c r="F29" i="9"/>
  <c r="F33" i="9" s="1"/>
  <c r="AK29" i="9"/>
  <c r="AO29" i="9"/>
  <c r="AK30" i="9"/>
  <c r="AO30" i="9"/>
  <c r="AK31" i="9"/>
  <c r="AO31" i="9"/>
  <c r="B43" i="9"/>
  <c r="B54" i="9" s="1"/>
  <c r="C44" i="9" s="1"/>
  <c r="B52" i="9"/>
  <c r="B1" i="11"/>
  <c r="I1" i="11"/>
  <c r="B2" i="11"/>
  <c r="I2" i="11"/>
  <c r="D4" i="11"/>
  <c r="K4" i="11"/>
  <c r="R5" i="11"/>
  <c r="S5" i="11"/>
  <c r="R7" i="11"/>
  <c r="S7" i="11"/>
  <c r="T7" i="11"/>
  <c r="F14" i="11"/>
  <c r="M14" i="11"/>
  <c r="B22" i="11"/>
  <c r="B26" i="11"/>
  <c r="I26" i="11"/>
  <c r="I34" i="11"/>
  <c r="F35" i="11"/>
  <c r="G32" i="11" s="1"/>
  <c r="M35" i="11"/>
  <c r="N31" i="11" s="1"/>
  <c r="B42" i="11"/>
  <c r="B54" i="11" s="1"/>
  <c r="I42" i="11"/>
  <c r="I53" i="11"/>
  <c r="J26" i="11" s="1"/>
  <c r="C26" i="11" l="1"/>
  <c r="C49" i="11"/>
  <c r="G32" i="9"/>
  <c r="S6" i="11"/>
  <c r="J49" i="11"/>
  <c r="S8" i="11" l="1"/>
  <c r="T8" i="11" s="1"/>
  <c r="T6" i="11"/>
</calcChain>
</file>

<file path=xl/sharedStrings.xml><?xml version="1.0" encoding="utf-8"?>
<sst xmlns="http://schemas.openxmlformats.org/spreadsheetml/2006/main" count="274" uniqueCount="78">
  <si>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</si>
  <si>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</si>
  <si>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</si>
  <si>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</si>
  <si>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</si>
  <si>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</si>
  <si>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</si>
  <si>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</si>
  <si>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</si>
  <si>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</si>
  <si>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</si>
  <si>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</si>
  <si>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</si>
  <si>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</si>
  <si>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</si>
  <si>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</si>
  <si>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</si>
  <si>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</si>
  <si>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</si>
  <si>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</si>
  <si>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</si>
  <si>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</si>
  <si>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</si>
  <si>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</si>
  <si>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</si>
  <si>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</si>
  <si>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</si>
  <si>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 xml:space="preserve">   MANLOVE</t>
  </si>
  <si>
    <t>INJECTIONS:</t>
  </si>
  <si>
    <t>PGL Balancing:</t>
  </si>
  <si>
    <t xml:space="preserve">     MANLOVE</t>
  </si>
  <si>
    <t xml:space="preserve">   EL PASO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</si>
  <si>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</si>
  <si>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</si>
  <si>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</si>
  <si>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</si>
  <si>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</si>
  <si>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</si>
  <si>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</si>
  <si>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</si>
  <si>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LINE PACK</t>
  </si>
  <si>
    <t>ENA BASELOAD</t>
  </si>
  <si>
    <t>ENA SIQ</t>
  </si>
  <si>
    <t>ENA DIQ</t>
  </si>
  <si>
    <t>RIDER GAS</t>
  </si>
  <si>
    <t>NGPL DSS - AMR</t>
  </si>
  <si>
    <t>IMBALANCES</t>
  </si>
  <si>
    <t>TOTAL SOURCES</t>
  </si>
  <si>
    <t>NGPL NSS1</t>
  </si>
  <si>
    <t>NGPL NSS2</t>
  </si>
  <si>
    <t xml:space="preserve">   MISC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</si>
  <si>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</si>
  <si>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</si>
  <si>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</si>
  <si>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</si>
  <si>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</si>
  <si>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</si>
  <si>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>Chg</t>
  </si>
  <si>
    <t xml:space="preserve">     COENERGY</t>
  </si>
  <si>
    <t xml:space="preserve">     ENGAGE</t>
  </si>
  <si>
    <t xml:space="preserve">     NGPL (DSS)</t>
  </si>
  <si>
    <t>CITYGATE</t>
  </si>
  <si>
    <t>ALLIANCE</t>
  </si>
  <si>
    <t>Elwood Injection</t>
  </si>
  <si>
    <t>Wilton Injection</t>
  </si>
  <si>
    <t>EL PASO BASE</t>
  </si>
  <si>
    <t>NICOR BALANCING</t>
  </si>
  <si>
    <t xml:space="preserve">  ELPASO</t>
  </si>
  <si>
    <t xml:space="preserve">  ENA SELL-BACK</t>
  </si>
  <si>
    <t xml:space="preserve">  MISC</t>
  </si>
  <si>
    <t>NGPL DSS</t>
  </si>
  <si>
    <t>NGPL - AMR</t>
  </si>
  <si>
    <t>TRUNKLINE QNT</t>
  </si>
  <si>
    <t>ANR</t>
  </si>
  <si>
    <t xml:space="preserve">     ANR</t>
  </si>
  <si>
    <t>Nicor Storage</t>
  </si>
  <si>
    <t xml:space="preserve">     NICOR BALANCING</t>
  </si>
  <si>
    <t>TRUNKLINE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</si>
</sst>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3" borderId="0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176" fontId="2" fillId="0" borderId="10" xfId="1" applyNumberFormat="1" applyFont="1" applyBorder="1"/>
    <xf numFmtId="0" fontId="2" fillId="0" borderId="0" xfId="0" applyFont="1" applyBorder="1"/>
    <xf numFmtId="176" fontId="2" fillId="0" borderId="11" xfId="1" applyNumberFormat="1" applyFont="1" applyBorder="1"/>
    <xf numFmtId="176" fontId="2" fillId="0" borderId="8" xfId="0" applyNumberFormat="1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176" fontId="2" fillId="0" borderId="16" xfId="1" applyNumberFormat="1" applyFont="1" applyBorder="1"/>
    <xf numFmtId="176" fontId="2" fillId="0" borderId="17" xfId="0" applyNumberFormat="1" applyFont="1" applyBorder="1"/>
    <xf numFmtId="0" fontId="3" fillId="0" borderId="9" xfId="0" applyFont="1" applyBorder="1"/>
    <xf numFmtId="0" fontId="3" fillId="0" borderId="0" xfId="0" applyFont="1" applyBorder="1"/>
    <xf numFmtId="176" fontId="2" fillId="4" borderId="1" xfId="1" applyNumberFormat="1" applyFont="1" applyFill="1" applyBorder="1"/>
    <xf numFmtId="0" fontId="2" fillId="0" borderId="10" xfId="0" applyFont="1" applyBorder="1"/>
    <xf numFmtId="176" fontId="2" fillId="0" borderId="18" xfId="1" applyNumberFormat="1" applyFont="1" applyBorder="1"/>
    <xf numFmtId="0" fontId="2" fillId="0" borderId="18" xfId="0" applyFont="1" applyBorder="1"/>
    <xf numFmtId="176" fontId="2" fillId="0" borderId="8" xfId="1" applyNumberFormat="1" applyFont="1" applyBorder="1"/>
    <xf numFmtId="176" fontId="2" fillId="0" borderId="13" xfId="1" applyNumberFormat="1" applyFont="1" applyBorder="1"/>
    <xf numFmtId="176" fontId="2" fillId="0" borderId="15" xfId="1" applyNumberFormat="1" applyFont="1" applyBorder="1"/>
    <xf numFmtId="176" fontId="2" fillId="0" borderId="17" xfId="1" applyNumberFormat="1" applyFont="1" applyBorder="1"/>
    <xf numFmtId="176" fontId="2" fillId="0" borderId="10" xfId="1" applyNumberFormat="1" applyFont="1" applyFill="1" applyBorder="1"/>
    <xf numFmtId="176" fontId="2" fillId="0" borderId="19" xfId="1" applyNumberFormat="1" applyFont="1" applyBorder="1"/>
    <xf numFmtId="0" fontId="2" fillId="0" borderId="0" xfId="0" quotePrefix="1" applyFont="1"/>
    <xf numFmtId="0" fontId="2" fillId="0" borderId="9" xfId="0" applyFont="1" applyFill="1" applyBorder="1"/>
    <xf numFmtId="0" fontId="2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30400"/>
        <c:axId val="155530960"/>
      </c:lineChart>
      <c:catAx>
        <c:axId val="155530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3096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5553096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304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29328"/>
        <c:axId val="222629888"/>
      </c:lineChart>
      <c:catAx>
        <c:axId val="22262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298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62988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293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32128"/>
        <c:axId val="222632688"/>
      </c:lineChart>
      <c:catAx>
        <c:axId val="2226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268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63268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2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34928"/>
        <c:axId val="222635488"/>
      </c:lineChart>
      <c:catAx>
        <c:axId val="2226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548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263548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4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38288"/>
        <c:axId val="222638848"/>
      </c:lineChart>
      <c:catAx>
        <c:axId val="222638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884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263884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82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41088"/>
        <c:axId val="222641648"/>
      </c:lineChart>
      <c:dateAx>
        <c:axId val="222641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4164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264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41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83392"/>
        <c:axId val="222983952"/>
      </c:lineChart>
      <c:catAx>
        <c:axId val="222983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83952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2298395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833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86192"/>
        <c:axId val="222986752"/>
      </c:lineChart>
      <c:catAx>
        <c:axId val="22298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8675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98675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861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88992"/>
        <c:axId val="222989552"/>
      </c:lineChart>
      <c:catAx>
        <c:axId val="2229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8955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298955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88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1792"/>
        <c:axId val="222992352"/>
      </c:lineChart>
      <c:catAx>
        <c:axId val="2229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9235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299235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91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5152"/>
        <c:axId val="222995712"/>
      </c:lineChart>
      <c:catAx>
        <c:axId val="222995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9571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299571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951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33200"/>
        <c:axId val="155533760"/>
      </c:lineChart>
      <c:dateAx>
        <c:axId val="155533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3376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5553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33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24800"/>
        <c:axId val="155523680"/>
      </c:lineChart>
      <c:dateAx>
        <c:axId val="155524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368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5552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4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7392"/>
        <c:axId val="223583760"/>
      </c:lineChart>
      <c:catAx>
        <c:axId val="222997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8376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583760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973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86000"/>
        <c:axId val="223586560"/>
      </c:lineChart>
      <c:catAx>
        <c:axId val="22358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8656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586560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860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88800"/>
        <c:axId val="223589360"/>
      </c:lineChart>
      <c:catAx>
        <c:axId val="2235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8936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589360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88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91600"/>
        <c:axId val="223592160"/>
      </c:lineChart>
      <c:catAx>
        <c:axId val="22359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92160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3592160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916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94960"/>
        <c:axId val="223595520"/>
      </c:lineChart>
      <c:catAx>
        <c:axId val="223594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9552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59552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949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97760"/>
        <c:axId val="223598320"/>
      </c:lineChart>
      <c:dateAx>
        <c:axId val="223597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9832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359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597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94384"/>
        <c:axId val="223994944"/>
      </c:lineChart>
      <c:catAx>
        <c:axId val="223994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9494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2399494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943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97184"/>
        <c:axId val="223997744"/>
      </c:lineChart>
      <c:catAx>
        <c:axId val="2239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9774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399774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971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99984"/>
        <c:axId val="224000544"/>
      </c:lineChart>
      <c:catAx>
        <c:axId val="22399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054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2400054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99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36000"/>
        <c:axId val="156142928"/>
      </c:lineChart>
      <c:catAx>
        <c:axId val="15553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292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5614292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360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02784"/>
        <c:axId val="224003344"/>
      </c:lineChart>
      <c:catAx>
        <c:axId val="2240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3344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24003344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27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495493489844398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14617379185389E-2"/>
          <c:y val="7.278705015608869E-2"/>
          <c:w val="0.92898011702988392"/>
          <c:h val="0.64242483398634809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DAILY!$AK$2:$AK$32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DAILY!$AL$2:$AL$32</c:f>
              <c:numCache>
                <c:formatCode>_(* #,##0_);_(* \(#,##0\);_(* "-"??_);_(@_)</c:formatCode>
                <c:ptCount val="31"/>
                <c:pt idx="0">
                  <c:v>334000</c:v>
                </c:pt>
                <c:pt idx="1">
                  <c:v>383000</c:v>
                </c:pt>
                <c:pt idx="2">
                  <c:v>561000</c:v>
                </c:pt>
                <c:pt idx="3">
                  <c:v>558000</c:v>
                </c:pt>
                <c:pt idx="4">
                  <c:v>556000</c:v>
                </c:pt>
                <c:pt idx="5">
                  <c:v>514000</c:v>
                </c:pt>
                <c:pt idx="6">
                  <c:v>617000</c:v>
                </c:pt>
                <c:pt idx="7">
                  <c:v>771000</c:v>
                </c:pt>
                <c:pt idx="8">
                  <c:v>844000</c:v>
                </c:pt>
                <c:pt idx="9">
                  <c:v>940000</c:v>
                </c:pt>
                <c:pt idx="10">
                  <c:v>795000</c:v>
                </c:pt>
                <c:pt idx="11">
                  <c:v>910000</c:v>
                </c:pt>
                <c:pt idx="12">
                  <c:v>1055000</c:v>
                </c:pt>
                <c:pt idx="13">
                  <c:v>1000000</c:v>
                </c:pt>
                <c:pt idx="14">
                  <c:v>957000</c:v>
                </c:pt>
                <c:pt idx="15">
                  <c:v>1275000</c:v>
                </c:pt>
                <c:pt idx="16">
                  <c:v>1250000</c:v>
                </c:pt>
                <c:pt idx="17">
                  <c:v>1145000</c:v>
                </c:pt>
                <c:pt idx="18">
                  <c:v>1170000</c:v>
                </c:pt>
                <c:pt idx="19">
                  <c:v>1510000</c:v>
                </c:pt>
                <c:pt idx="20">
                  <c:v>1505000</c:v>
                </c:pt>
                <c:pt idx="21">
                  <c:v>1443000</c:v>
                </c:pt>
                <c:pt idx="22">
                  <c:v>1134000</c:v>
                </c:pt>
                <c:pt idx="23">
                  <c:v>1045000</c:v>
                </c:pt>
                <c:pt idx="24">
                  <c:v>1010000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DAILY!$AK$2:$AK$32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DAILY!$AM$2:$AM$32</c:f>
              <c:numCache>
                <c:formatCode>_(* #,##0_);_(* \(#,##0\);_(* "-"??_);_(@_)</c:formatCode>
                <c:ptCount val="31"/>
                <c:pt idx="0">
                  <c:v>327038</c:v>
                </c:pt>
                <c:pt idx="1">
                  <c:v>411838</c:v>
                </c:pt>
                <c:pt idx="2">
                  <c:v>534470</c:v>
                </c:pt>
                <c:pt idx="3">
                  <c:v>574849</c:v>
                </c:pt>
                <c:pt idx="4">
                  <c:v>535641</c:v>
                </c:pt>
                <c:pt idx="5">
                  <c:v>644268</c:v>
                </c:pt>
                <c:pt idx="6">
                  <c:v>709307</c:v>
                </c:pt>
                <c:pt idx="7">
                  <c:v>730685</c:v>
                </c:pt>
                <c:pt idx="8">
                  <c:v>954137</c:v>
                </c:pt>
                <c:pt idx="9">
                  <c:v>922300</c:v>
                </c:pt>
                <c:pt idx="10">
                  <c:v>765312</c:v>
                </c:pt>
                <c:pt idx="11">
                  <c:v>749654</c:v>
                </c:pt>
                <c:pt idx="12">
                  <c:v>1107168</c:v>
                </c:pt>
                <c:pt idx="13">
                  <c:v>1208897</c:v>
                </c:pt>
                <c:pt idx="14">
                  <c:v>1066667</c:v>
                </c:pt>
                <c:pt idx="15">
                  <c:v>1174676</c:v>
                </c:pt>
                <c:pt idx="16">
                  <c:v>1239216</c:v>
                </c:pt>
                <c:pt idx="17">
                  <c:v>1264450</c:v>
                </c:pt>
                <c:pt idx="18">
                  <c:v>1241095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06144"/>
        <c:axId val="224006704"/>
      </c:lineChart>
      <c:catAx>
        <c:axId val="2240061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6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006704"/>
        <c:scaling>
          <c:orientation val="minMax"/>
          <c:max val="1600000"/>
          <c:min val="3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6144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894059005021857"/>
          <c:y val="0.84496271268155143"/>
          <c:w val="5.8434775052630297E-2"/>
          <c:h val="0.14557410031217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41898062401999375"/>
          <c:y val="1.9920972684290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40886239482836E-2"/>
          <c:y val="0.11155744703202554"/>
          <c:w val="0.82715659011397047"/>
          <c:h val="0.5538030406232696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DAILY!$AC$2:$AC$32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10050</c:v>
                </c:pt>
                <c:pt idx="18">
                  <c:v>2750</c:v>
                </c:pt>
                <c:pt idx="19">
                  <c:v>36600</c:v>
                </c:pt>
                <c:pt idx="20">
                  <c:v>33200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08944"/>
        <c:axId val="224009504"/>
      </c:lineChart>
      <c:dateAx>
        <c:axId val="224008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95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4009504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08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6176558732281"/>
          <c:y val="5.1794528979154715E-2"/>
          <c:w val="9.2439851144812374E-2"/>
          <c:h val="0.18327294869547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9885874666048"/>
          <c:y val="3.7543989050225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959147372360018E-2"/>
          <c:y val="0.11263196715067612"/>
          <c:w val="0.94116713677279307"/>
          <c:h val="0.6314216340265177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DAILY!$AO$2:$AO$32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DAILY!$AP$2:$AP$32</c:f>
              <c:numCache>
                <c:formatCode>_(* #,##0_);_(* \(#,##0\);_(* "-"??_);_(@_)</c:formatCode>
                <c:ptCount val="31"/>
                <c:pt idx="0">
                  <c:v>278861</c:v>
                </c:pt>
                <c:pt idx="1">
                  <c:v>271986</c:v>
                </c:pt>
                <c:pt idx="2">
                  <c:v>268476</c:v>
                </c:pt>
                <c:pt idx="3">
                  <c:v>266245</c:v>
                </c:pt>
                <c:pt idx="4">
                  <c:v>266245</c:v>
                </c:pt>
                <c:pt idx="5">
                  <c:v>266245</c:v>
                </c:pt>
                <c:pt idx="6">
                  <c:v>264002</c:v>
                </c:pt>
                <c:pt idx="7">
                  <c:v>255627</c:v>
                </c:pt>
                <c:pt idx="8">
                  <c:v>265566</c:v>
                </c:pt>
                <c:pt idx="9">
                  <c:v>246958</c:v>
                </c:pt>
                <c:pt idx="10">
                  <c:v>286931</c:v>
                </c:pt>
                <c:pt idx="11">
                  <c:v>286931</c:v>
                </c:pt>
                <c:pt idx="12">
                  <c:v>266036</c:v>
                </c:pt>
                <c:pt idx="13">
                  <c:v>255030</c:v>
                </c:pt>
                <c:pt idx="14">
                  <c:v>303959</c:v>
                </c:pt>
                <c:pt idx="15">
                  <c:v>274934</c:v>
                </c:pt>
                <c:pt idx="16">
                  <c:v>310830</c:v>
                </c:pt>
                <c:pt idx="17">
                  <c:v>313178</c:v>
                </c:pt>
                <c:pt idx="18">
                  <c:v>313178</c:v>
                </c:pt>
                <c:pt idx="19">
                  <c:v>332833</c:v>
                </c:pt>
                <c:pt idx="20">
                  <c:v>338794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83968"/>
        <c:axId val="224384528"/>
      </c:lineChart>
      <c:catAx>
        <c:axId val="2243839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84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4384528"/>
        <c:scaling>
          <c:orientation val="minMax"/>
          <c:max val="35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839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645830830770694"/>
          <c:y val="0.33448281153837156"/>
          <c:w val="5.0927526023545375E-2"/>
          <c:h val="7.5087978100450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0592594291057262"/>
          <c:y val="3.5434228865285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2851753911768"/>
          <c:y val="9.4491276974095262E-2"/>
          <c:w val="0.79367579528686294"/>
          <c:h val="0.5669476618445715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DAILY!$AE$2:$AE$32</c:f>
              <c:numCache>
                <c:formatCode>0</c:formatCode>
                <c:ptCount val="31"/>
                <c:pt idx="0">
                  <c:v>495450.4192</c:v>
                </c:pt>
                <c:pt idx="1">
                  <c:v>495450.4192</c:v>
                </c:pt>
                <c:pt idx="2">
                  <c:v>495450.4192</c:v>
                </c:pt>
                <c:pt idx="3">
                  <c:v>495450.4192</c:v>
                </c:pt>
                <c:pt idx="4">
                  <c:v>495450.4192</c:v>
                </c:pt>
                <c:pt idx="5">
                  <c:v>495450.4192</c:v>
                </c:pt>
                <c:pt idx="6">
                  <c:v>495450.4192</c:v>
                </c:pt>
                <c:pt idx="7">
                  <c:v>495450.4192</c:v>
                </c:pt>
                <c:pt idx="8">
                  <c:v>480170.4192</c:v>
                </c:pt>
                <c:pt idx="9">
                  <c:v>480170.4192</c:v>
                </c:pt>
                <c:pt idx="10">
                  <c:v>480170.4192</c:v>
                </c:pt>
                <c:pt idx="11">
                  <c:v>480170.4192</c:v>
                </c:pt>
                <c:pt idx="12">
                  <c:v>480170.4192</c:v>
                </c:pt>
                <c:pt idx="13">
                  <c:v>480170.4192</c:v>
                </c:pt>
                <c:pt idx="14">
                  <c:v>480170.4192</c:v>
                </c:pt>
                <c:pt idx="15">
                  <c:v>480170.4192</c:v>
                </c:pt>
                <c:pt idx="16">
                  <c:v>480170.4192</c:v>
                </c:pt>
                <c:pt idx="17">
                  <c:v>470120.4192</c:v>
                </c:pt>
                <c:pt idx="18">
                  <c:v>467370.4192</c:v>
                </c:pt>
                <c:pt idx="19">
                  <c:v>430770.4192</c:v>
                </c:pt>
                <c:pt idx="20">
                  <c:v>397570.4192</c:v>
                </c:pt>
                <c:pt idx="21">
                  <c:v>397570.4192</c:v>
                </c:pt>
                <c:pt idx="22">
                  <c:v>397570.4192</c:v>
                </c:pt>
                <c:pt idx="23">
                  <c:v>397570.4192</c:v>
                </c:pt>
                <c:pt idx="24">
                  <c:v>397570.4192</c:v>
                </c:pt>
                <c:pt idx="25">
                  <c:v>397570.4192</c:v>
                </c:pt>
                <c:pt idx="26">
                  <c:v>397570.4192</c:v>
                </c:pt>
                <c:pt idx="27">
                  <c:v>397570.4192</c:v>
                </c:pt>
                <c:pt idx="28">
                  <c:v>397570.4192</c:v>
                </c:pt>
                <c:pt idx="29">
                  <c:v>397570.4192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87328"/>
        <c:axId val="224387888"/>
      </c:lineChart>
      <c:catAx>
        <c:axId val="22438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878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387888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8732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71423411398452"/>
          <c:y val="0.61419330033161912"/>
          <c:w val="0.12554508034537651"/>
          <c:h val="8.6617003892920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1499525541321258"/>
          <c:y val="2.3585756721211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5146702855716E-2"/>
          <c:y val="0.10849448091757193"/>
          <c:w val="0.87517624064219046"/>
          <c:h val="0.47171513442422575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90128"/>
        <c:axId val="224390688"/>
      </c:lineChart>
      <c:catAx>
        <c:axId val="22439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906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4390688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90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055778457699"/>
          <c:y val="0.46228083173574125"/>
          <c:w val="7.9669576254112445E-2"/>
          <c:h val="0.10377732957332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3960633477891425"/>
          <c:y val="2.3697429644639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1810852198561"/>
          <c:y val="0.10426869043641512"/>
          <c:w val="0.80060756333908223"/>
          <c:h val="0.4976460225374358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DAILY!$AI$2:$AI$32</c:f>
              <c:numCache>
                <c:formatCode>_(* #,##0_);_(* \(#,##0\);_(* "-"??_);_(@_)</c:formatCode>
                <c:ptCount val="31"/>
                <c:pt idx="0">
                  <c:v>230</c:v>
                </c:pt>
                <c:pt idx="1">
                  <c:v>220</c:v>
                </c:pt>
                <c:pt idx="2">
                  <c:v>210</c:v>
                </c:pt>
                <c:pt idx="3">
                  <c:v>200</c:v>
                </c:pt>
                <c:pt idx="4">
                  <c:v>190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92928"/>
        <c:axId val="224393488"/>
      </c:lineChart>
      <c:catAx>
        <c:axId val="22439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93488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224393488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92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56746863653278"/>
          <c:y val="0.48342756475065196"/>
          <c:w val="0.12664156001909119"/>
          <c:h val="0.104268690436415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5168"/>
        <c:axId val="156145728"/>
      </c:lineChart>
      <c:catAx>
        <c:axId val="15614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572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56145728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51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7968"/>
        <c:axId val="156148528"/>
      </c:lineChart>
      <c:catAx>
        <c:axId val="156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852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5614852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47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0768"/>
        <c:axId val="156151328"/>
      </c:lineChart>
      <c:catAx>
        <c:axId val="15615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132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5615132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07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4128"/>
        <c:axId val="156154688"/>
      </c:lineChart>
      <c:catAx>
        <c:axId val="156154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46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5615468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41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6928"/>
        <c:axId val="156157488"/>
      </c:lineChart>
      <c:dateAx>
        <c:axId val="156156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748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5615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56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26528"/>
        <c:axId val="222627088"/>
      </c:lineChart>
      <c:catAx>
        <c:axId val="222626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27088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2262708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265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57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26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58</xdr:row>
      <xdr:rowOff>28575</xdr:rowOff>
    </xdr:from>
    <xdr:to>
      <xdr:col>0</xdr:col>
      <xdr:colOff>0</xdr:colOff>
      <xdr:row>75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26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76200</xdr:colOff>
      <xdr:row>38</xdr:row>
      <xdr:rowOff>0</xdr:rowOff>
    </xdr:from>
    <xdr:to>
      <xdr:col>19</xdr:col>
      <xdr:colOff>552450</xdr:colOff>
      <xdr:row>56</xdr:row>
      <xdr:rowOff>66675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19050</xdr:colOff>
      <xdr:row>9</xdr:row>
      <xdr:rowOff>57150</xdr:rowOff>
    </xdr:from>
    <xdr:to>
      <xdr:col>16</xdr:col>
      <xdr:colOff>600075</xdr:colOff>
      <xdr:row>23</xdr:row>
      <xdr:rowOff>219075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66675</xdr:colOff>
      <xdr:row>57</xdr:row>
      <xdr:rowOff>28575</xdr:rowOff>
    </xdr:from>
    <xdr:to>
      <xdr:col>19</xdr:col>
      <xdr:colOff>600075</xdr:colOff>
      <xdr:row>74</xdr:row>
      <xdr:rowOff>66675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685800</xdr:colOff>
      <xdr:row>9</xdr:row>
      <xdr:rowOff>28575</xdr:rowOff>
    </xdr:from>
    <xdr:to>
      <xdr:col>25</xdr:col>
      <xdr:colOff>447675</xdr:colOff>
      <xdr:row>23</xdr:row>
      <xdr:rowOff>219075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657225</xdr:colOff>
      <xdr:row>37</xdr:row>
      <xdr:rowOff>38100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25</xdr:col>
      <xdr:colOff>457200</xdr:colOff>
      <xdr:row>37</xdr:row>
      <xdr:rowOff>28575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8" sqref="B8"/>
    </sheetView>
  </sheetViews>
  <sheetFormatPr defaultRowHeight="12.75" x14ac:dyDescent="0.2"/>
  <cols>
    <col min="1" max="1" width="33.42578125" style="2" customWidth="1"/>
    <col min="2" max="2" width="14" style="2" customWidth="1"/>
    <col min="3" max="3" width="15.140625" style="2" customWidth="1"/>
    <col min="4" max="5" width="16.85546875" style="2" customWidth="1"/>
    <col min="6" max="6" width="13.140625" style="2" customWidth="1"/>
    <col min="7" max="7" width="12.140625" style="2" customWidth="1"/>
    <col min="8" max="8" width="33.42578125" style="2" customWidth="1"/>
    <col min="9" max="10" width="14" style="2" customWidth="1"/>
    <col min="11" max="12" width="16.85546875" style="2" customWidth="1"/>
    <col min="13" max="13" width="13.140625" style="2" customWidth="1"/>
    <col min="14" max="14" width="12.140625" style="2" customWidth="1"/>
    <col min="15" max="16" width="9.140625" style="2"/>
    <col min="17" max="17" width="12.42578125" style="2" customWidth="1"/>
    <col min="18" max="19" width="13.7109375" style="2" customWidth="1"/>
    <col min="20" max="20" width="12.42578125" style="2" customWidth="1"/>
    <col min="21" max="25" width="9.140625" style="2"/>
    <col min="26" max="26" width="13.7109375" style="2" customWidth="1"/>
    <col min="27" max="28" width="13.140625" style="2" customWidth="1"/>
    <col min="29" max="16384" width="9.140625" style="2"/>
  </cols>
  <sheetData>
    <row r="1" spans="1:20" ht="27.75" customHeight="1" thickBot="1" x14ac:dyDescent="0.25">
      <c r="A1" s="2" t="s">
        <v>0</v>
      </c>
      <c r="B1" s="3">
        <f ca="1">TODAY()</f>
        <v>41887</v>
      </c>
      <c r="H1" s="2" t="s">
        <v>0</v>
      </c>
      <c r="I1" s="3">
        <f ca="1">TODAY()</f>
        <v>41887</v>
      </c>
    </row>
    <row r="2" spans="1:20" ht="13.5" thickBot="1" x14ac:dyDescent="0.25">
      <c r="A2" s="2" t="s">
        <v>12</v>
      </c>
      <c r="B2" s="3">
        <f ca="1">TODAY()+2</f>
        <v>41889</v>
      </c>
      <c r="H2" s="2" t="s">
        <v>12</v>
      </c>
      <c r="I2" s="3">
        <f ca="1">TODAY()+3</f>
        <v>41890</v>
      </c>
    </row>
    <row r="3" spans="1:20" ht="25.5" customHeight="1" thickBot="1" x14ac:dyDescent="0.25">
      <c r="B3" s="1" t="s">
        <v>13</v>
      </c>
      <c r="C3" s="1" t="s">
        <v>14</v>
      </c>
      <c r="D3" s="1" t="s">
        <v>15</v>
      </c>
      <c r="E3" s="1"/>
      <c r="I3" s="1" t="s">
        <v>13</v>
      </c>
      <c r="J3" s="1" t="s">
        <v>14</v>
      </c>
      <c r="K3" s="1" t="s">
        <v>15</v>
      </c>
      <c r="L3" s="1"/>
    </row>
    <row r="4" spans="1:20" ht="13.5" thickBot="1" x14ac:dyDescent="0.25">
      <c r="A4" s="2" t="s">
        <v>16</v>
      </c>
      <c r="B4" s="16">
        <v>27</v>
      </c>
      <c r="C4" s="17">
        <v>15</v>
      </c>
      <c r="D4" s="18">
        <f>AVERAGE(B4,C4)</f>
        <v>21</v>
      </c>
      <c r="E4" s="19"/>
      <c r="H4" s="2" t="s">
        <v>16</v>
      </c>
      <c r="I4" s="16">
        <v>32</v>
      </c>
      <c r="J4" s="17">
        <v>24</v>
      </c>
      <c r="K4" s="18">
        <f>AVERAGE(I4,J4)</f>
        <v>28</v>
      </c>
      <c r="L4" s="19"/>
    </row>
    <row r="5" spans="1:20" ht="13.5" thickBot="1" x14ac:dyDescent="0.25">
      <c r="A5" s="20"/>
      <c r="B5" s="21"/>
      <c r="C5" s="1" t="s">
        <v>18</v>
      </c>
      <c r="D5" s="20"/>
      <c r="E5" s="22"/>
      <c r="F5" s="21"/>
      <c r="G5" s="1" t="s">
        <v>18</v>
      </c>
      <c r="H5" s="20"/>
      <c r="I5" s="21"/>
      <c r="J5" s="1" t="s">
        <v>18</v>
      </c>
      <c r="K5" s="20"/>
      <c r="L5" s="22"/>
      <c r="M5" s="21"/>
      <c r="N5" s="1" t="s">
        <v>18</v>
      </c>
      <c r="P5" s="23" t="s">
        <v>19</v>
      </c>
      <c r="Q5" s="6"/>
      <c r="R5" s="24">
        <f ca="1">TODAY()-1</f>
        <v>41886</v>
      </c>
      <c r="S5" s="24">
        <f ca="1">TODAY()</f>
        <v>41887</v>
      </c>
      <c r="T5" s="24" t="s">
        <v>57</v>
      </c>
    </row>
    <row r="6" spans="1:20" x14ac:dyDescent="0.2">
      <c r="A6" s="27" t="s">
        <v>21</v>
      </c>
      <c r="B6" s="28">
        <v>-1300000</v>
      </c>
      <c r="C6" s="12">
        <v>-1270000</v>
      </c>
      <c r="D6" s="27" t="s">
        <v>22</v>
      </c>
      <c r="E6" s="29"/>
      <c r="F6" s="28">
        <v>-160000</v>
      </c>
      <c r="G6" s="12">
        <v>-176000</v>
      </c>
      <c r="H6" s="27" t="s">
        <v>21</v>
      </c>
      <c r="I6" s="28">
        <v>-1040000</v>
      </c>
      <c r="J6" s="12">
        <v>-1060000</v>
      </c>
      <c r="K6" s="27" t="s">
        <v>22</v>
      </c>
      <c r="L6" s="29"/>
      <c r="M6" s="28">
        <v>-175000</v>
      </c>
      <c r="N6" s="12">
        <v>-178000</v>
      </c>
      <c r="P6" s="27" t="s">
        <v>23</v>
      </c>
      <c r="Q6" s="29"/>
      <c r="R6" s="9">
        <f>DAILY!L6</f>
        <v>36600</v>
      </c>
      <c r="S6" s="49">
        <f>DAILY!M6</f>
        <v>33200</v>
      </c>
      <c r="T6" s="44">
        <f>+S6-R6</f>
        <v>-3400</v>
      </c>
    </row>
    <row r="7" spans="1:20" x14ac:dyDescent="0.2">
      <c r="A7" s="27" t="s">
        <v>25</v>
      </c>
      <c r="B7" s="28"/>
      <c r="D7" s="27" t="s">
        <v>25</v>
      </c>
      <c r="E7" s="29"/>
      <c r="F7" s="28">
        <v>0</v>
      </c>
      <c r="H7" s="27" t="s">
        <v>25</v>
      </c>
      <c r="I7" s="28"/>
      <c r="K7" s="27" t="s">
        <v>25</v>
      </c>
      <c r="L7" s="29"/>
      <c r="M7" s="28">
        <v>0</v>
      </c>
      <c r="P7" s="27" t="s">
        <v>26</v>
      </c>
      <c r="Q7" s="29"/>
      <c r="R7" s="32">
        <f>DAILY!L7</f>
        <v>0</v>
      </c>
      <c r="S7" s="32">
        <f>DAILY!M7</f>
        <v>0</v>
      </c>
      <c r="T7" s="45">
        <f>+S7-R7</f>
        <v>0</v>
      </c>
    </row>
    <row r="8" spans="1:20" ht="13.5" thickBot="1" x14ac:dyDescent="0.25">
      <c r="A8" s="52" t="s">
        <v>67</v>
      </c>
      <c r="B8" s="28">
        <v>-25000</v>
      </c>
      <c r="D8" s="27" t="s">
        <v>28</v>
      </c>
      <c r="E8" s="29"/>
      <c r="F8" s="28"/>
      <c r="H8" s="51" t="s">
        <v>67</v>
      </c>
      <c r="I8" s="28">
        <v>-25000</v>
      </c>
      <c r="K8" s="27" t="s">
        <v>28</v>
      </c>
      <c r="L8" s="29"/>
      <c r="M8" s="28"/>
      <c r="P8" s="34" t="s">
        <v>29</v>
      </c>
      <c r="Q8" s="35"/>
      <c r="R8" s="36">
        <f>+(R6-R7)/2</f>
        <v>18300</v>
      </c>
      <c r="S8" s="46">
        <f>+(S6-S7)/2</f>
        <v>16600</v>
      </c>
      <c r="T8" s="47">
        <f>+S8-R8</f>
        <v>-1700</v>
      </c>
    </row>
    <row r="9" spans="1:20" x14ac:dyDescent="0.2">
      <c r="A9" s="52" t="s">
        <v>68</v>
      </c>
      <c r="B9" s="28">
        <v>0</v>
      </c>
      <c r="D9" s="27" t="s">
        <v>30</v>
      </c>
      <c r="E9" s="29"/>
      <c r="F9" s="28">
        <v>-13000</v>
      </c>
      <c r="H9" s="51" t="s">
        <v>68</v>
      </c>
      <c r="I9" s="28">
        <v>0</v>
      </c>
      <c r="K9" s="27" t="s">
        <v>30</v>
      </c>
      <c r="L9" s="29"/>
      <c r="M9" s="28">
        <v>-13000</v>
      </c>
    </row>
    <row r="10" spans="1:20" x14ac:dyDescent="0.2">
      <c r="A10" s="52" t="s">
        <v>69</v>
      </c>
      <c r="B10" s="28">
        <v>-16667</v>
      </c>
      <c r="C10" s="14"/>
      <c r="D10" s="27" t="s">
        <v>60</v>
      </c>
      <c r="E10" s="29"/>
      <c r="F10" s="28">
        <v>0</v>
      </c>
      <c r="H10" s="51" t="s">
        <v>69</v>
      </c>
      <c r="I10" s="28">
        <v>-16667</v>
      </c>
      <c r="J10" s="14"/>
      <c r="K10" s="27" t="s">
        <v>60</v>
      </c>
      <c r="L10" s="29"/>
      <c r="M10" s="28">
        <v>0</v>
      </c>
    </row>
    <row r="11" spans="1:20" x14ac:dyDescent="0.2">
      <c r="A11" s="27" t="s">
        <v>24</v>
      </c>
      <c r="B11" s="28">
        <v>0</v>
      </c>
      <c r="C11" s="14"/>
      <c r="D11" s="27" t="s">
        <v>33</v>
      </c>
      <c r="E11" s="29"/>
      <c r="F11" s="28">
        <v>0</v>
      </c>
      <c r="H11" s="27" t="s">
        <v>24</v>
      </c>
      <c r="I11" s="28">
        <v>0</v>
      </c>
      <c r="J11" s="14"/>
      <c r="K11" s="27" t="s">
        <v>33</v>
      </c>
      <c r="L11" s="29"/>
      <c r="M11" s="28">
        <v>0</v>
      </c>
    </row>
    <row r="12" spans="1:20" x14ac:dyDescent="0.2">
      <c r="A12" s="27" t="s">
        <v>27</v>
      </c>
      <c r="B12" s="28">
        <v>-11757</v>
      </c>
      <c r="D12" s="51" t="s">
        <v>66</v>
      </c>
      <c r="F12" s="48">
        <v>0</v>
      </c>
      <c r="H12" s="27" t="s">
        <v>27</v>
      </c>
      <c r="I12" s="28">
        <v>-11757</v>
      </c>
      <c r="K12" s="51" t="s">
        <v>66</v>
      </c>
      <c r="M12" s="48">
        <v>0</v>
      </c>
    </row>
    <row r="13" spans="1:20" ht="13.5" thickBot="1" x14ac:dyDescent="0.25">
      <c r="A13" s="27" t="s">
        <v>31</v>
      </c>
      <c r="B13" s="28">
        <v>0</v>
      </c>
      <c r="D13" s="27" t="s">
        <v>34</v>
      </c>
      <c r="E13" s="29"/>
      <c r="F13" s="28">
        <v>0</v>
      </c>
      <c r="H13" s="27" t="s">
        <v>31</v>
      </c>
      <c r="I13" s="28">
        <v>0</v>
      </c>
      <c r="K13" s="27" t="s">
        <v>34</v>
      </c>
      <c r="L13" s="29"/>
      <c r="M13" s="28">
        <v>0</v>
      </c>
    </row>
    <row r="14" spans="1:20" ht="13.5" thickBot="1" x14ac:dyDescent="0.25">
      <c r="A14" s="27" t="s">
        <v>19</v>
      </c>
      <c r="B14" s="28">
        <v>0</v>
      </c>
      <c r="C14" s="2" t="s">
        <v>17</v>
      </c>
      <c r="D14" s="38" t="s">
        <v>35</v>
      </c>
      <c r="E14" s="39"/>
      <c r="F14" s="40">
        <f>SUM(F6:F13)</f>
        <v>-173000</v>
      </c>
      <c r="H14" s="27" t="s">
        <v>19</v>
      </c>
      <c r="I14" s="28">
        <v>0</v>
      </c>
      <c r="J14" s="2" t="s">
        <v>17</v>
      </c>
      <c r="K14" s="38" t="s">
        <v>35</v>
      </c>
      <c r="L14" s="39"/>
      <c r="M14" s="40">
        <f>SUM(M6:M13)</f>
        <v>-188000</v>
      </c>
    </row>
    <row r="15" spans="1:20" x14ac:dyDescent="0.2">
      <c r="A15" s="27" t="s">
        <v>28</v>
      </c>
      <c r="B15" s="28"/>
      <c r="C15" s="14"/>
      <c r="D15" s="27"/>
      <c r="E15" s="29"/>
      <c r="F15" s="28"/>
      <c r="H15" s="27" t="s">
        <v>28</v>
      </c>
      <c r="I15" s="28"/>
      <c r="J15" s="14"/>
      <c r="K15" s="27"/>
      <c r="L15" s="29"/>
      <c r="M15" s="28"/>
    </row>
    <row r="16" spans="1:20" x14ac:dyDescent="0.2">
      <c r="A16" s="27" t="s">
        <v>34</v>
      </c>
      <c r="B16" s="48">
        <v>0</v>
      </c>
      <c r="C16" s="14"/>
      <c r="D16" s="27"/>
      <c r="E16" s="29"/>
      <c r="F16" s="28"/>
      <c r="H16" s="27" t="s">
        <v>34</v>
      </c>
      <c r="I16" s="48">
        <v>0</v>
      </c>
      <c r="J16" s="14"/>
      <c r="K16" s="27"/>
      <c r="L16" s="29"/>
      <c r="M16" s="28"/>
    </row>
    <row r="17" spans="1:14" x14ac:dyDescent="0.2">
      <c r="A17" s="27" t="s">
        <v>36</v>
      </c>
      <c r="B17" s="28">
        <v>0</v>
      </c>
      <c r="C17" s="14"/>
      <c r="D17" s="27"/>
      <c r="E17" s="29"/>
      <c r="F17" s="28"/>
      <c r="H17" s="27" t="s">
        <v>36</v>
      </c>
      <c r="I17" s="28">
        <v>0</v>
      </c>
      <c r="J17" s="14"/>
      <c r="K17" s="27"/>
      <c r="L17" s="29"/>
      <c r="M17" s="28"/>
    </row>
    <row r="18" spans="1:14" x14ac:dyDescent="0.2">
      <c r="A18" s="27" t="s">
        <v>32</v>
      </c>
      <c r="B18" s="28">
        <v>0</v>
      </c>
      <c r="C18" s="2" t="s">
        <v>17</v>
      </c>
      <c r="D18" s="27"/>
      <c r="E18" s="29"/>
      <c r="F18" s="28"/>
      <c r="G18" s="14" t="s">
        <v>17</v>
      </c>
      <c r="H18" s="27" t="s">
        <v>32</v>
      </c>
      <c r="I18" s="28">
        <v>0</v>
      </c>
      <c r="J18" s="2" t="s">
        <v>17</v>
      </c>
      <c r="K18" s="27"/>
      <c r="L18" s="29"/>
      <c r="M18" s="28"/>
    </row>
    <row r="19" spans="1:14" x14ac:dyDescent="0.2">
      <c r="A19" s="27" t="s">
        <v>58</v>
      </c>
      <c r="B19" s="28">
        <v>-10000</v>
      </c>
      <c r="C19" s="50"/>
      <c r="D19" s="27"/>
      <c r="E19" s="29"/>
      <c r="F19" s="28"/>
      <c r="H19" s="27" t="s">
        <v>58</v>
      </c>
      <c r="I19" s="28">
        <v>-10000</v>
      </c>
      <c r="J19" s="50"/>
      <c r="K19" s="27"/>
      <c r="L19" s="29"/>
      <c r="M19" s="28"/>
    </row>
    <row r="20" spans="1:14" x14ac:dyDescent="0.2">
      <c r="A20" s="27" t="s">
        <v>59</v>
      </c>
      <c r="B20" s="28">
        <v>0</v>
      </c>
      <c r="C20" s="14"/>
      <c r="D20" s="27"/>
      <c r="E20" s="29"/>
      <c r="F20" s="28"/>
      <c r="H20" s="27" t="s">
        <v>59</v>
      </c>
      <c r="I20" s="28">
        <v>0</v>
      </c>
      <c r="J20" s="14"/>
      <c r="K20" s="27"/>
      <c r="L20" s="29"/>
      <c r="M20" s="28"/>
    </row>
    <row r="21" spans="1:14" x14ac:dyDescent="0.2">
      <c r="A21" s="27" t="s">
        <v>37</v>
      </c>
      <c r="B21" s="28">
        <v>0</v>
      </c>
      <c r="C21" s="14"/>
      <c r="D21" s="27"/>
      <c r="E21" s="29"/>
      <c r="F21" s="41"/>
      <c r="H21" s="27" t="s">
        <v>37</v>
      </c>
      <c r="I21" s="28">
        <v>0</v>
      </c>
      <c r="J21" s="14"/>
      <c r="K21" s="27"/>
      <c r="L21" s="29"/>
      <c r="M21" s="41"/>
    </row>
    <row r="22" spans="1:14" x14ac:dyDescent="0.2">
      <c r="A22" s="27" t="s">
        <v>30</v>
      </c>
      <c r="B22" s="48">
        <f>-119591-833+28424</f>
        <v>-92000</v>
      </c>
      <c r="C22" s="14"/>
      <c r="D22" s="27"/>
      <c r="E22" s="29"/>
      <c r="F22" s="41"/>
      <c r="H22" s="27" t="s">
        <v>30</v>
      </c>
      <c r="I22" s="48">
        <v>-833</v>
      </c>
      <c r="J22" s="14"/>
      <c r="K22" s="27"/>
      <c r="L22" s="29"/>
      <c r="M22" s="41"/>
    </row>
    <row r="23" spans="1:14" x14ac:dyDescent="0.2">
      <c r="A23" s="27" t="s">
        <v>38</v>
      </c>
      <c r="B23" s="28">
        <v>-1380</v>
      </c>
      <c r="C23" s="14" t="s">
        <v>17</v>
      </c>
      <c r="D23" s="27"/>
      <c r="E23" s="29"/>
      <c r="F23" s="41"/>
      <c r="H23" s="27" t="s">
        <v>38</v>
      </c>
      <c r="I23" s="28">
        <v>414</v>
      </c>
      <c r="J23" s="14" t="s">
        <v>17</v>
      </c>
      <c r="K23" s="27"/>
      <c r="L23" s="29"/>
      <c r="M23" s="41"/>
    </row>
    <row r="24" spans="1:14" x14ac:dyDescent="0.2">
      <c r="A24" s="27" t="s">
        <v>39</v>
      </c>
      <c r="B24" s="28">
        <v>0</v>
      </c>
      <c r="D24" s="27" t="s">
        <v>41</v>
      </c>
      <c r="E24" s="29"/>
      <c r="F24" s="28">
        <v>39111</v>
      </c>
      <c r="H24" s="27" t="s">
        <v>39</v>
      </c>
      <c r="I24" s="28">
        <v>0</v>
      </c>
      <c r="K24" s="27" t="s">
        <v>41</v>
      </c>
      <c r="L24" s="29"/>
      <c r="M24" s="28">
        <v>39111</v>
      </c>
    </row>
    <row r="25" spans="1:14" ht="13.5" thickBot="1" x14ac:dyDescent="0.25">
      <c r="A25" s="27" t="s">
        <v>40</v>
      </c>
      <c r="B25" s="28">
        <v>0</v>
      </c>
      <c r="D25" s="27" t="s">
        <v>42</v>
      </c>
      <c r="E25" s="29"/>
      <c r="F25" s="28">
        <v>5000</v>
      </c>
      <c r="H25" s="27" t="s">
        <v>40</v>
      </c>
      <c r="I25" s="28">
        <v>-51565</v>
      </c>
      <c r="K25" s="27" t="s">
        <v>42</v>
      </c>
      <c r="L25" s="29"/>
      <c r="M25" s="28">
        <v>5000</v>
      </c>
    </row>
    <row r="26" spans="1:14" ht="13.5" thickBot="1" x14ac:dyDescent="0.25">
      <c r="A26" s="38" t="s">
        <v>35</v>
      </c>
      <c r="B26" s="40">
        <f>SUM(B6:B25)</f>
        <v>-1456804</v>
      </c>
      <c r="C26" s="14">
        <f>SUM(B26,B54)</f>
        <v>-290000</v>
      </c>
      <c r="D26" s="27" t="s">
        <v>43</v>
      </c>
      <c r="E26" s="29"/>
      <c r="F26" s="28">
        <v>14135</v>
      </c>
      <c r="H26" s="38" t="s">
        <v>35</v>
      </c>
      <c r="I26" s="40">
        <f>SUM(I6:I25)</f>
        <v>-1155408</v>
      </c>
      <c r="J26" s="14">
        <f>SUM(I26,I53)</f>
        <v>0</v>
      </c>
      <c r="K26" s="27" t="s">
        <v>43</v>
      </c>
      <c r="L26" s="29"/>
      <c r="M26" s="28">
        <v>14135</v>
      </c>
    </row>
    <row r="27" spans="1:14" x14ac:dyDescent="0.2">
      <c r="A27" s="27"/>
      <c r="B27" s="28"/>
      <c r="D27" s="27" t="s">
        <v>44</v>
      </c>
      <c r="E27" s="29"/>
      <c r="F27" s="28">
        <v>33302</v>
      </c>
      <c r="H27" s="27"/>
      <c r="I27" s="28"/>
      <c r="K27" s="27" t="s">
        <v>44</v>
      </c>
      <c r="L27" s="29"/>
      <c r="M27" s="28">
        <v>33302</v>
      </c>
    </row>
    <row r="28" spans="1:14" x14ac:dyDescent="0.2">
      <c r="A28" s="27" t="s">
        <v>41</v>
      </c>
      <c r="B28" s="28">
        <v>234599</v>
      </c>
      <c r="D28" s="27" t="s">
        <v>70</v>
      </c>
      <c r="E28" s="29"/>
      <c r="F28" s="28">
        <v>6000</v>
      </c>
      <c r="H28" s="27" t="s">
        <v>41</v>
      </c>
      <c r="I28" s="28">
        <v>234599</v>
      </c>
      <c r="K28" s="27" t="s">
        <v>70</v>
      </c>
      <c r="L28" s="29"/>
      <c r="M28" s="28">
        <v>6000</v>
      </c>
    </row>
    <row r="29" spans="1:14" x14ac:dyDescent="0.2">
      <c r="A29" s="27" t="s">
        <v>42</v>
      </c>
      <c r="B29" s="28">
        <v>45000</v>
      </c>
      <c r="C29" s="14" t="s">
        <v>17</v>
      </c>
      <c r="D29" s="27" t="s">
        <v>45</v>
      </c>
      <c r="E29" s="29"/>
      <c r="F29" s="28">
        <v>7000</v>
      </c>
      <c r="H29" s="27" t="s">
        <v>42</v>
      </c>
      <c r="I29" s="28">
        <v>45000</v>
      </c>
      <c r="J29" s="14" t="s">
        <v>17</v>
      </c>
      <c r="K29" s="27" t="s">
        <v>45</v>
      </c>
      <c r="L29" s="29"/>
      <c r="M29" s="28">
        <v>7000</v>
      </c>
    </row>
    <row r="30" spans="1:14" x14ac:dyDescent="0.2">
      <c r="A30" s="27" t="s">
        <v>43</v>
      </c>
      <c r="B30" s="28">
        <v>88114</v>
      </c>
      <c r="D30" s="27" t="s">
        <v>61</v>
      </c>
      <c r="E30" s="29"/>
      <c r="F30" s="48">
        <v>13000</v>
      </c>
      <c r="G30" s="14"/>
      <c r="H30" s="27" t="s">
        <v>43</v>
      </c>
      <c r="I30" s="28">
        <v>88114</v>
      </c>
      <c r="K30" s="27" t="s">
        <v>61</v>
      </c>
      <c r="L30" s="29"/>
      <c r="M30" s="48">
        <v>13000</v>
      </c>
    </row>
    <row r="31" spans="1:14" x14ac:dyDescent="0.2">
      <c r="A31" s="27" t="s">
        <v>44</v>
      </c>
      <c r="B31" s="28">
        <v>277528</v>
      </c>
      <c r="C31" s="14" t="s">
        <v>17</v>
      </c>
      <c r="D31" s="27" t="s">
        <v>73</v>
      </c>
      <c r="E31" s="29"/>
      <c r="F31" s="48">
        <v>35000</v>
      </c>
      <c r="H31" s="27" t="s">
        <v>44</v>
      </c>
      <c r="I31" s="28">
        <v>277528</v>
      </c>
      <c r="J31" s="14" t="s">
        <v>17</v>
      </c>
      <c r="K31" s="27" t="s">
        <v>73</v>
      </c>
      <c r="L31" s="29"/>
      <c r="M31" s="48">
        <v>35000</v>
      </c>
      <c r="N31" s="14">
        <f>SUM(M35,M14)</f>
        <v>0</v>
      </c>
    </row>
    <row r="32" spans="1:14" x14ac:dyDescent="0.2">
      <c r="A32" s="27" t="s">
        <v>65</v>
      </c>
      <c r="B32" s="28">
        <v>25000</v>
      </c>
      <c r="D32" s="27" t="s">
        <v>34</v>
      </c>
      <c r="E32" s="29"/>
      <c r="F32" s="48">
        <v>0</v>
      </c>
      <c r="G32" s="14">
        <f>SUM(F35,F14)</f>
        <v>0</v>
      </c>
      <c r="H32" s="27" t="s">
        <v>65</v>
      </c>
      <c r="I32" s="28">
        <v>25000</v>
      </c>
      <c r="K32" s="27" t="s">
        <v>34</v>
      </c>
      <c r="L32" s="29"/>
      <c r="M32" s="48">
        <v>0</v>
      </c>
    </row>
    <row r="33" spans="1:13" x14ac:dyDescent="0.2">
      <c r="A33" s="27" t="s">
        <v>72</v>
      </c>
      <c r="B33" s="28">
        <v>57377</v>
      </c>
      <c r="D33" s="27" t="s">
        <v>66</v>
      </c>
      <c r="E33" s="29"/>
      <c r="F33" s="48">
        <v>20000</v>
      </c>
      <c r="H33" s="27" t="s">
        <v>72</v>
      </c>
      <c r="I33" s="28">
        <v>57377</v>
      </c>
      <c r="K33" s="27" t="s">
        <v>66</v>
      </c>
      <c r="L33" s="29"/>
      <c r="M33" s="48">
        <v>20000</v>
      </c>
    </row>
    <row r="34" spans="1:13" ht="13.5" thickBot="1" x14ac:dyDescent="0.25">
      <c r="A34" s="27" t="s">
        <v>61</v>
      </c>
      <c r="B34" s="48">
        <v>330000</v>
      </c>
      <c r="D34" s="27" t="s">
        <v>46</v>
      </c>
      <c r="E34" s="29"/>
      <c r="F34" s="28">
        <v>452</v>
      </c>
      <c r="H34" s="27" t="s">
        <v>61</v>
      </c>
      <c r="I34" s="48">
        <f>80000+250000</f>
        <v>330000</v>
      </c>
      <c r="K34" s="27" t="s">
        <v>46</v>
      </c>
      <c r="L34" s="29"/>
      <c r="M34" s="28">
        <v>15452</v>
      </c>
    </row>
    <row r="35" spans="1:13" ht="13.5" thickBot="1" x14ac:dyDescent="0.25">
      <c r="A35" s="27" t="s">
        <v>19</v>
      </c>
      <c r="B35" s="28">
        <v>0</v>
      </c>
      <c r="D35" s="38" t="s">
        <v>47</v>
      </c>
      <c r="E35" s="39"/>
      <c r="F35" s="40">
        <f>SUM(F24:F34)</f>
        <v>173000</v>
      </c>
      <c r="H35" s="27" t="s">
        <v>19</v>
      </c>
      <c r="I35" s="28">
        <v>0</v>
      </c>
      <c r="K35" s="38" t="s">
        <v>47</v>
      </c>
      <c r="L35" s="39"/>
      <c r="M35" s="40">
        <f>SUM(M24:M34)</f>
        <v>188000</v>
      </c>
    </row>
    <row r="36" spans="1:13" ht="13.5" thickBot="1" x14ac:dyDescent="0.25">
      <c r="A36" s="27" t="s">
        <v>48</v>
      </c>
      <c r="B36" s="28">
        <v>0</v>
      </c>
      <c r="D36" s="34"/>
      <c r="E36" s="35"/>
      <c r="F36" s="42"/>
      <c r="H36" s="27" t="s">
        <v>48</v>
      </c>
      <c r="I36" s="28">
        <v>0</v>
      </c>
      <c r="K36" s="34"/>
      <c r="L36" s="35"/>
      <c r="M36" s="42"/>
    </row>
    <row r="37" spans="1:13" x14ac:dyDescent="0.2">
      <c r="A37" s="27" t="s">
        <v>49</v>
      </c>
      <c r="B37" s="28">
        <v>0</v>
      </c>
      <c r="D37"/>
      <c r="E37"/>
      <c r="F37"/>
      <c r="H37" s="27" t="s">
        <v>49</v>
      </c>
      <c r="I37" s="28">
        <v>0</v>
      </c>
      <c r="K37"/>
      <c r="L37"/>
      <c r="M37"/>
    </row>
    <row r="38" spans="1:13" x14ac:dyDescent="0.2">
      <c r="A38" s="27" t="s">
        <v>62</v>
      </c>
      <c r="B38" s="28">
        <v>0</v>
      </c>
      <c r="F38" s="12"/>
      <c r="H38" s="27" t="s">
        <v>62</v>
      </c>
      <c r="I38" s="28">
        <v>0</v>
      </c>
      <c r="M38" s="12"/>
    </row>
    <row r="39" spans="1:13" x14ac:dyDescent="0.2">
      <c r="A39" s="27" t="s">
        <v>24</v>
      </c>
      <c r="B39" s="41"/>
      <c r="F39" s="12"/>
      <c r="H39" s="27" t="s">
        <v>24</v>
      </c>
      <c r="I39" s="41"/>
      <c r="M39" s="12"/>
    </row>
    <row r="40" spans="1:13" x14ac:dyDescent="0.2">
      <c r="A40" s="27" t="s">
        <v>50</v>
      </c>
      <c r="B40" s="28">
        <v>833</v>
      </c>
      <c r="H40" s="27" t="s">
        <v>50</v>
      </c>
      <c r="I40" s="28">
        <v>833</v>
      </c>
    </row>
    <row r="41" spans="1:13" x14ac:dyDescent="0.2">
      <c r="A41" s="27" t="s">
        <v>27</v>
      </c>
      <c r="B41" s="28">
        <v>0</v>
      </c>
      <c r="H41" s="27" t="s">
        <v>27</v>
      </c>
      <c r="I41" s="28">
        <v>28424</v>
      </c>
    </row>
    <row r="42" spans="1:13" x14ac:dyDescent="0.2">
      <c r="A42" s="27" t="s">
        <v>51</v>
      </c>
      <c r="B42" s="28">
        <f>1500+1033</f>
        <v>2533</v>
      </c>
      <c r="H42" s="27" t="s">
        <v>51</v>
      </c>
      <c r="I42" s="28">
        <f>1500+1033</f>
        <v>2533</v>
      </c>
    </row>
    <row r="43" spans="1:13" x14ac:dyDescent="0.2">
      <c r="A43" s="27" t="s">
        <v>52</v>
      </c>
      <c r="B43" s="28">
        <v>1000</v>
      </c>
      <c r="H43" s="27" t="s">
        <v>52</v>
      </c>
      <c r="I43" s="28">
        <v>1000</v>
      </c>
    </row>
    <row r="44" spans="1:13" x14ac:dyDescent="0.2">
      <c r="A44" s="27" t="s">
        <v>53</v>
      </c>
      <c r="B44" s="28"/>
      <c r="H44" s="27" t="s">
        <v>53</v>
      </c>
      <c r="I44" s="28"/>
    </row>
    <row r="45" spans="1:13" x14ac:dyDescent="0.2">
      <c r="A45" s="27" t="s">
        <v>74</v>
      </c>
      <c r="B45" s="28">
        <v>0</v>
      </c>
      <c r="H45" s="27" t="s">
        <v>74</v>
      </c>
      <c r="I45" s="28">
        <v>0</v>
      </c>
    </row>
    <row r="46" spans="1:13" x14ac:dyDescent="0.2">
      <c r="A46" s="27" t="s">
        <v>34</v>
      </c>
      <c r="B46" s="28">
        <v>0</v>
      </c>
      <c r="H46" s="27" t="s">
        <v>34</v>
      </c>
      <c r="I46" s="28">
        <v>0</v>
      </c>
    </row>
    <row r="47" spans="1:13" x14ac:dyDescent="0.2">
      <c r="A47" s="27" t="s">
        <v>36</v>
      </c>
      <c r="B47" s="28">
        <v>0</v>
      </c>
      <c r="H47" s="27" t="s">
        <v>36</v>
      </c>
      <c r="I47" s="28">
        <v>0</v>
      </c>
    </row>
    <row r="48" spans="1:13" x14ac:dyDescent="0.2">
      <c r="A48" s="27" t="s">
        <v>54</v>
      </c>
      <c r="B48" s="28">
        <v>0</v>
      </c>
      <c r="H48" s="27" t="s">
        <v>54</v>
      </c>
      <c r="I48" s="28">
        <v>0</v>
      </c>
    </row>
    <row r="49" spans="1:13" x14ac:dyDescent="0.2">
      <c r="A49" s="27" t="s">
        <v>55</v>
      </c>
      <c r="B49" s="28">
        <v>65000</v>
      </c>
      <c r="C49" s="14">
        <f>SUM(B54,B26)</f>
        <v>-290000</v>
      </c>
      <c r="H49" s="27" t="s">
        <v>55</v>
      </c>
      <c r="I49" s="28">
        <v>65000</v>
      </c>
      <c r="J49" s="14">
        <f>SUM(I53,I26)</f>
        <v>0</v>
      </c>
    </row>
    <row r="50" spans="1:13" x14ac:dyDescent="0.2">
      <c r="A50" s="27" t="s">
        <v>56</v>
      </c>
      <c r="B50" s="28">
        <v>0</v>
      </c>
      <c r="F50" s="12"/>
      <c r="H50" s="27" t="s">
        <v>56</v>
      </c>
      <c r="I50" s="28">
        <v>0</v>
      </c>
      <c r="M50" s="12"/>
    </row>
    <row r="51" spans="1:13" x14ac:dyDescent="0.2">
      <c r="A51" s="27" t="s">
        <v>37</v>
      </c>
      <c r="B51" s="28">
        <v>0</v>
      </c>
      <c r="F51" s="12"/>
      <c r="H51" s="27" t="s">
        <v>37</v>
      </c>
      <c r="I51" s="28">
        <v>0</v>
      </c>
      <c r="M51" s="12"/>
    </row>
    <row r="52" spans="1:13" ht="13.5" thickBot="1" x14ac:dyDescent="0.25">
      <c r="A52" s="27" t="s">
        <v>30</v>
      </c>
      <c r="B52" s="28">
        <v>0</v>
      </c>
      <c r="C52"/>
      <c r="F52" s="12"/>
      <c r="H52" s="27" t="s">
        <v>30</v>
      </c>
      <c r="I52" s="28">
        <v>0</v>
      </c>
      <c r="J52"/>
      <c r="M52" s="12"/>
    </row>
    <row r="53" spans="1:13" ht="13.5" thickBot="1" x14ac:dyDescent="0.25">
      <c r="A53" s="27" t="s">
        <v>46</v>
      </c>
      <c r="B53" s="28">
        <v>39820</v>
      </c>
      <c r="C53"/>
      <c r="F53" s="12"/>
      <c r="H53" s="38" t="s">
        <v>47</v>
      </c>
      <c r="I53" s="40">
        <f>SUM(I28:I52)</f>
        <v>1155408</v>
      </c>
      <c r="J53"/>
      <c r="M53" s="12"/>
    </row>
    <row r="54" spans="1:13" ht="13.5" thickBot="1" x14ac:dyDescent="0.25">
      <c r="A54" s="38" t="s">
        <v>47</v>
      </c>
      <c r="B54" s="40">
        <f>SUM(B28:B53)</f>
        <v>1166804</v>
      </c>
      <c r="F54" s="12"/>
      <c r="H54" s="34"/>
      <c r="I54" s="43"/>
      <c r="M54" s="12"/>
    </row>
    <row r="55" spans="1:13" ht="13.5" thickBot="1" x14ac:dyDescent="0.25">
      <c r="A55" s="34"/>
      <c r="B55" s="43"/>
    </row>
    <row r="56" spans="1:13" x14ac:dyDescent="0.2">
      <c r="F56" s="12"/>
      <c r="M56" s="12"/>
    </row>
    <row r="57" spans="1:13" x14ac:dyDescent="0.2">
      <c r="F57" s="12"/>
      <c r="M57" s="12"/>
    </row>
    <row r="58" spans="1:13" x14ac:dyDescent="0.2">
      <c r="F58" s="12"/>
      <c r="M58" s="12"/>
    </row>
    <row r="59" spans="1:13" x14ac:dyDescent="0.2">
      <c r="F59" s="12"/>
      <c r="M59" s="12"/>
    </row>
    <row r="60" spans="1:13" x14ac:dyDescent="0.2">
      <c r="F60" s="12"/>
      <c r="M60" s="12"/>
    </row>
    <row r="61" spans="1:13" x14ac:dyDescent="0.2">
      <c r="F61" s="12"/>
      <c r="M61" s="12"/>
    </row>
    <row r="62" spans="1:13" x14ac:dyDescent="0.2">
      <c r="F62" s="12"/>
      <c r="M62" s="12"/>
    </row>
    <row r="63" spans="1:13" x14ac:dyDescent="0.2">
      <c r="F63" s="12"/>
      <c r="M63" s="12"/>
    </row>
    <row r="64" spans="1:13" x14ac:dyDescent="0.2">
      <c r="F64" s="12"/>
      <c r="M64" s="12"/>
    </row>
    <row r="65" spans="6:13" x14ac:dyDescent="0.2">
      <c r="F65" s="12"/>
      <c r="M65" s="12"/>
    </row>
  </sheetData>
  <phoneticPr fontId="0" type="noConversion"/>
  <pageMargins left="0.75" right="0.75" top="1" bottom="1" header="0.5" footer="0.5"/>
  <pageSetup scale="49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tabSelected="1" zoomScale="75" workbookViewId="0">
      <selection activeCell="B1" sqref="B1"/>
    </sheetView>
  </sheetViews>
  <sheetFormatPr defaultRowHeight="12.75" x14ac:dyDescent="0.2"/>
  <cols>
    <col min="1" max="1" width="33.42578125" style="2" customWidth="1"/>
    <col min="2" max="2" width="17" style="2" customWidth="1"/>
    <col min="3" max="3" width="14" style="2" customWidth="1"/>
    <col min="4" max="5" width="16.85546875" style="2" customWidth="1"/>
    <col min="6" max="6" width="13.140625" style="2" customWidth="1"/>
    <col min="7" max="7" width="12.140625" style="2" customWidth="1"/>
    <col min="8" max="8" width="13.7109375" style="2" customWidth="1"/>
    <col min="9" max="9" width="11.5703125" style="2" customWidth="1"/>
    <col min="10" max="10" width="13.7109375" style="2" customWidth="1"/>
    <col min="11" max="11" width="13.140625" style="2" customWidth="1"/>
    <col min="12" max="13" width="13.7109375" style="2" customWidth="1"/>
    <col min="14" max="14" width="12.42578125" style="2" customWidth="1"/>
    <col min="15" max="16" width="9.140625" style="2"/>
    <col min="17" max="17" width="11.28515625" style="2" customWidth="1"/>
    <col min="18" max="18" width="14.28515625" style="2" customWidth="1"/>
    <col min="19" max="20" width="13.140625" style="2" customWidth="1"/>
    <col min="21" max="21" width="9.140625" style="2"/>
    <col min="22" max="22" width="13" style="2" customWidth="1"/>
    <col min="23" max="23" width="10.28515625" style="2" bestFit="1" customWidth="1"/>
    <col min="24" max="27" width="9.140625" style="2"/>
    <col min="28" max="28" width="10.28515625" style="2" bestFit="1" customWidth="1"/>
    <col min="29" max="30" width="10.28515625" style="2" customWidth="1"/>
    <col min="31" max="31" width="9.140625" style="2"/>
    <col min="32" max="32" width="1.7109375" style="2" customWidth="1"/>
    <col min="33" max="36" width="9.140625" style="2"/>
    <col min="37" max="37" width="13.7109375" style="2" customWidth="1"/>
    <col min="38" max="38" width="17" style="2" customWidth="1"/>
    <col min="39" max="39" width="20.140625" style="2" customWidth="1"/>
    <col min="40" max="40" width="9.140625" style="2"/>
    <col min="41" max="41" width="15.42578125" style="2" customWidth="1"/>
    <col min="42" max="42" width="14.7109375" style="2" customWidth="1"/>
    <col min="43" max="43" width="16.5703125" style="2" customWidth="1"/>
    <col min="44" max="16384" width="9.140625" style="2"/>
  </cols>
  <sheetData>
    <row r="1" spans="1:44" ht="48.75" customHeight="1" thickBot="1" x14ac:dyDescent="0.25">
      <c r="A1" s="2" t="s">
        <v>0</v>
      </c>
      <c r="B1" s="3">
        <f ca="1">TODAY()</f>
        <v>41887</v>
      </c>
      <c r="E1" s="4" t="s">
        <v>1</v>
      </c>
      <c r="F1" s="5">
        <v>1300000</v>
      </c>
      <c r="G1" s="6"/>
      <c r="H1" s="7" t="s">
        <v>2</v>
      </c>
      <c r="I1" s="8">
        <v>213000</v>
      </c>
      <c r="K1" s="9"/>
      <c r="R1" s="10" t="s">
        <v>3</v>
      </c>
      <c r="S1" s="11">
        <f ca="1">TODAY()+2</f>
        <v>41889</v>
      </c>
      <c r="T1" s="12">
        <v>985000</v>
      </c>
      <c r="V1" s="10" t="s">
        <v>4</v>
      </c>
      <c r="W1" s="11">
        <f ca="1">TODAY()+2</f>
        <v>41889</v>
      </c>
      <c r="X1" s="12">
        <v>149000</v>
      </c>
      <c r="AC1" s="10" t="s">
        <v>5</v>
      </c>
      <c r="AD1" s="10" t="s">
        <v>63</v>
      </c>
      <c r="AE1" s="10" t="s">
        <v>6</v>
      </c>
      <c r="AF1" s="10"/>
      <c r="AG1" s="10" t="s">
        <v>7</v>
      </c>
      <c r="AH1" s="10" t="s">
        <v>64</v>
      </c>
      <c r="AI1" s="10" t="s">
        <v>8</v>
      </c>
      <c r="AL1" s="10" t="s">
        <v>9</v>
      </c>
      <c r="AM1" s="10" t="s">
        <v>10</v>
      </c>
      <c r="AP1" s="1" t="s">
        <v>11</v>
      </c>
    </row>
    <row r="2" spans="1:44" ht="13.5" thickBot="1" x14ac:dyDescent="0.25">
      <c r="A2" s="2" t="s">
        <v>12</v>
      </c>
      <c r="B2" s="3">
        <f ca="1">TODAY()+1</f>
        <v>41888</v>
      </c>
      <c r="D2" s="14"/>
      <c r="S2" s="11">
        <f ca="1">TODAY()+3</f>
        <v>41890</v>
      </c>
      <c r="T2" s="12">
        <v>910000</v>
      </c>
      <c r="W2" s="11">
        <f ca="1">TODAY()+3</f>
        <v>41890</v>
      </c>
      <c r="X2" s="12">
        <v>135000</v>
      </c>
      <c r="AB2" s="11">
        <v>36831</v>
      </c>
      <c r="AC2" s="14">
        <v>0</v>
      </c>
      <c r="AD2" s="14">
        <v>0</v>
      </c>
      <c r="AE2" s="13">
        <v>495450.4192</v>
      </c>
      <c r="AF2" s="13"/>
      <c r="AG2" s="14">
        <v>10</v>
      </c>
      <c r="AH2" s="14">
        <v>0</v>
      </c>
      <c r="AI2" s="14">
        <v>230</v>
      </c>
      <c r="AK2" s="11">
        <f>+AB2</f>
        <v>36831</v>
      </c>
      <c r="AL2" s="12">
        <f>290000+44000</f>
        <v>334000</v>
      </c>
      <c r="AM2" s="12">
        <f>286192+40846</f>
        <v>327038</v>
      </c>
      <c r="AO2" s="15">
        <f>+AK2</f>
        <v>36831</v>
      </c>
      <c r="AP2" s="12">
        <f>32467+246394</f>
        <v>278861</v>
      </c>
      <c r="AQ2" s="12"/>
      <c r="AR2" s="12"/>
    </row>
    <row r="3" spans="1:44" ht="25.5" customHeight="1" thickBot="1" x14ac:dyDescent="0.25">
      <c r="B3" s="1" t="s">
        <v>13</v>
      </c>
      <c r="C3" s="1" t="s">
        <v>14</v>
      </c>
      <c r="D3" s="1" t="s">
        <v>15</v>
      </c>
      <c r="E3" s="1"/>
      <c r="S3" s="11">
        <f ca="1">TODAY()+4</f>
        <v>41891</v>
      </c>
      <c r="T3" s="12">
        <v>880000</v>
      </c>
      <c r="W3" s="11">
        <f ca="1">TODAY()+4</f>
        <v>41891</v>
      </c>
      <c r="X3" s="12">
        <v>130000</v>
      </c>
      <c r="AB3" s="11">
        <v>36832</v>
      </c>
      <c r="AC3" s="14">
        <v>0</v>
      </c>
      <c r="AD3" s="14">
        <v>0</v>
      </c>
      <c r="AE3" s="13">
        <f>AE2-AC3+AD3</f>
        <v>495450.4192</v>
      </c>
      <c r="AF3" s="13"/>
      <c r="AG3" s="14">
        <v>10</v>
      </c>
      <c r="AH3" s="14">
        <v>0</v>
      </c>
      <c r="AI3" s="14">
        <f>AI2-AG3+AH3</f>
        <v>220</v>
      </c>
      <c r="AK3" s="11">
        <f t="shared" ref="AK3:AK31" si="0">+AB3</f>
        <v>36832</v>
      </c>
      <c r="AL3" s="12">
        <f>330000+53000</f>
        <v>383000</v>
      </c>
      <c r="AM3" s="12">
        <f>352480+59358</f>
        <v>411838</v>
      </c>
      <c r="AO3" s="15">
        <f t="shared" ref="AO3:AO15" si="1">+AK3</f>
        <v>36832</v>
      </c>
      <c r="AP3" s="12">
        <f>34446+237540</f>
        <v>271986</v>
      </c>
      <c r="AQ3" s="12"/>
      <c r="AR3" s="12"/>
    </row>
    <row r="4" spans="1:44" ht="13.5" thickBot="1" x14ac:dyDescent="0.25">
      <c r="A4" s="2" t="s">
        <v>16</v>
      </c>
      <c r="B4" s="16">
        <v>27</v>
      </c>
      <c r="C4" s="17">
        <v>15</v>
      </c>
      <c r="D4" s="18">
        <f>AVERAGE(B4,C4)</f>
        <v>21</v>
      </c>
      <c r="E4" s="19"/>
      <c r="S4" s="11" t="s">
        <v>17</v>
      </c>
      <c r="AB4" s="11">
        <v>36833</v>
      </c>
      <c r="AC4" s="14">
        <v>0</v>
      </c>
      <c r="AD4" s="14">
        <v>0</v>
      </c>
      <c r="AE4" s="13">
        <f>AE3-AC4+AD4</f>
        <v>495450.4192</v>
      </c>
      <c r="AF4" s="13"/>
      <c r="AG4" s="14">
        <v>10</v>
      </c>
      <c r="AH4" s="14">
        <v>0</v>
      </c>
      <c r="AI4" s="14">
        <f t="shared" ref="AI4:AI31" si="2">AI3-AG4+AH4</f>
        <v>210</v>
      </c>
      <c r="AK4" s="11">
        <f t="shared" si="0"/>
        <v>36833</v>
      </c>
      <c r="AL4" s="12">
        <f>480000+81000</f>
        <v>561000</v>
      </c>
      <c r="AM4" s="12">
        <f>454135+80335</f>
        <v>534470</v>
      </c>
      <c r="AO4" s="15">
        <f t="shared" si="1"/>
        <v>36833</v>
      </c>
      <c r="AP4" s="12">
        <f>235605+32871</f>
        <v>268476</v>
      </c>
      <c r="AQ4" s="12"/>
      <c r="AR4" s="12"/>
    </row>
    <row r="5" spans="1:44" ht="13.5" thickBot="1" x14ac:dyDescent="0.25">
      <c r="A5" s="20"/>
      <c r="B5" s="21"/>
      <c r="C5" s="1" t="s">
        <v>18</v>
      </c>
      <c r="D5" s="20"/>
      <c r="E5" s="22"/>
      <c r="F5" s="21"/>
      <c r="G5" s="1" t="s">
        <v>18</v>
      </c>
      <c r="I5" s="1"/>
      <c r="J5" s="23" t="s">
        <v>19</v>
      </c>
      <c r="K5" s="6"/>
      <c r="L5" s="24">
        <f ca="1">TODAY()-1</f>
        <v>41886</v>
      </c>
      <c r="M5" s="25">
        <f ca="1">TODAY()</f>
        <v>41887</v>
      </c>
      <c r="N5" s="26" t="s">
        <v>20</v>
      </c>
      <c r="AB5" s="11">
        <v>36834</v>
      </c>
      <c r="AC5" s="14">
        <v>0</v>
      </c>
      <c r="AD5" s="14">
        <v>0</v>
      </c>
      <c r="AE5" s="13">
        <f>AE4-AC5+AD5</f>
        <v>495450.4192</v>
      </c>
      <c r="AF5" s="13"/>
      <c r="AG5" s="14">
        <v>10</v>
      </c>
      <c r="AH5" s="14">
        <v>0</v>
      </c>
      <c r="AI5" s="14">
        <f t="shared" si="2"/>
        <v>200</v>
      </c>
      <c r="AK5" s="11">
        <f t="shared" si="0"/>
        <v>36834</v>
      </c>
      <c r="AL5" s="12">
        <f>480000+78000</f>
        <v>558000</v>
      </c>
      <c r="AM5" s="12">
        <f>488357+86492</f>
        <v>574849</v>
      </c>
      <c r="AO5" s="15">
        <f t="shared" si="1"/>
        <v>36834</v>
      </c>
      <c r="AP5" s="12">
        <f>232006+34239</f>
        <v>266245</v>
      </c>
      <c r="AQ5" s="12"/>
      <c r="AR5" s="12"/>
    </row>
    <row r="6" spans="1:44" x14ac:dyDescent="0.2">
      <c r="A6" s="27" t="s">
        <v>21</v>
      </c>
      <c r="B6" s="28">
        <v>-1240000</v>
      </c>
      <c r="C6" s="12">
        <v>-1240000</v>
      </c>
      <c r="D6" s="27" t="s">
        <v>22</v>
      </c>
      <c r="E6" s="29"/>
      <c r="F6" s="28">
        <v>-203000</v>
      </c>
      <c r="G6" s="12">
        <v>-203000</v>
      </c>
      <c r="I6" s="12"/>
      <c r="J6" s="27" t="s">
        <v>23</v>
      </c>
      <c r="K6" s="29"/>
      <c r="L6" s="30">
        <f>18300*2</f>
        <v>36600</v>
      </c>
      <c r="M6" s="9">
        <f>16600*2</f>
        <v>33200</v>
      </c>
      <c r="N6" s="31">
        <f>+M6-L6</f>
        <v>-3400</v>
      </c>
      <c r="AB6" s="11">
        <v>36835</v>
      </c>
      <c r="AC6" s="14">
        <v>0</v>
      </c>
      <c r="AD6" s="14">
        <v>0</v>
      </c>
      <c r="AE6" s="13">
        <f>AE5-AC6+AD6</f>
        <v>495450.4192</v>
      </c>
      <c r="AF6" s="13"/>
      <c r="AG6" s="14">
        <v>10</v>
      </c>
      <c r="AH6" s="14">
        <v>0</v>
      </c>
      <c r="AI6" s="14">
        <f t="shared" si="2"/>
        <v>190</v>
      </c>
      <c r="AK6" s="11">
        <f t="shared" si="0"/>
        <v>36835</v>
      </c>
      <c r="AL6" s="12">
        <f>480000+76000</f>
        <v>556000</v>
      </c>
      <c r="AM6" s="12">
        <f>462731+72910</f>
        <v>535641</v>
      </c>
      <c r="AO6" s="15">
        <f t="shared" si="1"/>
        <v>36835</v>
      </c>
      <c r="AP6" s="12">
        <f>34239+232006</f>
        <v>266245</v>
      </c>
      <c r="AQ6" s="12"/>
      <c r="AR6" s="12"/>
    </row>
    <row r="7" spans="1:44" x14ac:dyDescent="0.2">
      <c r="A7" s="27" t="s">
        <v>25</v>
      </c>
      <c r="B7" s="28"/>
      <c r="D7" s="27" t="s">
        <v>25</v>
      </c>
      <c r="E7" s="29"/>
      <c r="F7" s="28">
        <v>0</v>
      </c>
      <c r="H7" s="12"/>
      <c r="I7" s="12"/>
      <c r="J7" s="27" t="s">
        <v>26</v>
      </c>
      <c r="K7" s="29"/>
      <c r="L7" s="32">
        <v>0</v>
      </c>
      <c r="M7" s="9">
        <v>0</v>
      </c>
      <c r="N7" s="33">
        <f>+M7-L7</f>
        <v>0</v>
      </c>
      <c r="AB7" s="11">
        <v>36836</v>
      </c>
      <c r="AC7" s="14">
        <v>0</v>
      </c>
      <c r="AD7" s="14">
        <v>0</v>
      </c>
      <c r="AE7" s="13">
        <f>AE6-AC7+AD7</f>
        <v>495450.4192</v>
      </c>
      <c r="AF7" s="13"/>
      <c r="AG7" s="14">
        <v>200</v>
      </c>
      <c r="AH7" s="14">
        <v>10</v>
      </c>
      <c r="AI7" s="14">
        <f t="shared" si="2"/>
        <v>0</v>
      </c>
      <c r="AK7" s="11">
        <f t="shared" si="0"/>
        <v>36836</v>
      </c>
      <c r="AL7" s="12">
        <f>445000+69000</f>
        <v>514000</v>
      </c>
      <c r="AM7" s="12">
        <f>556513+87755</f>
        <v>644268</v>
      </c>
      <c r="AO7" s="15">
        <f t="shared" si="1"/>
        <v>36836</v>
      </c>
      <c r="AP7" s="12">
        <f>34239+232006</f>
        <v>266245</v>
      </c>
      <c r="AQ7" s="12"/>
      <c r="AR7" s="12"/>
    </row>
    <row r="8" spans="1:44" ht="13.5" thickBot="1" x14ac:dyDescent="0.25">
      <c r="A8" s="52" t="s">
        <v>67</v>
      </c>
      <c r="B8" s="28">
        <v>-25000</v>
      </c>
      <c r="D8" s="27" t="s">
        <v>28</v>
      </c>
      <c r="E8" s="29"/>
      <c r="F8" s="28"/>
      <c r="H8" s="12"/>
      <c r="I8" s="12"/>
      <c r="J8" s="34" t="s">
        <v>29</v>
      </c>
      <c r="K8" s="35"/>
      <c r="L8" s="36">
        <f>(+L6-L7)/2</f>
        <v>18300</v>
      </c>
      <c r="M8" s="36">
        <f>(+M6-M7)/2</f>
        <v>16600</v>
      </c>
      <c r="N8" s="37">
        <f>+M8-L8</f>
        <v>-1700</v>
      </c>
      <c r="AB8" s="11">
        <v>36837</v>
      </c>
      <c r="AC8" s="14">
        <v>0</v>
      </c>
      <c r="AD8" s="14">
        <v>0</v>
      </c>
      <c r="AE8" s="13">
        <f t="shared" ref="AE8:AE31" si="3">AE7-AC8+AD8</f>
        <v>495450.4192</v>
      </c>
      <c r="AF8" s="13"/>
      <c r="AG8" s="14">
        <v>10</v>
      </c>
      <c r="AH8" s="14">
        <v>10</v>
      </c>
      <c r="AI8" s="14">
        <f t="shared" si="2"/>
        <v>0</v>
      </c>
      <c r="AK8" s="11">
        <f t="shared" si="0"/>
        <v>36837</v>
      </c>
      <c r="AL8" s="12">
        <f>530000+87000</f>
        <v>617000</v>
      </c>
      <c r="AM8" s="12">
        <f>108959+600348</f>
        <v>709307</v>
      </c>
      <c r="AO8" s="15">
        <f t="shared" si="1"/>
        <v>36837</v>
      </c>
      <c r="AP8" s="12">
        <f>231393+32609</f>
        <v>264002</v>
      </c>
      <c r="AQ8" s="12"/>
      <c r="AR8" s="12"/>
    </row>
    <row r="9" spans="1:44" x14ac:dyDescent="0.2">
      <c r="A9" s="52" t="s">
        <v>68</v>
      </c>
      <c r="B9" s="28">
        <v>0</v>
      </c>
      <c r="D9" s="27" t="s">
        <v>30</v>
      </c>
      <c r="E9" s="29"/>
      <c r="F9" s="28">
        <v>-13000</v>
      </c>
      <c r="H9" s="12"/>
      <c r="I9" s="12"/>
      <c r="M9" s="12"/>
      <c r="AB9" s="11">
        <v>36838</v>
      </c>
      <c r="AC9" s="14">
        <v>0</v>
      </c>
      <c r="AD9" s="14">
        <v>0</v>
      </c>
      <c r="AE9" s="13">
        <f t="shared" si="3"/>
        <v>495450.4192</v>
      </c>
      <c r="AF9" s="13"/>
      <c r="AG9" s="14">
        <v>10</v>
      </c>
      <c r="AH9" s="14">
        <v>10</v>
      </c>
      <c r="AI9" s="14">
        <f t="shared" si="2"/>
        <v>0</v>
      </c>
      <c r="AK9" s="11">
        <f t="shared" si="0"/>
        <v>36838</v>
      </c>
      <c r="AL9" s="12">
        <f>660000+111000</f>
        <v>771000</v>
      </c>
      <c r="AM9" s="12">
        <f>106254+624431</f>
        <v>730685</v>
      </c>
      <c r="AO9" s="15">
        <f t="shared" si="1"/>
        <v>36838</v>
      </c>
      <c r="AP9" s="12">
        <f>223066+32561</f>
        <v>255627</v>
      </c>
      <c r="AQ9" s="12"/>
      <c r="AR9" s="12"/>
    </row>
    <row r="10" spans="1:44" x14ac:dyDescent="0.2">
      <c r="A10" s="52" t="s">
        <v>69</v>
      </c>
      <c r="B10" s="28">
        <f>-16667-110000</f>
        <v>-126667</v>
      </c>
      <c r="C10" s="14"/>
      <c r="D10" s="27" t="s">
        <v>60</v>
      </c>
      <c r="E10" s="29"/>
      <c r="F10" s="28">
        <v>0</v>
      </c>
      <c r="H10" s="12"/>
      <c r="I10" s="12"/>
      <c r="AB10" s="11">
        <v>36839</v>
      </c>
      <c r="AC10" s="14">
        <f>7640*2</f>
        <v>15280</v>
      </c>
      <c r="AD10" s="14">
        <v>0</v>
      </c>
      <c r="AE10" s="13">
        <f t="shared" si="3"/>
        <v>480170.4192</v>
      </c>
      <c r="AF10" s="13"/>
      <c r="AG10" s="14">
        <v>10</v>
      </c>
      <c r="AH10" s="14">
        <v>10</v>
      </c>
      <c r="AI10" s="14">
        <f t="shared" si="2"/>
        <v>0</v>
      </c>
      <c r="AK10" s="11">
        <f t="shared" si="0"/>
        <v>36839</v>
      </c>
      <c r="AL10" s="12">
        <f>720000+124000</f>
        <v>844000</v>
      </c>
      <c r="AM10" s="12">
        <f>141779+812358</f>
        <v>954137</v>
      </c>
      <c r="AO10" s="15">
        <f t="shared" si="1"/>
        <v>36839</v>
      </c>
      <c r="AP10" s="12">
        <f>232855+32711</f>
        <v>265566</v>
      </c>
      <c r="AQ10" s="12"/>
      <c r="AR10" s="12"/>
    </row>
    <row r="11" spans="1:44" x14ac:dyDescent="0.2">
      <c r="A11" s="27" t="s">
        <v>24</v>
      </c>
      <c r="B11" s="28">
        <v>0</v>
      </c>
      <c r="C11" s="14"/>
      <c r="D11" s="27" t="s">
        <v>33</v>
      </c>
      <c r="E11" s="29"/>
      <c r="F11" s="28">
        <v>0</v>
      </c>
      <c r="H11" s="12"/>
      <c r="I11" s="12"/>
      <c r="S11" s="13"/>
      <c r="AB11" s="11">
        <v>36840</v>
      </c>
      <c r="AC11" s="14">
        <v>0</v>
      </c>
      <c r="AD11" s="14">
        <v>0</v>
      </c>
      <c r="AE11" s="13">
        <f t="shared" si="3"/>
        <v>480170.4192</v>
      </c>
      <c r="AF11" s="13"/>
      <c r="AG11" s="14">
        <v>10</v>
      </c>
      <c r="AH11" s="14">
        <v>10</v>
      </c>
      <c r="AI11" s="14">
        <f t="shared" si="2"/>
        <v>0</v>
      </c>
      <c r="AK11" s="11">
        <f t="shared" si="0"/>
        <v>36840</v>
      </c>
      <c r="AL11" s="12">
        <f>800000+140000</f>
        <v>940000</v>
      </c>
      <c r="AM11" s="12">
        <f>138497+783803</f>
        <v>922300</v>
      </c>
      <c r="AO11" s="15">
        <f t="shared" si="1"/>
        <v>36840</v>
      </c>
      <c r="AP11" s="12">
        <f>214247+32711</f>
        <v>246958</v>
      </c>
      <c r="AQ11" s="12"/>
      <c r="AR11" s="12"/>
    </row>
    <row r="12" spans="1:44" x14ac:dyDescent="0.2">
      <c r="A12" s="27" t="s">
        <v>27</v>
      </c>
      <c r="B12" s="28">
        <f>-11757</f>
        <v>-11757</v>
      </c>
      <c r="D12" s="51" t="s">
        <v>76</v>
      </c>
      <c r="F12" s="48">
        <v>0</v>
      </c>
      <c r="H12" s="12" t="s">
        <v>17</v>
      </c>
      <c r="I12" s="12"/>
      <c r="S12" s="13"/>
      <c r="AB12" s="11">
        <v>36841</v>
      </c>
      <c r="AC12" s="14">
        <v>0</v>
      </c>
      <c r="AD12" s="14">
        <v>0</v>
      </c>
      <c r="AE12" s="13">
        <f t="shared" si="3"/>
        <v>480170.4192</v>
      </c>
      <c r="AF12" s="13"/>
      <c r="AG12" s="14">
        <v>10</v>
      </c>
      <c r="AH12" s="14">
        <v>10</v>
      </c>
      <c r="AI12" s="14">
        <f t="shared" si="2"/>
        <v>0</v>
      </c>
      <c r="AK12" s="11">
        <f t="shared" si="0"/>
        <v>36841</v>
      </c>
      <c r="AL12" s="12">
        <f>670000+125000</f>
        <v>795000</v>
      </c>
      <c r="AM12" s="12">
        <f>103844+661468</f>
        <v>765312</v>
      </c>
      <c r="AO12" s="15">
        <f t="shared" si="1"/>
        <v>36841</v>
      </c>
      <c r="AP12" s="12">
        <f>254628+32303</f>
        <v>286931</v>
      </c>
      <c r="AQ12" s="12"/>
      <c r="AR12" s="12"/>
    </row>
    <row r="13" spans="1:44" ht="13.5" thickBot="1" x14ac:dyDescent="0.25">
      <c r="A13" s="27" t="s">
        <v>31</v>
      </c>
      <c r="B13" s="28">
        <v>0</v>
      </c>
      <c r="D13" s="27" t="s">
        <v>34</v>
      </c>
      <c r="E13" s="29"/>
      <c r="F13" s="28">
        <v>0</v>
      </c>
      <c r="H13" s="12"/>
      <c r="I13" s="12"/>
      <c r="S13" s="13"/>
      <c r="AB13" s="11">
        <v>36842</v>
      </c>
      <c r="AC13" s="14">
        <v>0</v>
      </c>
      <c r="AD13" s="14">
        <v>0</v>
      </c>
      <c r="AE13" s="13">
        <f t="shared" si="3"/>
        <v>480170.4192</v>
      </c>
      <c r="AF13" s="13"/>
      <c r="AG13" s="14">
        <v>10</v>
      </c>
      <c r="AH13" s="14">
        <v>10</v>
      </c>
      <c r="AI13" s="14">
        <f t="shared" si="2"/>
        <v>0</v>
      </c>
      <c r="AK13" s="11">
        <f t="shared" si="0"/>
        <v>36842</v>
      </c>
      <c r="AL13" s="12">
        <f>770000+140000</f>
        <v>910000</v>
      </c>
      <c r="AM13" s="12">
        <f>646820+102834</f>
        <v>749654</v>
      </c>
      <c r="AO13" s="15">
        <f t="shared" si="1"/>
        <v>36842</v>
      </c>
      <c r="AP13" s="12">
        <f>254628+32303</f>
        <v>286931</v>
      </c>
      <c r="AQ13" s="12"/>
      <c r="AR13" s="12"/>
    </row>
    <row r="14" spans="1:44" ht="13.5" thickBot="1" x14ac:dyDescent="0.25">
      <c r="A14" s="27" t="s">
        <v>19</v>
      </c>
      <c r="B14" s="28">
        <v>0</v>
      </c>
      <c r="C14" s="2" t="s">
        <v>17</v>
      </c>
      <c r="D14" s="38" t="s">
        <v>35</v>
      </c>
      <c r="E14" s="39"/>
      <c r="F14" s="40">
        <f>SUM(F6:F13)</f>
        <v>-216000</v>
      </c>
      <c r="H14" s="12"/>
      <c r="I14" s="12"/>
      <c r="M14" s="12"/>
      <c r="S14" s="13"/>
      <c r="AB14" s="11">
        <v>36843</v>
      </c>
      <c r="AC14" s="14">
        <v>0</v>
      </c>
      <c r="AD14" s="14">
        <v>0</v>
      </c>
      <c r="AE14" s="13">
        <f t="shared" si="3"/>
        <v>480170.4192</v>
      </c>
      <c r="AF14" s="13"/>
      <c r="AG14" s="14">
        <v>10</v>
      </c>
      <c r="AH14" s="14">
        <v>10</v>
      </c>
      <c r="AI14" s="14">
        <f t="shared" si="2"/>
        <v>0</v>
      </c>
      <c r="AK14" s="11">
        <f t="shared" si="0"/>
        <v>36843</v>
      </c>
      <c r="AL14" s="12">
        <f>895000+160000</f>
        <v>1055000</v>
      </c>
      <c r="AM14" s="12">
        <f>946013+161155</f>
        <v>1107168</v>
      </c>
      <c r="AO14" s="15">
        <f t="shared" si="1"/>
        <v>36843</v>
      </c>
      <c r="AP14" s="12">
        <f>233733+32303</f>
        <v>266036</v>
      </c>
      <c r="AQ14" s="12"/>
      <c r="AR14" s="12"/>
    </row>
    <row r="15" spans="1:44" x14ac:dyDescent="0.2">
      <c r="A15" s="27" t="s">
        <v>28</v>
      </c>
      <c r="B15" s="28"/>
      <c r="C15" s="14"/>
      <c r="D15" s="27"/>
      <c r="E15" s="29"/>
      <c r="F15" s="28"/>
      <c r="H15" s="12"/>
      <c r="I15" s="12"/>
      <c r="M15" s="12"/>
      <c r="S15" s="13"/>
      <c r="AB15" s="11">
        <v>36844</v>
      </c>
      <c r="AC15" s="14">
        <v>0</v>
      </c>
      <c r="AD15" s="14">
        <v>0</v>
      </c>
      <c r="AE15" s="13">
        <f t="shared" si="3"/>
        <v>480170.4192</v>
      </c>
      <c r="AF15" s="13"/>
      <c r="AG15" s="14">
        <v>10</v>
      </c>
      <c r="AH15" s="14">
        <v>10</v>
      </c>
      <c r="AI15" s="14">
        <f t="shared" si="2"/>
        <v>0</v>
      </c>
      <c r="AK15" s="11">
        <f t="shared" si="0"/>
        <v>36844</v>
      </c>
      <c r="AL15" s="12">
        <f>855000+145000</f>
        <v>1000000</v>
      </c>
      <c r="AM15" s="12">
        <f>172328+1036569</f>
        <v>1208897</v>
      </c>
      <c r="AO15" s="15">
        <f t="shared" si="1"/>
        <v>36844</v>
      </c>
      <c r="AP15" s="12">
        <f>32811+222219</f>
        <v>255030</v>
      </c>
      <c r="AQ15" s="12"/>
      <c r="AR15" s="12"/>
    </row>
    <row r="16" spans="1:44" x14ac:dyDescent="0.2">
      <c r="A16" s="27" t="s">
        <v>34</v>
      </c>
      <c r="B16" s="48">
        <v>0</v>
      </c>
      <c r="C16" s="14"/>
      <c r="D16" s="27"/>
      <c r="E16" s="29"/>
      <c r="F16" s="28"/>
      <c r="H16" s="12"/>
      <c r="I16" s="12"/>
      <c r="M16" s="12"/>
      <c r="S16" s="13"/>
      <c r="AB16" s="11">
        <v>36845</v>
      </c>
      <c r="AC16" s="14">
        <v>0</v>
      </c>
      <c r="AD16" s="14">
        <v>0</v>
      </c>
      <c r="AE16" s="13">
        <f t="shared" si="3"/>
        <v>480170.4192</v>
      </c>
      <c r="AF16" s="13"/>
      <c r="AG16" s="14">
        <v>10</v>
      </c>
      <c r="AH16" s="14">
        <v>10</v>
      </c>
      <c r="AI16" s="14">
        <f t="shared" si="2"/>
        <v>0</v>
      </c>
      <c r="AK16" s="11">
        <f t="shared" si="0"/>
        <v>36845</v>
      </c>
      <c r="AL16" s="12">
        <f>820000+137000</f>
        <v>957000</v>
      </c>
      <c r="AM16" s="12">
        <f>145306+921361</f>
        <v>1066667</v>
      </c>
      <c r="AO16" s="15">
        <f t="shared" ref="AO16:AO31" si="4">+AK16</f>
        <v>36845</v>
      </c>
      <c r="AP16" s="12">
        <f>32862+271097</f>
        <v>303959</v>
      </c>
      <c r="AQ16" s="12"/>
      <c r="AR16" s="12"/>
    </row>
    <row r="17" spans="1:44" x14ac:dyDescent="0.2">
      <c r="A17" s="27" t="s">
        <v>36</v>
      </c>
      <c r="B17" s="28">
        <v>0</v>
      </c>
      <c r="C17" s="14"/>
      <c r="D17" s="27"/>
      <c r="E17" s="29"/>
      <c r="F17" s="28"/>
      <c r="H17" s="12"/>
      <c r="I17" s="12"/>
      <c r="M17" s="12"/>
      <c r="S17" s="13"/>
      <c r="AB17" s="11">
        <v>36846</v>
      </c>
      <c r="AC17" s="14">
        <v>0</v>
      </c>
      <c r="AD17" s="14">
        <v>0</v>
      </c>
      <c r="AE17" s="13">
        <f t="shared" si="3"/>
        <v>480170.4192</v>
      </c>
      <c r="AF17" s="13"/>
      <c r="AG17" s="14">
        <v>10</v>
      </c>
      <c r="AH17" s="14">
        <v>10</v>
      </c>
      <c r="AI17" s="14">
        <f t="shared" si="2"/>
        <v>0</v>
      </c>
      <c r="AK17" s="11">
        <f t="shared" si="0"/>
        <v>36846</v>
      </c>
      <c r="AL17" s="12">
        <f>1100000+175000</f>
        <v>1275000</v>
      </c>
      <c r="AM17" s="12">
        <f>158809+1015867</f>
        <v>1174676</v>
      </c>
      <c r="AO17" s="15">
        <f t="shared" si="4"/>
        <v>36846</v>
      </c>
      <c r="AP17" s="12">
        <f>242072+32862</f>
        <v>274934</v>
      </c>
      <c r="AQ17" s="12"/>
      <c r="AR17" s="12"/>
    </row>
    <row r="18" spans="1:44" x14ac:dyDescent="0.2">
      <c r="A18" s="27" t="s">
        <v>32</v>
      </c>
      <c r="B18" s="28">
        <v>0</v>
      </c>
      <c r="C18" s="2" t="s">
        <v>17</v>
      </c>
      <c r="D18" s="27"/>
      <c r="E18" s="29"/>
      <c r="F18" s="28"/>
      <c r="G18" s="14" t="s">
        <v>17</v>
      </c>
      <c r="H18" s="12"/>
      <c r="I18" s="12"/>
      <c r="M18" s="12"/>
      <c r="S18" s="13"/>
      <c r="AB18" s="11">
        <v>36847</v>
      </c>
      <c r="AC18" s="14">
        <v>0</v>
      </c>
      <c r="AD18" s="14">
        <v>0</v>
      </c>
      <c r="AE18" s="13">
        <f t="shared" si="3"/>
        <v>480170.4192</v>
      </c>
      <c r="AF18" s="13"/>
      <c r="AG18" s="14">
        <v>10</v>
      </c>
      <c r="AH18" s="14">
        <v>10</v>
      </c>
      <c r="AI18" s="14">
        <f t="shared" si="2"/>
        <v>0</v>
      </c>
      <c r="AK18" s="11">
        <f t="shared" si="0"/>
        <v>36847</v>
      </c>
      <c r="AL18" s="12">
        <f>1075000+175000</f>
        <v>1250000</v>
      </c>
      <c r="AM18" s="12">
        <f>1064797+174419</f>
        <v>1239216</v>
      </c>
      <c r="AO18" s="15">
        <f t="shared" si="4"/>
        <v>36847</v>
      </c>
      <c r="AP18" s="12">
        <f>277528+33302</f>
        <v>310830</v>
      </c>
      <c r="AQ18" s="12"/>
      <c r="AR18" s="12"/>
    </row>
    <row r="19" spans="1:44" x14ac:dyDescent="0.2">
      <c r="A19" s="27" t="s">
        <v>58</v>
      </c>
      <c r="B19" s="28">
        <v>-10000</v>
      </c>
      <c r="C19" s="50"/>
      <c r="D19" s="27"/>
      <c r="E19" s="29"/>
      <c r="F19" s="28"/>
      <c r="H19" s="12"/>
      <c r="I19" s="12"/>
      <c r="M19" s="12"/>
      <c r="S19" s="13"/>
      <c r="AB19" s="11">
        <v>36848</v>
      </c>
      <c r="AC19" s="14">
        <f>5025*2</f>
        <v>10050</v>
      </c>
      <c r="AD19" s="14">
        <v>0</v>
      </c>
      <c r="AE19" s="13">
        <f t="shared" si="3"/>
        <v>470120.4192</v>
      </c>
      <c r="AF19" s="13"/>
      <c r="AG19" s="14">
        <v>10</v>
      </c>
      <c r="AH19" s="14">
        <v>10</v>
      </c>
      <c r="AI19" s="14">
        <f t="shared" si="2"/>
        <v>0</v>
      </c>
      <c r="AK19" s="11">
        <f t="shared" si="0"/>
        <v>36848</v>
      </c>
      <c r="AL19" s="12">
        <f>990000+155000</f>
        <v>1145000</v>
      </c>
      <c r="AM19" s="12">
        <f>1084182+180268</f>
        <v>1264450</v>
      </c>
      <c r="AO19" s="15">
        <f t="shared" si="4"/>
        <v>36848</v>
      </c>
      <c r="AP19" s="12">
        <f>280122+33056</f>
        <v>313178</v>
      </c>
      <c r="AQ19" s="12"/>
      <c r="AR19" s="12"/>
    </row>
    <row r="20" spans="1:44" x14ac:dyDescent="0.2">
      <c r="A20" s="27" t="s">
        <v>59</v>
      </c>
      <c r="B20" s="28">
        <v>0</v>
      </c>
      <c r="C20" s="14"/>
      <c r="D20" s="27"/>
      <c r="E20" s="29"/>
      <c r="F20" s="28"/>
      <c r="H20" s="12"/>
      <c r="I20" s="12"/>
      <c r="S20" s="13"/>
      <c r="AB20" s="11">
        <v>36849</v>
      </c>
      <c r="AC20" s="14">
        <f>1375*2</f>
        <v>2750</v>
      </c>
      <c r="AD20" s="14">
        <v>0</v>
      </c>
      <c r="AE20" s="13">
        <f t="shared" si="3"/>
        <v>467370.4192</v>
      </c>
      <c r="AF20" s="13"/>
      <c r="AG20" s="14">
        <v>10</v>
      </c>
      <c r="AH20" s="14">
        <v>10</v>
      </c>
      <c r="AI20" s="14">
        <f t="shared" si="2"/>
        <v>0</v>
      </c>
      <c r="AK20" s="11">
        <f t="shared" si="0"/>
        <v>36849</v>
      </c>
      <c r="AL20" s="12">
        <f>1010000+160000</f>
        <v>1170000</v>
      </c>
      <c r="AM20" s="12">
        <f>1070824+170271</f>
        <v>1241095</v>
      </c>
      <c r="AO20" s="15">
        <f t="shared" si="4"/>
        <v>36849</v>
      </c>
      <c r="AP20" s="12">
        <f>280122+33056</f>
        <v>313178</v>
      </c>
      <c r="AQ20" s="12"/>
      <c r="AR20" s="12"/>
    </row>
    <row r="21" spans="1:44" x14ac:dyDescent="0.2">
      <c r="A21" s="27" t="s">
        <v>37</v>
      </c>
      <c r="B21" s="28">
        <v>0</v>
      </c>
      <c r="C21" s="14"/>
      <c r="D21" s="27"/>
      <c r="E21" s="29"/>
      <c r="F21" s="41"/>
      <c r="H21" s="12"/>
      <c r="I21" s="12"/>
      <c r="S21" s="13"/>
      <c r="AB21" s="11">
        <v>36850</v>
      </c>
      <c r="AC21" s="14">
        <f>18300*2</f>
        <v>36600</v>
      </c>
      <c r="AD21" s="14">
        <v>0</v>
      </c>
      <c r="AE21" s="13">
        <f t="shared" si="3"/>
        <v>430770.4192</v>
      </c>
      <c r="AF21" s="13"/>
      <c r="AG21" s="14">
        <v>10</v>
      </c>
      <c r="AH21" s="14">
        <v>10</v>
      </c>
      <c r="AI21" s="14">
        <f t="shared" si="2"/>
        <v>0</v>
      </c>
      <c r="AK21" s="11">
        <f t="shared" si="0"/>
        <v>36850</v>
      </c>
      <c r="AL21" s="12">
        <f>1300000+210000</f>
        <v>1510000</v>
      </c>
      <c r="AM21" s="12"/>
      <c r="AO21" s="15">
        <f t="shared" si="4"/>
        <v>36850</v>
      </c>
      <c r="AP21" s="12">
        <f>299777+33056</f>
        <v>332833</v>
      </c>
      <c r="AQ21" s="12"/>
      <c r="AR21" s="12"/>
    </row>
    <row r="22" spans="1:44" x14ac:dyDescent="0.2">
      <c r="A22" s="27" t="s">
        <v>30</v>
      </c>
      <c r="B22" s="48">
        <v>-833</v>
      </c>
      <c r="C22" s="14">
        <f>+B26+B54</f>
        <v>0</v>
      </c>
      <c r="D22" s="27"/>
      <c r="E22" s="29"/>
      <c r="F22" s="41"/>
      <c r="H22" s="12"/>
      <c r="I22" s="12"/>
      <c r="S22" s="13"/>
      <c r="AB22" s="11">
        <v>36851</v>
      </c>
      <c r="AC22" s="14">
        <f>16600*2</f>
        <v>33200</v>
      </c>
      <c r="AD22" s="14">
        <v>0</v>
      </c>
      <c r="AE22" s="13">
        <f t="shared" si="3"/>
        <v>397570.4192</v>
      </c>
      <c r="AF22" s="13"/>
      <c r="AG22" s="14">
        <v>10</v>
      </c>
      <c r="AH22" s="14">
        <v>10</v>
      </c>
      <c r="AI22" s="14">
        <f t="shared" si="2"/>
        <v>0</v>
      </c>
      <c r="AK22" s="11">
        <f t="shared" si="0"/>
        <v>36851</v>
      </c>
      <c r="AL22" s="12">
        <f>1300000+205000</f>
        <v>1505000</v>
      </c>
      <c r="AM22" s="12"/>
      <c r="AO22" s="15">
        <f t="shared" si="4"/>
        <v>36851</v>
      </c>
      <c r="AP22" s="12">
        <f>305514+33280</f>
        <v>338794</v>
      </c>
      <c r="AQ22" s="12"/>
      <c r="AR22" s="12"/>
    </row>
    <row r="23" spans="1:44" x14ac:dyDescent="0.2">
      <c r="A23" s="27" t="s">
        <v>38</v>
      </c>
      <c r="B23" s="28">
        <v>414</v>
      </c>
      <c r="C23" s="14" t="s">
        <v>17</v>
      </c>
      <c r="D23" s="27" t="s">
        <v>41</v>
      </c>
      <c r="E23" s="29"/>
      <c r="F23" s="28">
        <v>39111</v>
      </c>
      <c r="H23" s="12"/>
      <c r="I23" s="12"/>
      <c r="M23" s="2">
        <v>0.32</v>
      </c>
      <c r="S23" s="13"/>
      <c r="AB23" s="11">
        <v>36852</v>
      </c>
      <c r="AC23" s="14">
        <v>0</v>
      </c>
      <c r="AD23" s="14">
        <v>0</v>
      </c>
      <c r="AE23" s="13">
        <f t="shared" si="3"/>
        <v>397570.4192</v>
      </c>
      <c r="AF23" s="13"/>
      <c r="AG23" s="14">
        <v>10</v>
      </c>
      <c r="AH23" s="14">
        <v>10</v>
      </c>
      <c r="AI23" s="14">
        <f t="shared" si="2"/>
        <v>0</v>
      </c>
      <c r="AK23" s="11">
        <f t="shared" si="0"/>
        <v>36852</v>
      </c>
      <c r="AL23" s="12">
        <f>1240000+203000</f>
        <v>1443000</v>
      </c>
      <c r="AM23" s="12"/>
      <c r="AO23" s="15">
        <f t="shared" si="4"/>
        <v>36852</v>
      </c>
      <c r="AP23" s="12"/>
      <c r="AQ23" s="12"/>
      <c r="AR23" s="12"/>
    </row>
    <row r="24" spans="1:44" x14ac:dyDescent="0.2">
      <c r="A24" s="27" t="s">
        <v>39</v>
      </c>
      <c r="B24" s="28">
        <v>0</v>
      </c>
      <c r="D24" s="27" t="s">
        <v>42</v>
      </c>
      <c r="E24" s="29"/>
      <c r="F24" s="28">
        <v>5000</v>
      </c>
      <c r="H24" s="12"/>
      <c r="I24" s="12"/>
      <c r="S24" s="13"/>
      <c r="AB24" s="11">
        <v>36853</v>
      </c>
      <c r="AC24" s="14">
        <v>0</v>
      </c>
      <c r="AD24" s="14">
        <v>0</v>
      </c>
      <c r="AE24" s="13">
        <f t="shared" si="3"/>
        <v>397570.4192</v>
      </c>
      <c r="AF24" s="13"/>
      <c r="AG24" s="14">
        <v>0</v>
      </c>
      <c r="AH24" s="14">
        <v>0</v>
      </c>
      <c r="AI24" s="14">
        <f t="shared" si="2"/>
        <v>0</v>
      </c>
      <c r="AK24" s="11">
        <f t="shared" si="0"/>
        <v>36853</v>
      </c>
      <c r="AL24" s="12">
        <f>985000+149000</f>
        <v>1134000</v>
      </c>
      <c r="AM24" s="12"/>
      <c r="AO24" s="15">
        <f t="shared" si="4"/>
        <v>36853</v>
      </c>
      <c r="AP24" s="12"/>
      <c r="AQ24" s="12"/>
      <c r="AR24" s="12"/>
    </row>
    <row r="25" spans="1:44" ht="13.5" thickBot="1" x14ac:dyDescent="0.25">
      <c r="A25" s="27" t="s">
        <v>40</v>
      </c>
      <c r="B25" s="28">
        <v>0</v>
      </c>
      <c r="D25" s="27" t="s">
        <v>43</v>
      </c>
      <c r="E25" s="29"/>
      <c r="F25" s="28">
        <v>14135</v>
      </c>
      <c r="H25" s="12"/>
      <c r="I25" s="12"/>
      <c r="S25" s="13"/>
      <c r="AB25" s="11">
        <v>36854</v>
      </c>
      <c r="AC25" s="14">
        <v>0</v>
      </c>
      <c r="AD25" s="14">
        <v>0</v>
      </c>
      <c r="AE25" s="13">
        <f t="shared" si="3"/>
        <v>397570.4192</v>
      </c>
      <c r="AF25" s="13"/>
      <c r="AG25" s="14">
        <v>0</v>
      </c>
      <c r="AH25" s="14">
        <v>0</v>
      </c>
      <c r="AI25" s="14">
        <f t="shared" si="2"/>
        <v>0</v>
      </c>
      <c r="AK25" s="11">
        <f t="shared" si="0"/>
        <v>36854</v>
      </c>
      <c r="AL25" s="12">
        <f>910000+135000</f>
        <v>1045000</v>
      </c>
      <c r="AM25" s="12"/>
      <c r="AO25" s="15">
        <f t="shared" si="4"/>
        <v>36854</v>
      </c>
      <c r="AP25" s="12"/>
      <c r="AQ25" s="12"/>
      <c r="AR25" s="12"/>
    </row>
    <row r="26" spans="1:44" ht="13.5" thickBot="1" x14ac:dyDescent="0.25">
      <c r="A26" s="38" t="s">
        <v>35</v>
      </c>
      <c r="B26" s="40">
        <f>SUM(B6:B25)</f>
        <v>-1413843</v>
      </c>
      <c r="D26" s="27" t="s">
        <v>44</v>
      </c>
      <c r="E26" s="29"/>
      <c r="F26" s="28">
        <v>33280</v>
      </c>
      <c r="H26" s="12"/>
      <c r="I26" s="12"/>
      <c r="S26" s="13"/>
      <c r="AB26" s="11">
        <v>36855</v>
      </c>
      <c r="AC26" s="14">
        <v>0</v>
      </c>
      <c r="AD26" s="14">
        <v>0</v>
      </c>
      <c r="AE26" s="13">
        <f t="shared" si="3"/>
        <v>397570.4192</v>
      </c>
      <c r="AF26" s="13"/>
      <c r="AG26" s="14">
        <v>0</v>
      </c>
      <c r="AH26" s="14">
        <v>0</v>
      </c>
      <c r="AI26" s="14">
        <f t="shared" si="2"/>
        <v>0</v>
      </c>
      <c r="AK26" s="11">
        <f t="shared" si="0"/>
        <v>36855</v>
      </c>
      <c r="AL26" s="12">
        <f>880000+130000</f>
        <v>1010000</v>
      </c>
      <c r="AM26" s="12"/>
      <c r="AO26" s="15">
        <f t="shared" si="4"/>
        <v>36855</v>
      </c>
      <c r="AP26" s="12"/>
      <c r="AQ26" s="12"/>
      <c r="AR26" s="12"/>
    </row>
    <row r="27" spans="1:44" x14ac:dyDescent="0.2">
      <c r="A27" s="27"/>
      <c r="B27" s="28"/>
      <c r="D27" s="27" t="s">
        <v>70</v>
      </c>
      <c r="E27" s="29"/>
      <c r="F27" s="28">
        <v>6000</v>
      </c>
      <c r="H27" s="12"/>
      <c r="I27" s="12"/>
      <c r="S27" s="13"/>
      <c r="AB27" s="11">
        <v>36856</v>
      </c>
      <c r="AC27" s="14">
        <v>0</v>
      </c>
      <c r="AD27" s="14">
        <v>0</v>
      </c>
      <c r="AE27" s="13">
        <f t="shared" si="3"/>
        <v>397570.4192</v>
      </c>
      <c r="AF27" s="13"/>
      <c r="AG27" s="14">
        <v>0</v>
      </c>
      <c r="AH27" s="14">
        <v>0</v>
      </c>
      <c r="AI27" s="14">
        <f t="shared" si="2"/>
        <v>0</v>
      </c>
      <c r="AK27" s="11">
        <f t="shared" si="0"/>
        <v>36856</v>
      </c>
      <c r="AL27" s="12"/>
      <c r="AM27" s="12"/>
      <c r="AO27" s="15">
        <f t="shared" si="4"/>
        <v>36856</v>
      </c>
      <c r="AP27" s="12"/>
      <c r="AQ27" s="12"/>
      <c r="AR27" s="12"/>
    </row>
    <row r="28" spans="1:44" x14ac:dyDescent="0.2">
      <c r="A28" s="27" t="s">
        <v>41</v>
      </c>
      <c r="B28" s="28">
        <v>234599</v>
      </c>
      <c r="D28" s="27" t="s">
        <v>71</v>
      </c>
      <c r="E28" s="29"/>
      <c r="F28" s="28">
        <v>7000</v>
      </c>
      <c r="H28" s="12"/>
      <c r="I28" s="12"/>
      <c r="S28" s="13"/>
      <c r="AB28" s="11">
        <v>36857</v>
      </c>
      <c r="AC28" s="14">
        <v>0</v>
      </c>
      <c r="AD28" s="14">
        <v>0</v>
      </c>
      <c r="AE28" s="13">
        <f t="shared" si="3"/>
        <v>397570.4192</v>
      </c>
      <c r="AF28" s="13"/>
      <c r="AG28" s="14">
        <v>0</v>
      </c>
      <c r="AH28" s="14">
        <v>0</v>
      </c>
      <c r="AI28" s="14">
        <f t="shared" si="2"/>
        <v>0</v>
      </c>
      <c r="AK28" s="11">
        <f t="shared" si="0"/>
        <v>36857</v>
      </c>
      <c r="AL28" s="12"/>
      <c r="AM28" s="12"/>
      <c r="AO28" s="15">
        <f t="shared" si="4"/>
        <v>36857</v>
      </c>
      <c r="AP28" s="12"/>
      <c r="AQ28" s="12"/>
      <c r="AR28" s="12"/>
    </row>
    <row r="29" spans="1:44" x14ac:dyDescent="0.2">
      <c r="A29" s="27" t="s">
        <v>42</v>
      </c>
      <c r="B29" s="28">
        <v>45000</v>
      </c>
      <c r="C29" s="14" t="s">
        <v>17</v>
      </c>
      <c r="D29" s="27" t="s">
        <v>61</v>
      </c>
      <c r="E29" s="29"/>
      <c r="F29" s="48">
        <f>53000+13000</f>
        <v>66000</v>
      </c>
      <c r="H29" s="12"/>
      <c r="I29" s="12"/>
      <c r="S29" s="13"/>
      <c r="AB29" s="11">
        <v>36858</v>
      </c>
      <c r="AC29" s="14">
        <v>0</v>
      </c>
      <c r="AD29" s="14">
        <v>0</v>
      </c>
      <c r="AE29" s="13">
        <f t="shared" si="3"/>
        <v>397570.4192</v>
      </c>
      <c r="AF29" s="13"/>
      <c r="AG29" s="14">
        <v>0</v>
      </c>
      <c r="AH29" s="14">
        <v>0</v>
      </c>
      <c r="AI29" s="14">
        <f t="shared" si="2"/>
        <v>0</v>
      </c>
      <c r="AK29" s="11">
        <f t="shared" si="0"/>
        <v>36858</v>
      </c>
      <c r="AL29" s="12"/>
      <c r="AM29" s="12"/>
      <c r="AO29" s="15">
        <f t="shared" si="4"/>
        <v>36858</v>
      </c>
      <c r="AP29" s="12"/>
      <c r="AQ29" s="12"/>
      <c r="AR29" s="12"/>
    </row>
    <row r="30" spans="1:44" x14ac:dyDescent="0.2">
      <c r="A30" s="27" t="s">
        <v>43</v>
      </c>
      <c r="B30" s="28">
        <v>88114</v>
      </c>
      <c r="D30" s="27" t="s">
        <v>73</v>
      </c>
      <c r="E30" s="29"/>
      <c r="F30" s="48">
        <v>45000</v>
      </c>
      <c r="G30" s="14"/>
      <c r="H30" s="12"/>
      <c r="I30" s="12"/>
      <c r="AB30" s="11">
        <v>36859</v>
      </c>
      <c r="AC30" s="14">
        <v>0</v>
      </c>
      <c r="AD30" s="14">
        <v>0</v>
      </c>
      <c r="AE30" s="13">
        <f t="shared" si="3"/>
        <v>397570.4192</v>
      </c>
      <c r="AF30" s="13"/>
      <c r="AG30" s="14">
        <v>0</v>
      </c>
      <c r="AH30" s="14">
        <v>0</v>
      </c>
      <c r="AI30" s="14">
        <f t="shared" si="2"/>
        <v>0</v>
      </c>
      <c r="AK30" s="11">
        <f t="shared" si="0"/>
        <v>36859</v>
      </c>
      <c r="AL30" s="12"/>
      <c r="AM30" s="12"/>
      <c r="AO30" s="15">
        <f t="shared" si="4"/>
        <v>36859</v>
      </c>
      <c r="AP30" s="12"/>
      <c r="AQ30" s="12"/>
      <c r="AR30" s="12"/>
    </row>
    <row r="31" spans="1:44" x14ac:dyDescent="0.2">
      <c r="A31" s="27" t="s">
        <v>44</v>
      </c>
      <c r="B31" s="28">
        <v>305514</v>
      </c>
      <c r="C31" s="14" t="s">
        <v>17</v>
      </c>
      <c r="D31" s="27" t="s">
        <v>75</v>
      </c>
      <c r="E31" s="29"/>
      <c r="F31" s="48">
        <v>0</v>
      </c>
      <c r="H31" s="12"/>
      <c r="I31" s="12"/>
      <c r="AB31" s="11">
        <v>36860</v>
      </c>
      <c r="AC31" s="14">
        <v>0</v>
      </c>
      <c r="AD31" s="14">
        <v>0</v>
      </c>
      <c r="AE31" s="13">
        <f t="shared" si="3"/>
        <v>397570.4192</v>
      </c>
      <c r="AF31" s="13"/>
      <c r="AG31" s="14">
        <v>0</v>
      </c>
      <c r="AH31" s="14">
        <v>0</v>
      </c>
      <c r="AI31" s="14">
        <f t="shared" si="2"/>
        <v>0</v>
      </c>
      <c r="AK31" s="11">
        <f t="shared" si="0"/>
        <v>36860</v>
      </c>
      <c r="AL31" s="12"/>
      <c r="AM31" s="12"/>
      <c r="AO31" s="15">
        <f t="shared" si="4"/>
        <v>36860</v>
      </c>
      <c r="AP31" s="12"/>
      <c r="AQ31" s="12"/>
      <c r="AR31" s="12"/>
    </row>
    <row r="32" spans="1:44" ht="13.5" thickBot="1" x14ac:dyDescent="0.25">
      <c r="A32" s="27" t="s">
        <v>65</v>
      </c>
      <c r="B32" s="28">
        <v>25000</v>
      </c>
      <c r="D32" s="27" t="s">
        <v>46</v>
      </c>
      <c r="E32" s="29"/>
      <c r="F32" s="28">
        <v>474</v>
      </c>
      <c r="G32" s="14">
        <f>+F14+F33</f>
        <v>0</v>
      </c>
      <c r="H32" s="12"/>
      <c r="I32" s="12"/>
      <c r="AB32" s="11"/>
      <c r="AC32" s="14"/>
      <c r="AD32" s="14"/>
      <c r="AE32" s="13"/>
      <c r="AF32" s="13"/>
      <c r="AG32" s="14"/>
      <c r="AH32" s="14"/>
      <c r="AI32" s="14"/>
      <c r="AK32" s="11"/>
      <c r="AL32" s="12"/>
      <c r="AM32" s="12"/>
      <c r="AO32" s="15"/>
      <c r="AP32" s="12"/>
      <c r="AQ32" s="12"/>
      <c r="AR32" s="12"/>
    </row>
    <row r="33" spans="1:44" ht="13.5" thickBot="1" x14ac:dyDescent="0.25">
      <c r="A33" s="27" t="s">
        <v>72</v>
      </c>
      <c r="B33" s="28">
        <v>57377</v>
      </c>
      <c r="D33" s="38" t="s">
        <v>47</v>
      </c>
      <c r="E33" s="39"/>
      <c r="F33" s="40">
        <f>SUM(F23:F32)</f>
        <v>216000</v>
      </c>
      <c r="H33" s="12"/>
      <c r="I33" s="12"/>
      <c r="AK33" s="11"/>
      <c r="AL33" s="12"/>
      <c r="AO33" s="15"/>
      <c r="AP33" s="12"/>
      <c r="AQ33" s="12"/>
      <c r="AR33" s="12"/>
    </row>
    <row r="34" spans="1:44" ht="13.5" thickBot="1" x14ac:dyDescent="0.25">
      <c r="A34" s="27" t="s">
        <v>77</v>
      </c>
      <c r="B34" s="28">
        <v>5000</v>
      </c>
      <c r="C34" s="14"/>
      <c r="D34" s="34"/>
      <c r="E34" s="35"/>
      <c r="F34" s="42"/>
      <c r="H34" s="12"/>
      <c r="I34" s="12"/>
      <c r="AK34" s="11"/>
      <c r="AL34" s="12"/>
      <c r="AO34" s="15"/>
      <c r="AP34" s="12"/>
      <c r="AQ34" s="12"/>
      <c r="AR34" s="12"/>
    </row>
    <row r="35" spans="1:44" x14ac:dyDescent="0.2">
      <c r="A35" s="27" t="s">
        <v>61</v>
      </c>
      <c r="B35" s="48">
        <v>180000</v>
      </c>
      <c r="F35" s="12"/>
      <c r="H35" s="12"/>
      <c r="I35" s="12"/>
      <c r="AK35" s="11"/>
      <c r="AO35" s="15"/>
      <c r="AP35" s="12"/>
      <c r="AQ35" s="12"/>
      <c r="AR35" s="12"/>
    </row>
    <row r="36" spans="1:44" x14ac:dyDescent="0.2">
      <c r="A36" s="27" t="s">
        <v>19</v>
      </c>
      <c r="B36" s="28">
        <v>0</v>
      </c>
      <c r="F36" s="12"/>
      <c r="H36" s="12"/>
      <c r="I36" s="12"/>
      <c r="AK36" s="11"/>
      <c r="AO36" s="15"/>
      <c r="AP36" s="12"/>
      <c r="AQ36" s="12"/>
      <c r="AR36" s="12"/>
    </row>
    <row r="37" spans="1:44" x14ac:dyDescent="0.2">
      <c r="A37" s="27" t="s">
        <v>48</v>
      </c>
      <c r="B37" s="28">
        <v>0</v>
      </c>
      <c r="C37" s="2" t="s">
        <v>17</v>
      </c>
      <c r="H37" s="12"/>
      <c r="I37" s="12"/>
      <c r="AQ37" s="12"/>
      <c r="AR37" s="12"/>
    </row>
    <row r="38" spans="1:44" x14ac:dyDescent="0.2">
      <c r="A38" s="27" t="s">
        <v>49</v>
      </c>
      <c r="B38" s="28">
        <v>0</v>
      </c>
      <c r="H38" s="12"/>
      <c r="I38" s="12"/>
      <c r="AQ38" s="12"/>
      <c r="AR38" s="12"/>
    </row>
    <row r="39" spans="1:44" x14ac:dyDescent="0.2">
      <c r="A39" s="27" t="s">
        <v>62</v>
      </c>
      <c r="B39" s="28">
        <v>0</v>
      </c>
      <c r="H39" s="12"/>
      <c r="I39" s="12"/>
      <c r="AO39" s="12"/>
      <c r="AP39" s="12"/>
      <c r="AQ39" s="12"/>
      <c r="AR39" s="12"/>
    </row>
    <row r="40" spans="1:44" x14ac:dyDescent="0.2">
      <c r="A40" s="27" t="s">
        <v>24</v>
      </c>
      <c r="B40" s="41"/>
      <c r="H40" s="12"/>
      <c r="I40" s="12"/>
      <c r="AO40" s="12"/>
      <c r="AP40" s="12"/>
      <c r="AQ40" s="12"/>
      <c r="AR40" s="12"/>
    </row>
    <row r="41" spans="1:44" x14ac:dyDescent="0.2">
      <c r="A41" s="27" t="s">
        <v>50</v>
      </c>
      <c r="B41" s="28">
        <v>833</v>
      </c>
      <c r="H41" s="12"/>
      <c r="I41" s="12"/>
      <c r="AO41" s="12"/>
      <c r="AP41" s="12"/>
      <c r="AQ41" s="12"/>
      <c r="AR41" s="12"/>
    </row>
    <row r="42" spans="1:44" x14ac:dyDescent="0.2">
      <c r="A42" s="27" t="s">
        <v>27</v>
      </c>
      <c r="B42" s="28">
        <v>0</v>
      </c>
      <c r="AO42" s="12"/>
      <c r="AP42" s="12"/>
      <c r="AQ42" s="12"/>
      <c r="AR42" s="12"/>
    </row>
    <row r="43" spans="1:44" x14ac:dyDescent="0.2">
      <c r="A43" s="27" t="s">
        <v>51</v>
      </c>
      <c r="B43" s="28">
        <f>1500</f>
        <v>1500</v>
      </c>
      <c r="AO43" s="12"/>
      <c r="AP43" s="12"/>
      <c r="AQ43" s="12"/>
      <c r="AR43" s="12"/>
    </row>
    <row r="44" spans="1:44" x14ac:dyDescent="0.2">
      <c r="A44" s="27" t="s">
        <v>52</v>
      </c>
      <c r="B44" s="28">
        <v>1000</v>
      </c>
      <c r="C44" s="14">
        <f>+B54+B26</f>
        <v>0</v>
      </c>
    </row>
    <row r="45" spans="1:44" x14ac:dyDescent="0.2">
      <c r="A45" s="27" t="s">
        <v>53</v>
      </c>
      <c r="B45" s="28"/>
    </row>
    <row r="46" spans="1:44" x14ac:dyDescent="0.2">
      <c r="A46" s="27" t="s">
        <v>34</v>
      </c>
      <c r="B46" s="28">
        <v>0</v>
      </c>
    </row>
    <row r="47" spans="1:44" x14ac:dyDescent="0.2">
      <c r="A47" s="27" t="s">
        <v>36</v>
      </c>
      <c r="B47" s="28">
        <v>0</v>
      </c>
      <c r="F47" s="12"/>
    </row>
    <row r="48" spans="1:44" x14ac:dyDescent="0.2">
      <c r="A48" s="27" t="s">
        <v>54</v>
      </c>
      <c r="B48" s="28">
        <v>0</v>
      </c>
      <c r="C48" s="2" t="s">
        <v>17</v>
      </c>
      <c r="F48" s="12"/>
    </row>
    <row r="49" spans="1:6" x14ac:dyDescent="0.2">
      <c r="A49" s="27" t="s">
        <v>55</v>
      </c>
      <c r="B49" s="28">
        <v>0</v>
      </c>
      <c r="C49" s="14" t="s">
        <v>17</v>
      </c>
      <c r="F49" s="12"/>
    </row>
    <row r="50" spans="1:6" x14ac:dyDescent="0.2">
      <c r="A50" s="27" t="s">
        <v>56</v>
      </c>
      <c r="B50" s="28">
        <v>0</v>
      </c>
      <c r="F50" s="12"/>
    </row>
    <row r="51" spans="1:6" x14ac:dyDescent="0.2">
      <c r="A51" s="27" t="s">
        <v>37</v>
      </c>
      <c r="B51" s="28">
        <v>0</v>
      </c>
    </row>
    <row r="52" spans="1:6" x14ac:dyDescent="0.2">
      <c r="A52" s="27" t="s">
        <v>30</v>
      </c>
      <c r="B52" s="28">
        <f>285409+28424+155957</f>
        <v>469790</v>
      </c>
      <c r="F52" s="12"/>
    </row>
    <row r="53" spans="1:6" ht="13.5" thickBot="1" x14ac:dyDescent="0.25">
      <c r="A53" s="27" t="s">
        <v>46</v>
      </c>
      <c r="B53" s="28">
        <v>116</v>
      </c>
      <c r="F53" s="12"/>
    </row>
    <row r="54" spans="1:6" ht="13.5" thickBot="1" x14ac:dyDescent="0.25">
      <c r="A54" s="38" t="s">
        <v>47</v>
      </c>
      <c r="B54" s="40">
        <f>SUM(B28:B53)</f>
        <v>1413843</v>
      </c>
      <c r="F54" s="12"/>
    </row>
    <row r="55" spans="1:6" ht="13.5" thickBot="1" x14ac:dyDescent="0.25">
      <c r="A55" s="34"/>
      <c r="B55" s="43"/>
      <c r="F55" s="12"/>
    </row>
    <row r="56" spans="1:6" x14ac:dyDescent="0.2">
      <c r="A56" s="29"/>
      <c r="B56" s="29"/>
      <c r="F56" s="12"/>
    </row>
    <row r="57" spans="1:6" x14ac:dyDescent="0.2">
      <c r="F57" s="12"/>
    </row>
    <row r="58" spans="1:6" x14ac:dyDescent="0.2">
      <c r="F58" s="12"/>
    </row>
    <row r="59" spans="1:6" x14ac:dyDescent="0.2">
      <c r="F59" s="12"/>
    </row>
    <row r="60" spans="1:6" x14ac:dyDescent="0.2">
      <c r="F60" s="12"/>
    </row>
    <row r="61" spans="1:6" x14ac:dyDescent="0.2">
      <c r="F61" s="12"/>
    </row>
  </sheetData>
  <phoneticPr fontId="0" type="noConversion"/>
  <pageMargins left="0.75" right="0.75" top="1" bottom="1" header="0.5" footer="0.5"/>
  <pageSetup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2000-10-31T15:05:26Z</cp:lastPrinted>
  <dcterms:created xsi:type="dcterms:W3CDTF">2000-09-26T13:26:15Z</dcterms:created>
  <dcterms:modified xsi:type="dcterms:W3CDTF">2014-09-05T06:39:47Z</dcterms:modified>
</cp:coreProperties>
</file>