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37" i="12" s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6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J48" i="80"/>
  <c r="B55" i="80"/>
  <c r="F55" i="80"/>
  <c r="F56" i="80"/>
  <c r="B57" i="80"/>
  <c r="F57" i="80"/>
  <c r="F58" i="80"/>
  <c r="F62" i="80"/>
  <c r="F63" i="80"/>
  <c r="F64" i="80"/>
  <c r="F65" i="80"/>
  <c r="F66" i="80"/>
  <c r="F70" i="80"/>
  <c r="F71" i="80"/>
  <c r="F72" i="80"/>
  <c r="F73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N5" i="13"/>
  <c r="F6" i="13"/>
  <c r="I6" i="13"/>
  <c r="J6" i="13"/>
  <c r="K6" i="13" s="1"/>
  <c r="M6" i="13" s="1"/>
  <c r="N6" i="13"/>
  <c r="F7" i="13"/>
  <c r="I7" i="13"/>
  <c r="J7" i="13"/>
  <c r="K7" i="13"/>
  <c r="M7" i="13"/>
  <c r="N7" i="13"/>
  <c r="N10" i="13" s="1"/>
  <c r="F8" i="13"/>
  <c r="I8" i="13"/>
  <c r="J8" i="13"/>
  <c r="K8" i="13" s="1"/>
  <c r="M8" i="13"/>
  <c r="N8" i="13"/>
  <c r="F9" i="13"/>
  <c r="I9" i="13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D47" i="13" s="1"/>
  <c r="C36" i="13"/>
  <c r="C37" i="13"/>
  <c r="F40" i="13"/>
  <c r="A46" i="13"/>
  <c r="A47" i="13"/>
  <c r="D48" i="13"/>
  <c r="D25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6" i="73" s="1"/>
  <c r="I35" i="73" s="1"/>
  <c r="I36" i="73" s="1"/>
  <c r="C35" i="73"/>
  <c r="D35" i="73"/>
  <c r="E35" i="73"/>
  <c r="H35" i="73"/>
  <c r="J35" i="73"/>
  <c r="E36" i="73"/>
  <c r="J36" i="73"/>
  <c r="C37" i="73"/>
  <c r="E37" i="73"/>
  <c r="E38" i="73" s="1"/>
  <c r="F39" i="73"/>
  <c r="E40" i="73"/>
  <c r="B9" i="20"/>
  <c r="B11" i="20"/>
  <c r="B17" i="20" s="1"/>
  <c r="F38" i="20" s="1"/>
  <c r="F39" i="20" s="1"/>
  <c r="B12" i="20"/>
  <c r="B13" i="20"/>
  <c r="B14" i="20"/>
  <c r="B15" i="20"/>
  <c r="B16" i="20"/>
  <c r="E16" i="20"/>
  <c r="B30" i="20"/>
  <c r="G38" i="20" s="1"/>
  <c r="G39" i="20" s="1"/>
  <c r="E37" i="20"/>
  <c r="E38" i="20"/>
  <c r="B45" i="20"/>
  <c r="H38" i="20" s="1"/>
  <c r="H39" i="20" s="1"/>
  <c r="I39" i="20" s="1"/>
  <c r="I56" i="20" s="1"/>
  <c r="M51" i="73" s="1"/>
  <c r="D5" i="11"/>
  <c r="H5" i="11" s="1"/>
  <c r="D6" i="11"/>
  <c r="H6" i="11"/>
  <c r="D7" i="11"/>
  <c r="H7" i="11"/>
  <c r="D8" i="11"/>
  <c r="H8" i="11"/>
  <c r="AB8" i="11"/>
  <c r="AN8" i="11" s="1"/>
  <c r="AF8" i="11"/>
  <c r="AI8" i="11"/>
  <c r="AL8" i="11"/>
  <c r="AM8" i="11"/>
  <c r="AO8" i="11"/>
  <c r="AP8" i="11"/>
  <c r="D9" i="11"/>
  <c r="H9" i="11" s="1"/>
  <c r="AC9" i="11"/>
  <c r="AF9" i="11"/>
  <c r="AI9" i="11"/>
  <c r="AL9" i="11"/>
  <c r="AM9" i="11"/>
  <c r="AN9" i="11"/>
  <c r="AO9" i="11"/>
  <c r="AP9" i="11"/>
  <c r="D10" i="11"/>
  <c r="H10" i="11" s="1"/>
  <c r="AC10" i="11"/>
  <c r="AF10" i="11"/>
  <c r="AI10" i="11"/>
  <c r="AL10" i="11"/>
  <c r="AM10" i="11"/>
  <c r="AN10" i="11"/>
  <c r="AO10" i="11"/>
  <c r="AP10" i="11"/>
  <c r="D11" i="11"/>
  <c r="H11" i="11" s="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 s="1"/>
  <c r="AC14" i="11"/>
  <c r="AF14" i="11"/>
  <c r="AI14" i="11"/>
  <c r="AL14" i="11"/>
  <c r="AM14" i="11"/>
  <c r="AN14" i="11"/>
  <c r="AO14" i="11"/>
  <c r="AP14" i="11"/>
  <c r="D15" i="11"/>
  <c r="H15" i="11" s="1"/>
  <c r="AC15" i="11"/>
  <c r="AF15" i="11"/>
  <c r="AI15" i="11"/>
  <c r="AL15" i="11"/>
  <c r="AM15" i="11"/>
  <c r="AN15" i="11"/>
  <c r="AO15" i="11"/>
  <c r="AP15" i="11"/>
  <c r="D16" i="11"/>
  <c r="H16" i="11"/>
  <c r="AA16" i="11"/>
  <c r="AM16" i="11" s="1"/>
  <c r="AC16" i="11"/>
  <c r="AF16" i="11"/>
  <c r="AI16" i="11"/>
  <c r="AL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 s="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 s="1"/>
  <c r="AI20" i="11"/>
  <c r="AL20" i="11"/>
  <c r="AM20" i="11"/>
  <c r="AN20" i="11"/>
  <c r="AO20" i="11"/>
  <c r="D21" i="11"/>
  <c r="H21" i="11" s="1"/>
  <c r="AC21" i="11"/>
  <c r="AF21" i="11"/>
  <c r="AI21" i="11"/>
  <c r="AL21" i="11"/>
  <c r="AM21" i="11"/>
  <c r="AN21" i="11"/>
  <c r="AO21" i="11"/>
  <c r="AP21" i="11"/>
  <c r="D22" i="11"/>
  <c r="H22" i="11" s="1"/>
  <c r="AC22" i="11"/>
  <c r="AF22" i="11"/>
  <c r="AI22" i="11"/>
  <c r="AL22" i="11"/>
  <c r="AM22" i="11"/>
  <c r="AN22" i="11"/>
  <c r="AO22" i="11"/>
  <c r="AP22" i="11"/>
  <c r="D23" i="11"/>
  <c r="H23" i="11" s="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 s="1"/>
  <c r="AC25" i="11"/>
  <c r="AF25" i="11"/>
  <c r="AI25" i="11"/>
  <c r="AL25" i="11"/>
  <c r="AM25" i="11"/>
  <c r="AN25" i="11"/>
  <c r="AO25" i="11"/>
  <c r="AP25" i="11"/>
  <c r="D26" i="11"/>
  <c r="H26" i="11" s="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E36" i="11"/>
  <c r="F36" i="11"/>
  <c r="G36" i="11"/>
  <c r="AC36" i="11"/>
  <c r="AE36" i="11"/>
  <c r="AP36" i="11" s="1"/>
  <c r="AI36" i="11"/>
  <c r="AL36" i="11"/>
  <c r="AM36" i="11"/>
  <c r="AN36" i="11"/>
  <c r="AO36" i="11"/>
  <c r="C37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D47" i="22" s="1"/>
  <c r="D48" i="22" s="1"/>
  <c r="D27" i="80" s="1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 s="1"/>
  <c r="C13" i="63" s="1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8" i="65" s="1"/>
  <c r="D33" i="65" s="1"/>
  <c r="D34" i="65" s="1"/>
  <c r="D24" i="80" s="1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H5" i="7" s="1"/>
  <c r="AG5" i="7"/>
  <c r="AG6" i="7" s="1"/>
  <c r="AG7" i="7" s="1"/>
  <c r="F6" i="7"/>
  <c r="Z6" i="7"/>
  <c r="AD6" i="7" s="1"/>
  <c r="AF6" i="7"/>
  <c r="AH6" i="7"/>
  <c r="AH7" i="7" s="1"/>
  <c r="F7" i="7"/>
  <c r="Z7" i="7"/>
  <c r="AD7" i="7" s="1"/>
  <c r="AF7" i="7" s="1"/>
  <c r="F8" i="7"/>
  <c r="Z8" i="7"/>
  <c r="AD8" i="7" s="1"/>
  <c r="AF8" i="7" s="1"/>
  <c r="AH8" i="7"/>
  <c r="F9" i="7"/>
  <c r="Z9" i="7"/>
  <c r="AD9" i="7" s="1"/>
  <c r="AF9" i="7" s="1"/>
  <c r="F10" i="7"/>
  <c r="Z10" i="7"/>
  <c r="AD10" i="7" s="1"/>
  <c r="AF10" i="7" s="1"/>
  <c r="F11" i="7"/>
  <c r="Z11" i="7"/>
  <c r="AD11" i="7" s="1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36" i="7" s="1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A45" i="16"/>
  <c r="A46" i="16"/>
  <c r="D6" i="81"/>
  <c r="D7" i="81"/>
  <c r="D8" i="81"/>
  <c r="D37" i="81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/>
  <c r="H12" i="9"/>
  <c r="L12" i="9"/>
  <c r="N12" i="9" s="1"/>
  <c r="P12" i="9" s="1"/>
  <c r="H13" i="9"/>
  <c r="N13" i="9"/>
  <c r="P13" i="9"/>
  <c r="H14" i="9"/>
  <c r="L14" i="9"/>
  <c r="N14" i="9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B47" i="9"/>
  <c r="D5" i="64"/>
  <c r="D6" i="64"/>
  <c r="D7" i="64"/>
  <c r="D8" i="64"/>
  <c r="D9" i="64"/>
  <c r="D10" i="64"/>
  <c r="D11" i="64"/>
  <c r="D12" i="64"/>
  <c r="D13" i="64"/>
  <c r="D17" i="64"/>
  <c r="A28" i="64"/>
  <c r="D29" i="64"/>
  <c r="D30" i="64" s="1"/>
  <c r="D32" i="80" s="1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 s="1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F4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 s="1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B132" i="15"/>
  <c r="B133" i="15" s="1"/>
  <c r="F132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37" i="76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38" i="79" s="1"/>
  <c r="H5" i="63"/>
  <c r="D38" i="75" s="1"/>
  <c r="D8" i="63"/>
  <c r="D9" i="63"/>
  <c r="D10" i="63"/>
  <c r="D11" i="63"/>
  <c r="D12" i="63"/>
  <c r="B13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A48" i="19"/>
  <c r="A49" i="19"/>
  <c r="J4" i="2"/>
  <c r="J5" i="2"/>
  <c r="P5" i="2"/>
  <c r="R5" i="2" s="1"/>
  <c r="J6" i="2"/>
  <c r="P6" i="2"/>
  <c r="R6" i="2"/>
  <c r="J7" i="2"/>
  <c r="P7" i="2"/>
  <c r="R7" i="2" s="1"/>
  <c r="J8" i="2"/>
  <c r="P8" i="2"/>
  <c r="R8" i="2" s="1"/>
  <c r="J9" i="2"/>
  <c r="P9" i="2"/>
  <c r="R9" i="2"/>
  <c r="R22" i="2" s="1"/>
  <c r="J10" i="2"/>
  <c r="P10" i="2"/>
  <c r="R10" i="2"/>
  <c r="J11" i="2"/>
  <c r="P11" i="2"/>
  <c r="R11" i="2"/>
  <c r="J12" i="2"/>
  <c r="P12" i="2"/>
  <c r="P22" i="2" s="1"/>
  <c r="R12" i="2"/>
  <c r="J13" i="2"/>
  <c r="P13" i="2"/>
  <c r="R13" i="2" s="1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F41" i="7" l="1"/>
  <c r="D47" i="76"/>
  <c r="D48" i="76" s="1"/>
  <c r="D34" i="80" s="1"/>
  <c r="D39" i="76"/>
  <c r="D41" i="76" s="1"/>
  <c r="H36" i="11"/>
  <c r="AH9" i="7"/>
  <c r="D18" i="8"/>
  <c r="F35" i="6"/>
  <c r="K36" i="73"/>
  <c r="K49" i="73" s="1"/>
  <c r="D39" i="79"/>
  <c r="D41" i="79" s="1"/>
  <c r="C180" i="15"/>
  <c r="C176" i="15"/>
  <c r="F176" i="15" s="1"/>
  <c r="AI5" i="7"/>
  <c r="M4" i="13"/>
  <c r="M13" i="13" s="1"/>
  <c r="B63" i="80"/>
  <c r="C16" i="63"/>
  <c r="B16" i="63" s="1"/>
  <c r="M53" i="73"/>
  <c r="D28" i="80" s="1"/>
  <c r="D41" i="81"/>
  <c r="D46" i="81"/>
  <c r="D47" i="81" s="1"/>
  <c r="D71" i="80" s="1"/>
  <c r="J35" i="2"/>
  <c r="F36" i="5"/>
  <c r="J35" i="70"/>
  <c r="D47" i="70" s="1"/>
  <c r="D48" i="70" s="1"/>
  <c r="D33" i="80" s="1"/>
  <c r="D46" i="12"/>
  <c r="D47" i="12" s="1"/>
  <c r="D64" i="80" s="1"/>
  <c r="D40" i="12"/>
  <c r="D41" i="19"/>
  <c r="D43" i="19" s="1"/>
  <c r="D49" i="19"/>
  <c r="D50" i="19" s="1"/>
  <c r="D19" i="80" s="1"/>
  <c r="H35" i="9"/>
  <c r="E47" i="9" s="1"/>
  <c r="E48" i="9" s="1"/>
  <c r="D31" i="80" s="1"/>
  <c r="AG8" i="7"/>
  <c r="AG9" i="7" s="1"/>
  <c r="AG10" i="7" s="1"/>
  <c r="AG11" i="7" s="1"/>
  <c r="AG12" i="7" s="1"/>
  <c r="AG13" i="7" s="1"/>
  <c r="AG14" i="7" s="1"/>
  <c r="AG15" i="7" s="1"/>
  <c r="AG16" i="7" s="1"/>
  <c r="AG17" i="7" s="1"/>
  <c r="J3" i="80"/>
  <c r="D39" i="69"/>
  <c r="AI6" i="7"/>
  <c r="AV39" i="15"/>
  <c r="AU39" i="15"/>
  <c r="AJ39" i="15"/>
  <c r="AJ45" i="15" s="1"/>
  <c r="P16" i="9"/>
  <c r="D35" i="28"/>
  <c r="D46" i="16"/>
  <c r="D47" i="16" s="1"/>
  <c r="D72" i="80" s="1"/>
  <c r="D40" i="16"/>
  <c r="AI7" i="7"/>
  <c r="J39" i="17"/>
  <c r="D48" i="17" s="1"/>
  <c r="D49" i="17" s="1"/>
  <c r="D30" i="80" s="1"/>
  <c r="AL48" i="11"/>
  <c r="D36" i="11"/>
  <c r="E37" i="11" s="1"/>
  <c r="F39" i="71"/>
  <c r="D49" i="71" s="1"/>
  <c r="D50" i="71" s="1"/>
  <c r="D35" i="80" s="1"/>
  <c r="AH57" i="15"/>
  <c r="D37" i="77"/>
  <c r="D49" i="77" s="1"/>
  <c r="D50" i="77" s="1"/>
  <c r="D14" i="80" s="1"/>
  <c r="AC8" i="11"/>
  <c r="K5" i="13"/>
  <c r="M5" i="13" s="1"/>
  <c r="N11" i="13" s="1"/>
  <c r="E37" i="5"/>
  <c r="D37" i="75"/>
  <c r="D46" i="75" s="1"/>
  <c r="D47" i="75" s="1"/>
  <c r="D36" i="80" s="1"/>
  <c r="AP20" i="11"/>
  <c r="F34" i="67"/>
  <c r="AL47" i="11"/>
  <c r="D37" i="79"/>
  <c r="D47" i="79" s="1"/>
  <c r="D48" i="79" s="1"/>
  <c r="D13" i="80" s="1"/>
  <c r="D38" i="69"/>
  <c r="D48" i="69" s="1"/>
  <c r="D49" i="69" s="1"/>
  <c r="D20" i="80" s="1"/>
  <c r="F133" i="15"/>
  <c r="C133" i="15" s="1"/>
  <c r="M23" i="77"/>
  <c r="D39" i="75"/>
  <c r="D41" i="75" s="1"/>
  <c r="AN39" i="15"/>
  <c r="AF39" i="15"/>
  <c r="AF45" i="15" s="1"/>
  <c r="AF19" i="7"/>
  <c r="AH19" i="7" s="1"/>
  <c r="AG19" i="7"/>
  <c r="AG20" i="7" s="1"/>
  <c r="AG21" i="7" s="1"/>
  <c r="H39" i="11"/>
  <c r="C33" i="63" s="1"/>
  <c r="C38" i="73"/>
  <c r="C40" i="73" s="1"/>
  <c r="F40" i="73" s="1"/>
  <c r="F49" i="73" s="1"/>
  <c r="F36" i="73"/>
  <c r="F37" i="73" s="1"/>
  <c r="D12" i="78"/>
  <c r="D23" i="78" s="1"/>
  <c r="D24" i="78" s="1"/>
  <c r="D15" i="80" s="1"/>
  <c r="E37" i="13"/>
  <c r="E38" i="13" s="1"/>
  <c r="C38" i="13"/>
  <c r="C41" i="13" s="1"/>
  <c r="F40" i="18"/>
  <c r="F41" i="18" s="1"/>
  <c r="F43" i="18" s="1"/>
  <c r="F40" i="71"/>
  <c r="F41" i="71" s="1"/>
  <c r="F43" i="71" s="1"/>
  <c r="J36" i="70"/>
  <c r="J37" i="70" s="1"/>
  <c r="J41" i="70" s="1"/>
  <c r="D18" i="64"/>
  <c r="D19" i="64" s="1"/>
  <c r="D23" i="64" s="1"/>
  <c r="D38" i="74"/>
  <c r="J4" i="80"/>
  <c r="D13" i="78"/>
  <c r="D14" i="78" s="1"/>
  <c r="D18" i="78" s="1"/>
  <c r="B31" i="20"/>
  <c r="D19" i="65"/>
  <c r="D20" i="65" s="1"/>
  <c r="D24" i="65" s="1"/>
  <c r="D38" i="77"/>
  <c r="D39" i="77" s="1"/>
  <c r="D41" i="77" s="1"/>
  <c r="AR24" i="15"/>
  <c r="AR39" i="15" s="1"/>
  <c r="AR45" i="15" s="1"/>
  <c r="AQ39" i="15"/>
  <c r="D46" i="68"/>
  <c r="D47" i="68" s="1"/>
  <c r="D55" i="80" s="1"/>
  <c r="F38" i="22"/>
  <c r="F39" i="22" s="1"/>
  <c r="F41" i="22" s="1"/>
  <c r="C45" i="11"/>
  <c r="C46" i="11" s="1"/>
  <c r="D57" i="80" s="1"/>
  <c r="K9" i="13"/>
  <c r="M9" i="13" s="1"/>
  <c r="D39" i="72"/>
  <c r="D48" i="72" s="1"/>
  <c r="D49" i="72" s="1"/>
  <c r="D29" i="80" s="1"/>
  <c r="D37" i="74"/>
  <c r="D46" i="74" s="1"/>
  <c r="D47" i="74" s="1"/>
  <c r="D12" i="80" s="1"/>
  <c r="AF36" i="11"/>
  <c r="E45" i="11" l="1"/>
  <c r="E39" i="11"/>
  <c r="D16" i="80"/>
  <c r="B14" i="80"/>
  <c r="C14" i="80" s="1"/>
  <c r="E14" i="80" s="1"/>
  <c r="B38" i="63"/>
  <c r="C38" i="63" s="1"/>
  <c r="B24" i="80"/>
  <c r="B18" i="63"/>
  <c r="C18" i="63" s="1"/>
  <c r="H37" i="9"/>
  <c r="H39" i="9" s="1"/>
  <c r="K13" i="13"/>
  <c r="AI8" i="7"/>
  <c r="B46" i="20"/>
  <c r="C46" i="20" s="1"/>
  <c r="C47" i="20" s="1"/>
  <c r="B18" i="20"/>
  <c r="C18" i="20" s="1"/>
  <c r="C19" i="20" s="1"/>
  <c r="C31" i="20"/>
  <c r="C32" i="20" s="1"/>
  <c r="D21" i="80"/>
  <c r="D40" i="80" s="1"/>
  <c r="D47" i="2"/>
  <c r="D48" i="2" s="1"/>
  <c r="D62" i="80" s="1"/>
  <c r="J40" i="2"/>
  <c r="AH10" i="7"/>
  <c r="AI9" i="7"/>
  <c r="B37" i="63"/>
  <c r="B15" i="80"/>
  <c r="C15" i="80" s="1"/>
  <c r="E15" i="80" s="1"/>
  <c r="E41" i="13"/>
  <c r="F41" i="13" s="1"/>
  <c r="F38" i="13"/>
  <c r="AH20" i="7"/>
  <c r="AI19" i="7"/>
  <c r="F38" i="73"/>
  <c r="J41" i="17"/>
  <c r="J43" i="17" s="1"/>
  <c r="B30" i="63"/>
  <c r="C30" i="63" s="1"/>
  <c r="B19" i="80"/>
  <c r="B27" i="80"/>
  <c r="C27" i="80" s="1"/>
  <c r="E27" i="80" s="1"/>
  <c r="B12" i="63"/>
  <c r="C12" i="63" s="1"/>
  <c r="J47" i="80"/>
  <c r="C55" i="80"/>
  <c r="C57" i="80"/>
  <c r="E57" i="80" s="1"/>
  <c r="C21" i="63"/>
  <c r="B21" i="63" s="1"/>
  <c r="B64" i="80"/>
  <c r="C64" i="80" s="1"/>
  <c r="E64" i="80" s="1"/>
  <c r="C24" i="63"/>
  <c r="B24" i="63" s="1"/>
  <c r="B71" i="80"/>
  <c r="C71" i="80" s="1"/>
  <c r="E71" i="80" s="1"/>
  <c r="B32" i="63"/>
  <c r="C32" i="63" s="1"/>
  <c r="B34" i="80"/>
  <c r="C34" i="80" s="1"/>
  <c r="E34" i="80" s="1"/>
  <c r="F42" i="5"/>
  <c r="D48" i="5"/>
  <c r="D49" i="5" s="1"/>
  <c r="D73" i="80" s="1"/>
  <c r="B102" i="15"/>
  <c r="AN45" i="15"/>
  <c r="F38" i="67"/>
  <c r="D44" i="67"/>
  <c r="D45" i="67" s="1"/>
  <c r="D70" i="80" s="1"/>
  <c r="D74" i="80" s="1"/>
  <c r="B72" i="80"/>
  <c r="C72" i="80" s="1"/>
  <c r="E72" i="80" s="1"/>
  <c r="C26" i="63"/>
  <c r="B26" i="63" s="1"/>
  <c r="B13" i="80"/>
  <c r="C13" i="80" s="1"/>
  <c r="E13" i="80" s="1"/>
  <c r="B39" i="63"/>
  <c r="C39" i="63" s="1"/>
  <c r="B32" i="80"/>
  <c r="C32" i="80" s="1"/>
  <c r="E32" i="80" s="1"/>
  <c r="B25" i="63"/>
  <c r="C25" i="63" s="1"/>
  <c r="B41" i="63"/>
  <c r="C41" i="63" s="1"/>
  <c r="B36" i="80"/>
  <c r="C36" i="80" s="1"/>
  <c r="E36" i="80" s="1"/>
  <c r="D40" i="69"/>
  <c r="D42" i="69" s="1"/>
  <c r="D41" i="72"/>
  <c r="D43" i="72" s="1"/>
  <c r="B66" i="80"/>
  <c r="C66" i="80" s="1"/>
  <c r="C22" i="63"/>
  <c r="B22" i="63" s="1"/>
  <c r="B35" i="80"/>
  <c r="C35" i="80" s="1"/>
  <c r="E35" i="80" s="1"/>
  <c r="B42" i="63"/>
  <c r="C42" i="63" s="1"/>
  <c r="D30" i="8"/>
  <c r="D31" i="8" s="1"/>
  <c r="D37" i="80" s="1"/>
  <c r="D38" i="80" s="1"/>
  <c r="D20" i="8"/>
  <c r="D24" i="8" s="1"/>
  <c r="B26" i="80"/>
  <c r="C26" i="80" s="1"/>
  <c r="E26" i="80" s="1"/>
  <c r="B15" i="63"/>
  <c r="C15" i="63" s="1"/>
  <c r="D39" i="74"/>
  <c r="D41" i="74" s="1"/>
  <c r="AR51" i="15"/>
  <c r="AR48" i="15"/>
  <c r="B33" i="80"/>
  <c r="C33" i="80" s="1"/>
  <c r="E33" i="80" s="1"/>
  <c r="B29" i="63"/>
  <c r="C29" i="63" s="1"/>
  <c r="D46" i="28"/>
  <c r="D47" i="28" s="1"/>
  <c r="D58" i="80" s="1"/>
  <c r="D40" i="28"/>
  <c r="J46" i="80"/>
  <c r="D51" i="15"/>
  <c r="D52" i="15" s="1"/>
  <c r="D63" i="80" s="1"/>
  <c r="C63" i="80"/>
  <c r="E63" i="80" s="1"/>
  <c r="F40" i="6"/>
  <c r="D46" i="6"/>
  <c r="D47" i="6" s="1"/>
  <c r="D56" i="80" s="1"/>
  <c r="D59" i="80" s="1"/>
  <c r="E48" i="7"/>
  <c r="E49" i="7" s="1"/>
  <c r="D66" i="80" s="1"/>
  <c r="B25" i="80" l="1"/>
  <c r="C25" i="80" s="1"/>
  <c r="E25" i="80" s="1"/>
  <c r="B9" i="63"/>
  <c r="C9" i="63" s="1"/>
  <c r="B56" i="80"/>
  <c r="C11" i="63"/>
  <c r="B11" i="63" s="1"/>
  <c r="B70" i="80"/>
  <c r="C17" i="63"/>
  <c r="B17" i="63" s="1"/>
  <c r="B21" i="80"/>
  <c r="C19" i="80"/>
  <c r="C37" i="63"/>
  <c r="C56" i="20"/>
  <c r="F51" i="73" s="1"/>
  <c r="F53" i="73" s="1"/>
  <c r="B28" i="63"/>
  <c r="C28" i="63" s="1"/>
  <c r="B12" i="80"/>
  <c r="E66" i="80"/>
  <c r="F102" i="15"/>
  <c r="F103" i="15" s="1"/>
  <c r="B103" i="15"/>
  <c r="B105" i="15" s="1"/>
  <c r="F105" i="15" s="1"/>
  <c r="B30" i="80"/>
  <c r="C30" i="80" s="1"/>
  <c r="E30" i="80" s="1"/>
  <c r="B19" i="63"/>
  <c r="C19" i="63" s="1"/>
  <c r="C24" i="80"/>
  <c r="B14" i="63"/>
  <c r="C14" i="63" s="1"/>
  <c r="B29" i="80"/>
  <c r="C29" i="80" s="1"/>
  <c r="E29" i="80" s="1"/>
  <c r="AH11" i="7"/>
  <c r="AI10" i="7"/>
  <c r="B65" i="80"/>
  <c r="C65" i="80" s="1"/>
  <c r="E65" i="80" s="1"/>
  <c r="B33" i="63"/>
  <c r="B58" i="80"/>
  <c r="C58" i="80" s="1"/>
  <c r="E58" i="80" s="1"/>
  <c r="C27" i="63"/>
  <c r="B27" i="63" s="1"/>
  <c r="B20" i="80"/>
  <c r="C20" i="80" s="1"/>
  <c r="E20" i="80" s="1"/>
  <c r="B31" i="63"/>
  <c r="C31" i="63" s="1"/>
  <c r="B73" i="80"/>
  <c r="C73" i="80" s="1"/>
  <c r="E73" i="80" s="1"/>
  <c r="C23" i="63"/>
  <c r="B23" i="63" s="1"/>
  <c r="E55" i="80"/>
  <c r="C8" i="63"/>
  <c r="B62" i="80"/>
  <c r="B31" i="80"/>
  <c r="C31" i="80" s="1"/>
  <c r="E31" i="80" s="1"/>
  <c r="B10" i="63"/>
  <c r="C10" i="63" s="1"/>
  <c r="E46" i="11"/>
  <c r="F46" i="11" s="1"/>
  <c r="D65" i="80" s="1"/>
  <c r="F45" i="11"/>
  <c r="B40" i="63"/>
  <c r="C40" i="63" s="1"/>
  <c r="B37" i="80"/>
  <c r="C37" i="80" s="1"/>
  <c r="E37" i="80" s="1"/>
  <c r="AH21" i="7"/>
  <c r="AI21" i="7" s="1"/>
  <c r="AI20" i="7"/>
  <c r="D76" i="80" l="1"/>
  <c r="B43" i="63"/>
  <c r="C43" i="63"/>
  <c r="AI11" i="7"/>
  <c r="AH12" i="7"/>
  <c r="C103" i="15"/>
  <c r="E19" i="80"/>
  <c r="E21" i="80" s="1"/>
  <c r="C21" i="80"/>
  <c r="D67" i="80"/>
  <c r="C62" i="80"/>
  <c r="B67" i="80"/>
  <c r="B16" i="80"/>
  <c r="C12" i="80"/>
  <c r="B8" i="63"/>
  <c r="C38" i="80"/>
  <c r="E24" i="80"/>
  <c r="E38" i="80" s="1"/>
  <c r="C70" i="80"/>
  <c r="B74" i="80"/>
  <c r="B28" i="80"/>
  <c r="C28" i="80" s="1"/>
  <c r="E28" i="80" s="1"/>
  <c r="B20" i="63"/>
  <c r="C20" i="63" s="1"/>
  <c r="C34" i="63" s="1"/>
  <c r="C56" i="80"/>
  <c r="B59" i="80"/>
  <c r="B76" i="80" s="1"/>
  <c r="E70" i="80" l="1"/>
  <c r="E74" i="80" s="1"/>
  <c r="C74" i="80"/>
  <c r="C45" i="63"/>
  <c r="B38" i="80"/>
  <c r="B34" i="63"/>
  <c r="C16" i="80"/>
  <c r="E12" i="80"/>
  <c r="C40" i="80"/>
  <c r="B80" i="80" s="1"/>
  <c r="B40" i="80"/>
  <c r="AI12" i="7"/>
  <c r="AH13" i="7"/>
  <c r="E56" i="80"/>
  <c r="C59" i="80"/>
  <c r="C76" i="80" s="1"/>
  <c r="B79" i="80" s="1"/>
  <c r="E62" i="80"/>
  <c r="E67" i="80" s="1"/>
  <c r="C67" i="80"/>
  <c r="B45" i="63"/>
  <c r="E16" i="80" l="1"/>
  <c r="E40" i="80"/>
  <c r="E76" i="80"/>
  <c r="E59" i="80"/>
  <c r="AI13" i="7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<sst xmlns="http://schemas.openxmlformats.org/spreadsheetml/2006/main" count="666" uniqueCount="204">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</sst>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abSelected="1" workbookViewId="0"/>
    <sheetView workbookViewId="1"/>
    <sheetView topLeftCell="A46" workbookViewId="2">
      <selection activeCell="G50" sqref="G50"/>
    </sheetView>
    <sheetView tabSelected="1" topLeftCell="A43" workbookViewId="3">
      <selection activeCell="C79" sqref="C79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2.66</v>
      </c>
      <c r="K3" s="437">
        <f ca="1">NOW()</f>
        <v>41887.362253935185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97348.92</v>
      </c>
      <c r="C12" s="402">
        <f>+B12/$J$4</f>
        <v>34277.788732394365</v>
      </c>
      <c r="D12" s="14">
        <f>+Calpine!D47</f>
        <v>135474</v>
      </c>
      <c r="E12" s="70">
        <f>+C12-D12</f>
        <v>-101196.21126760563</v>
      </c>
      <c r="F12" s="397">
        <f>+Calpine!A41</f>
        <v>37129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-434995.3</v>
      </c>
      <c r="C14" s="401">
        <f>+B14/$J$4</f>
        <v>-153167.35915492958</v>
      </c>
      <c r="D14" s="14">
        <f>+'NS Steel'!D50</f>
        <v>-82631</v>
      </c>
      <c r="E14" s="70">
        <f>+C14-D14</f>
        <v>-70536.359154929582</v>
      </c>
      <c r="F14" s="398">
        <f>+'NS Steel'!A41</f>
        <v>37129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-1337905.52</v>
      </c>
      <c r="C16" s="428">
        <f>SUBTOTAL(9,C12:C15)</f>
        <v>-471093.49295774649</v>
      </c>
      <c r="D16" s="429">
        <f>SUBTOTAL(9,D12:D15)</f>
        <v>-212221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7764.0400000000009</v>
      </c>
      <c r="C20" s="405">
        <f>+B20/$J$3</f>
        <v>2918.812030075188</v>
      </c>
      <c r="D20" s="379">
        <f>+burlington!D49</f>
        <v>1736</v>
      </c>
      <c r="E20" s="72">
        <f>+C20-D20</f>
        <v>1182.812030075188</v>
      </c>
      <c r="F20" s="397">
        <f>+burlington!A42</f>
        <v>37129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21324.060000000005</v>
      </c>
      <c r="C21" s="422">
        <f>SUBTOTAL(9,C19:C20)</f>
        <v>7693.4669596526537</v>
      </c>
      <c r="D21" s="429">
        <f>SUBTOTAL(9,D19:D20)</f>
        <v>-44571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538102.71</v>
      </c>
      <c r="C25" s="401">
        <f t="shared" si="0"/>
        <v>189472.78521126759</v>
      </c>
      <c r="D25" s="14">
        <f>+Conoco!D48</f>
        <v>68872</v>
      </c>
      <c r="E25" s="70">
        <f t="shared" si="1"/>
        <v>120600.78521126759</v>
      </c>
      <c r="F25" s="397">
        <f>+Conoco!A41</f>
        <v>37129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444822.19</v>
      </c>
      <c r="C27" s="401">
        <f t="shared" si="0"/>
        <v>156627.53169014087</v>
      </c>
      <c r="D27" s="14">
        <f>+KN_Westar!D48</f>
        <v>20244</v>
      </c>
      <c r="E27" s="70">
        <f t="shared" si="1"/>
        <v>136383.53169014087</v>
      </c>
      <c r="F27" s="398">
        <f>+KN_Westar!A41</f>
        <v>37129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8007.6900000000005</v>
      </c>
      <c r="C34" s="401">
        <f t="shared" si="0"/>
        <v>2819.6091549295779</v>
      </c>
      <c r="D34" s="14">
        <f>+SidR!D48</f>
        <v>56096</v>
      </c>
      <c r="E34" s="70">
        <f t="shared" si="1"/>
        <v>-53276.390845070418</v>
      </c>
      <c r="F34" s="398">
        <f>+SidR!A41</f>
        <v>37129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3226941.2100000004</v>
      </c>
      <c r="C38" s="428">
        <f>SUBTOTAL(9,C24:C37)</f>
        <v>1137690.8802576554</v>
      </c>
      <c r="D38" s="429">
        <f>SUBTOTAL(9,D24:D37)</f>
        <v>380257</v>
      </c>
      <c r="E38" s="430">
        <f>SUBTOTAL(9,E24:E37)</f>
        <v>757433.88025765517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1910359.7500000009</v>
      </c>
      <c r="C40" s="428">
        <f>SUBTOTAL(9,C12:C37)</f>
        <v>674290.8542595614</v>
      </c>
      <c r="D40" s="429">
        <f>SUBTOTAL(9,D12:D37)</f>
        <v>123465</v>
      </c>
      <c r="E40" s="430">
        <f>SUBTOTAL(9,E12:E37)</f>
        <v>550825.8542595614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2.66</v>
      </c>
      <c r="K46" s="437">
        <f ca="1">NOW()</f>
        <v>41887.362253935185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151127</v>
      </c>
      <c r="C55" s="375">
        <f>+B55*$J$4</f>
        <v>429200.68</v>
      </c>
      <c r="D55" s="47">
        <f>+Mojave!D47</f>
        <v>125660.16</v>
      </c>
      <c r="E55" s="47">
        <f>+C55-D55</f>
        <v>303540.52</v>
      </c>
      <c r="F55" s="398">
        <f>+Mojave!A40</f>
        <v>37129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170295</v>
      </c>
      <c r="C56" s="375">
        <f>+B56*$J$4</f>
        <v>483637.8</v>
      </c>
      <c r="D56" s="47">
        <f>+SoCal!D47</f>
        <v>519962.02</v>
      </c>
      <c r="E56" s="47">
        <f>+C56-D56</f>
        <v>-36324.22000000003</v>
      </c>
      <c r="F56" s="398">
        <f>+SoCal!A40</f>
        <v>37129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Paso'!A39</f>
        <v>37128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40573</v>
      </c>
      <c r="C58" s="378">
        <f>+B58*$J$4</f>
        <v>115227.31999999999</v>
      </c>
      <c r="D58" s="378">
        <f>+'PG&amp;E'!D47</f>
        <v>-111572.06</v>
      </c>
      <c r="E58" s="378">
        <f>+C58-D58</f>
        <v>226799.38</v>
      </c>
      <c r="F58" s="398">
        <f>+'PG&amp;E'!A40</f>
        <v>37129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426151</v>
      </c>
      <c r="C59" s="421">
        <f>SUBTOTAL(9,C55:C58)</f>
        <v>1210268.8400000001</v>
      </c>
      <c r="D59" s="421">
        <f>SUBTOTAL(9,D55:D58)</f>
        <v>-1049231.7999999998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287013</v>
      </c>
      <c r="C62" s="375">
        <f>+B62*$J$3</f>
        <v>763454.58000000007</v>
      </c>
      <c r="D62" s="47">
        <f>+williams!D48</f>
        <v>1317411.27</v>
      </c>
      <c r="E62" s="47">
        <f>+C62-D62</f>
        <v>-553956.68999999994</v>
      </c>
      <c r="F62" s="397">
        <f>+williams!A40</f>
        <v>37129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137481</v>
      </c>
      <c r="C63" s="376">
        <f>+B63*J3</f>
        <v>365699.46</v>
      </c>
      <c r="D63" s="202">
        <f>+'Red C'!D52</f>
        <v>664157.16</v>
      </c>
      <c r="E63" s="47">
        <f>+C63-D63</f>
        <v>-298457.7</v>
      </c>
      <c r="F63" s="397">
        <f>+'Red C'!B43</f>
        <v>37129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98349</v>
      </c>
      <c r="C64" s="375">
        <f>+B64*$J$3</f>
        <v>261608.34000000003</v>
      </c>
      <c r="D64" s="47">
        <f>+Amoco!D47</f>
        <v>527371.09000000008</v>
      </c>
      <c r="E64" s="47">
        <f>+C64-D64</f>
        <v>-265762.75000000006</v>
      </c>
      <c r="F64" s="398">
        <f>+Amoco!A40</f>
        <v>37129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73561</v>
      </c>
      <c r="C66" s="378">
        <f>+B66*$J$3</f>
        <v>195672.26</v>
      </c>
      <c r="D66" s="378">
        <f>+NW!E49</f>
        <v>-305691.78000000003</v>
      </c>
      <c r="E66" s="378">
        <f>+C66-D66</f>
        <v>501364.04000000004</v>
      </c>
      <c r="F66" s="397">
        <f>+NW!B41</f>
        <v>37129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529697</v>
      </c>
      <c r="C67" s="421">
        <f>SUBTOTAL(9,C62:C66)</f>
        <v>1408994.0200000003</v>
      </c>
      <c r="D67" s="421">
        <f>SUBTOTAL(9,D62:D66)</f>
        <v>1555856.4600000007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132664</v>
      </c>
      <c r="C70" s="375">
        <f>+B70*$J$4</f>
        <v>376765.76</v>
      </c>
      <c r="D70" s="47">
        <f>+NGPL!D45</f>
        <v>334978.36</v>
      </c>
      <c r="E70" s="47">
        <f>+C70-D70</f>
        <v>41787.400000000023</v>
      </c>
      <c r="F70" s="398">
        <f>+NGPL!A38</f>
        <v>37129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43498</v>
      </c>
      <c r="C72" s="375">
        <f>+B72*$J$4</f>
        <v>123534.31999999999</v>
      </c>
      <c r="D72" s="47">
        <f>+Oasis!D47</f>
        <v>-263356.38999999996</v>
      </c>
      <c r="E72" s="47">
        <f>+C72-D72</f>
        <v>386890.70999999996</v>
      </c>
      <c r="F72" s="398">
        <f>+Oasis!B40</f>
        <v>37129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308150</v>
      </c>
      <c r="C74" s="421">
        <f>SUBTOTAL(9,C70:C73)</f>
        <v>875145.99999999988</v>
      </c>
      <c r="D74" s="421">
        <f>SUBTOTAL(9,D70:D73)</f>
        <v>437754.02</v>
      </c>
      <c r="E74" s="421">
        <f>SUBTOTAL(9,E70:E73)</f>
        <v>437391.98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1263998</v>
      </c>
      <c r="C76" s="421">
        <f>SUBTOTAL(9,C55:C73)</f>
        <v>3494408.86</v>
      </c>
      <c r="D76" s="421">
        <f>SUBTOTAL(9,D55:D73)</f>
        <v>944378.68000000052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5404768.6100000013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1938288.8542595613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12549</v>
      </c>
      <c r="E33" s="150">
        <v>12532</v>
      </c>
      <c r="F33" s="11">
        <f t="shared" si="5"/>
        <v>-112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3641000</v>
      </c>
      <c r="C39" s="150">
        <f>SUM(C8:C38)</f>
        <v>3630193</v>
      </c>
      <c r="D39" s="150">
        <f>SUM(D8:D38)</f>
        <v>316657</v>
      </c>
      <c r="E39" s="150">
        <f>SUM(E8:E38)</f>
        <v>317812</v>
      </c>
      <c r="F39" s="11">
        <f t="shared" si="5"/>
        <v>-9652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37129</v>
      </c>
      <c r="C43" s="142"/>
      <c r="D43" s="142"/>
      <c r="E43" s="142"/>
      <c r="F43" s="150">
        <f>+F42+F39</f>
        <v>137481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37129</v>
      </c>
      <c r="B51" s="32"/>
      <c r="C51" s="32"/>
      <c r="D51" s="408">
        <f>+F39*'by type'!J3</f>
        <v>-25674.32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664157.16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-1541064</v>
      </c>
      <c r="C36" s="24">
        <f>SUM(C5:C35)</f>
        <v>-1532545</v>
      </c>
      <c r="D36" s="24">
        <f t="shared" si="0"/>
        <v>8519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37129</v>
      </c>
      <c r="C40" s="24"/>
      <c r="D40" s="195">
        <f>+D36+D38</f>
        <v>43498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37129</v>
      </c>
      <c r="B46" s="32"/>
      <c r="C46" s="32"/>
      <c r="D46" s="408">
        <f>+D36*'by type'!J4</f>
        <v>24193.96</v>
      </c>
    </row>
    <row r="47" spans="1:65" x14ac:dyDescent="0.2">
      <c r="A47" s="32"/>
      <c r="B47" s="32"/>
      <c r="C47" s="32"/>
      <c r="D47" s="202">
        <f>+D46+D45</f>
        <v>-263356.38999999996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">
      <c r="A18" s="87"/>
      <c r="B18" s="88"/>
      <c r="C18" s="88"/>
      <c r="D18" s="88">
        <f>SUM(D5:D17)</f>
        <v>-16633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">
      <c r="A20" s="87"/>
      <c r="B20" s="88"/>
      <c r="C20" s="88"/>
      <c r="D20" s="96">
        <f>+D19*D18</f>
        <v>-47237.72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37128</v>
      </c>
      <c r="B30" s="32"/>
      <c r="C30" s="32"/>
      <c r="D30" s="379">
        <f>+D18</f>
        <v>-16633</v>
      </c>
    </row>
    <row r="31" spans="1:6" x14ac:dyDescent="0.2">
      <c r="A31" s="32"/>
      <c r="B31" s="32"/>
      <c r="C31" s="32"/>
      <c r="D31" s="14">
        <f>+D30+D29</f>
        <v>-98379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0" sqref="E3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906706</v>
      </c>
      <c r="C35" s="11">
        <f>SUM(C4:C34)</f>
        <v>850095</v>
      </c>
      <c r="D35" s="11">
        <f>SUM(D4:D34)</f>
        <v>777933</v>
      </c>
      <c r="E35" s="11">
        <f>SUM(E4:E34)</f>
        <v>808285</v>
      </c>
      <c r="F35" s="11">
        <f>+E35-D35+C35-B35</f>
        <v>-26259</v>
      </c>
    </row>
    <row r="36" spans="1:7" x14ac:dyDescent="0.2">
      <c r="A36" s="45"/>
      <c r="C36" s="14">
        <f>+C35-B35</f>
        <v>-56611</v>
      </c>
      <c r="D36" s="14"/>
      <c r="E36" s="14">
        <f>+E35-D35</f>
        <v>30352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-160775.24</v>
      </c>
      <c r="D38" s="47"/>
      <c r="E38" s="48">
        <f>+E37*E36</f>
        <v>86199.679999999993</v>
      </c>
      <c r="F38" s="46">
        <f>+E38+C38</f>
        <v>-74575.56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37129</v>
      </c>
      <c r="C41" s="106">
        <f>+C40+C38</f>
        <v>451903.03</v>
      </c>
      <c r="D41" s="106"/>
      <c r="E41" s="106">
        <f>+E40+E38</f>
        <v>86199.679999999993</v>
      </c>
      <c r="F41" s="106">
        <f>+E41+C41</f>
        <v>538102.71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37129</v>
      </c>
      <c r="D47" s="379">
        <f>+F35</f>
        <v>-26259</v>
      </c>
      <c r="E47" s="11"/>
      <c r="F47" s="11"/>
      <c r="G47" s="25"/>
    </row>
    <row r="48" spans="1:7" x14ac:dyDescent="0.2">
      <c r="D48" s="14">
        <f>+D47+D46</f>
        <v>68872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D30" sqref="D3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4914343</v>
      </c>
      <c r="C36" s="11">
        <f>SUM(C5:C35)</f>
        <v>5300471</v>
      </c>
      <c r="D36" s="11">
        <f>SUM(D5:D35)</f>
        <v>0</v>
      </c>
      <c r="E36" s="11">
        <f>SUM(E5:E35)</f>
        <v>-317677</v>
      </c>
      <c r="F36" s="11">
        <f>SUM(F5:F35)</f>
        <v>68451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37129</v>
      </c>
      <c r="F41" s="353">
        <f>+F39+F36</f>
        <v>73561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37129</v>
      </c>
      <c r="C48" s="32"/>
      <c r="D48" s="32"/>
      <c r="E48" s="408">
        <f>+F36*'by type'!J3</f>
        <v>182079.66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-305691.78000000003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">
      <c r="A40" s="26"/>
      <c r="D40" s="75">
        <f>+summary!H4</f>
        <v>2.84</v>
      </c>
      <c r="E40" s="26"/>
      <c r="H40" s="75"/>
    </row>
    <row r="41" spans="1:8" x14ac:dyDescent="0.2">
      <c r="D41" s="197">
        <f>+D40*D39</f>
        <v>-8042.8799999999992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37128</v>
      </c>
      <c r="D43" s="198">
        <f>+D42+D41</f>
        <v>13560.020000000002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37128</v>
      </c>
      <c r="B49" s="32"/>
      <c r="C49" s="32"/>
      <c r="D49" s="379">
        <f>+D39</f>
        <v>-2832</v>
      </c>
    </row>
    <row r="50" spans="1:4" x14ac:dyDescent="0.2">
      <c r="A50" s="32"/>
      <c r="B50" s="32"/>
      <c r="C50" s="32"/>
      <c r="D50" s="14">
        <f>+D49+D48</f>
        <v>-46307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37128</v>
      </c>
      <c r="J7" s="32"/>
    </row>
    <row r="8" spans="1:10" x14ac:dyDescent="0.2">
      <c r="A8" s="253">
        <v>60874</v>
      </c>
      <c r="B8" s="361">
        <v>4203</v>
      </c>
      <c r="J8" s="32"/>
    </row>
    <row r="9" spans="1:10" x14ac:dyDescent="0.2">
      <c r="A9" s="253">
        <v>78169</v>
      </c>
      <c r="B9" s="361">
        <f>174590-155992</f>
        <v>18598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15000-13387</f>
        <v>1613</v>
      </c>
      <c r="J12" s="32"/>
    </row>
    <row r="13" spans="1:10" x14ac:dyDescent="0.2">
      <c r="A13" s="253">
        <v>500254</v>
      </c>
      <c r="B13" s="332">
        <f>2250-3047</f>
        <v>-797</v>
      </c>
      <c r="J13" s="32"/>
    </row>
    <row r="14" spans="1:10" x14ac:dyDescent="0.2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">
      <c r="B17" s="14">
        <f>SUM(B8:B16)</f>
        <v>59605</v>
      </c>
      <c r="J17" s="32"/>
    </row>
    <row r="18" spans="1:10" x14ac:dyDescent="0.2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37128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">
      <c r="G40" s="32"/>
      <c r="H40" s="15"/>
      <c r="I40" s="32"/>
    </row>
    <row r="41" spans="1:9" x14ac:dyDescent="0.2">
      <c r="A41" s="249">
        <v>37128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6187</v>
      </c>
      <c r="G43" s="32"/>
      <c r="H43" s="414"/>
      <c r="I43" s="14"/>
    </row>
    <row r="44" spans="1:9" x14ac:dyDescent="0.2">
      <c r="A44" s="32">
        <v>500392</v>
      </c>
      <c r="B44" s="257">
        <v>1465</v>
      </c>
      <c r="G44" s="32"/>
      <c r="H44" s="414"/>
      <c r="I44" s="14"/>
    </row>
    <row r="45" spans="1:9" x14ac:dyDescent="0.2">
      <c r="B45" s="14">
        <f>SUM(B42:B44)</f>
        <v>7652</v>
      </c>
      <c r="G45" s="32"/>
      <c r="H45" s="414"/>
      <c r="I45" s="14"/>
    </row>
    <row r="46" spans="1:9" x14ac:dyDescent="0.2">
      <c r="B46" s="201">
        <f>+B31</f>
        <v>2.84</v>
      </c>
      <c r="C46" s="201">
        <f>+B46*B45</f>
        <v>21731.68</v>
      </c>
      <c r="H46" s="414"/>
      <c r="I46" s="14"/>
    </row>
    <row r="47" spans="1:9" x14ac:dyDescent="0.2">
      <c r="C47" s="339">
        <f>+C46+C39</f>
        <v>754441.89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">
      <c r="F53" s="104">
        <f>+F51+F49</f>
        <v>289252.48000000045</v>
      </c>
      <c r="M53" s="16">
        <f>+M51+K49</f>
        <v>441790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-43625.24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">
      <c r="A49" s="32"/>
      <c r="B49" s="32"/>
      <c r="C49" s="32"/>
      <c r="D49" s="14">
        <f>+D48+D47</f>
        <v>131044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">
      <c r="A49" s="32"/>
      <c r="B49" s="32"/>
      <c r="C49" s="32"/>
      <c r="D49" s="14">
        <f>+D48+D47</f>
        <v>-242790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workbookViewId="3">
      <selection activeCell="E60" sqref="E60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2.66</v>
      </c>
      <c r="I3" s="407">
        <f ca="1">NOW()</f>
        <v>41887.362253935185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">
      <c r="B5" s="367"/>
      <c r="G5" s="299" t="s">
        <v>120</v>
      </c>
      <c r="H5" s="372">
        <f>+'[1]0701'!$H$39</f>
        <v>2.93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763454.58000000007</v>
      </c>
      <c r="C8" s="285">
        <f>+williams!J40</f>
        <v>287013</v>
      </c>
      <c r="D8" s="397">
        <f>+williams!A40</f>
        <v>37129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538102.71</v>
      </c>
      <c r="C9" s="285">
        <f>+B9/$H$4</f>
        <v>189472.78521126759</v>
      </c>
      <c r="D9" s="397">
        <f>+Conoco!A41</f>
        <v>37129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485265.05</v>
      </c>
      <c r="C10" s="285">
        <f>+B10/$H$4</f>
        <v>170867.97535211267</v>
      </c>
      <c r="D10" s="398">
        <f>+PGETX!E39</f>
        <v>37128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4" t="s">
        <v>33</v>
      </c>
      <c r="B11" s="375">
        <f>+C11*$H$4</f>
        <v>483637.8</v>
      </c>
      <c r="C11" s="208">
        <f>+SoCal!F40</f>
        <v>170295</v>
      </c>
      <c r="D11" s="397">
        <f>+SoCal!A40</f>
        <v>37129</v>
      </c>
      <c r="E11" s="206" t="s">
        <v>87</v>
      </c>
      <c r="F11" s="206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444822.19</v>
      </c>
      <c r="C12" s="285">
        <f>+B12/$H$4</f>
        <v>156627.53169014087</v>
      </c>
      <c r="D12" s="398">
        <f>+KN_Westar!A41</f>
        <v>37129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97</v>
      </c>
      <c r="B13" s="375">
        <f>+C13*$H$4</f>
        <v>429200.68</v>
      </c>
      <c r="C13" s="285">
        <f>+Mojave!D40</f>
        <v>151127</v>
      </c>
      <c r="D13" s="398">
        <f>+Mojave!A40</f>
        <v>37129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113</v>
      </c>
      <c r="B14" s="375">
        <f>+CIG!$D$43</f>
        <v>427495.48</v>
      </c>
      <c r="C14" s="285">
        <f>+B14/$H$4</f>
        <v>150526.57746478874</v>
      </c>
      <c r="D14" s="398">
        <f>+CIG!A43</f>
        <v>37125</v>
      </c>
      <c r="E14" s="32" t="s">
        <v>88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422262.44</v>
      </c>
      <c r="C15" s="285">
        <f>+B15/$H$4</f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24</v>
      </c>
      <c r="B16" s="458">
        <f>+C16*$H$3</f>
        <v>365699.46</v>
      </c>
      <c r="C16" s="377">
        <f>+'Red C'!F43</f>
        <v>137481</v>
      </c>
      <c r="D16" s="397">
        <f>+'Red C'!B43</f>
        <v>37129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376765.76</v>
      </c>
      <c r="C17" s="285">
        <f>+NGPL!F38</f>
        <v>132664</v>
      </c>
      <c r="D17" s="398">
        <f>+NGPL!A38</f>
        <v>37129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374" t="s">
        <v>90</v>
      </c>
      <c r="B18" s="375">
        <f>+NNG!$D$24</f>
        <v>376371.49</v>
      </c>
      <c r="C18" s="285">
        <f>+B18/$H$4</f>
        <v>132525.17253521128</v>
      </c>
      <c r="D18" s="397">
        <f>+NNG!A24</f>
        <v>37128</v>
      </c>
      <c r="E18" s="206" t="s">
        <v>88</v>
      </c>
      <c r="F18" s="206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261608.34000000003</v>
      </c>
      <c r="C21" s="285">
        <f>+Amoco!D40</f>
        <v>98349</v>
      </c>
      <c r="D21" s="398">
        <f>+Amoco!A40</f>
        <v>37129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195672.26</v>
      </c>
      <c r="C22" s="208">
        <f>+NW!$F$41</f>
        <v>73561</v>
      </c>
      <c r="D22" s="397">
        <f>+NW!B41</f>
        <v>37129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37129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123534.31999999999</v>
      </c>
      <c r="C26" s="208">
        <f>+Oasis!D40</f>
        <v>43498</v>
      </c>
      <c r="D26" s="398">
        <f>+Oasis!B40</f>
        <v>37129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115227.31999999999</v>
      </c>
      <c r="C27" s="208">
        <f>+'PG&amp;E'!D40</f>
        <v>40573</v>
      </c>
      <c r="D27" s="398">
        <f>+'PG&amp;E'!A40</f>
        <v>37129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97348.92</v>
      </c>
      <c r="C28" s="208">
        <f>+B28/$H$4</f>
        <v>34277.788732394365</v>
      </c>
      <c r="D28" s="397">
        <f>+Calpine!A41</f>
        <v>37129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98</v>
      </c>
      <c r="B31" s="375">
        <f>+burlington!D42</f>
        <v>7764.0400000000009</v>
      </c>
      <c r="C31" s="285">
        <f>+B31/$H$3</f>
        <v>2918.812030075188</v>
      </c>
      <c r="D31" s="397">
        <f>+burlington!A42</f>
        <v>37129</v>
      </c>
      <c r="E31" s="206" t="s">
        <v>88</v>
      </c>
      <c r="F31" s="32" t="s">
        <v>116</v>
      </c>
      <c r="G31" s="32" t="s">
        <v>150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136</v>
      </c>
      <c r="B32" s="375">
        <f>+SidR!D41</f>
        <v>8007.6900000000005</v>
      </c>
      <c r="C32" s="285">
        <f>+B32/$H$4</f>
        <v>2819.6091549295779</v>
      </c>
      <c r="D32" s="398">
        <f>+SidR!A41</f>
        <v>37129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34</v>
      </c>
      <c r="B33" s="378">
        <f>+'El Paso'!C39*summary!H4+'El Paso'!E39*summary!H3</f>
        <v>4762.4199999999837</v>
      </c>
      <c r="C33" s="71">
        <f>+'El Paso'!H39</f>
        <v>-2551</v>
      </c>
      <c r="D33" s="398">
        <f>+'El Paso'!A39</f>
        <v>37128</v>
      </c>
      <c r="E33" s="32" t="s">
        <v>87</v>
      </c>
      <c r="F33" s="32" t="s">
        <v>103</v>
      </c>
      <c r="G33" s="32" t="s">
        <v>122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7157770.040000001</v>
      </c>
      <c r="C34" s="69">
        <f>SUM(C8:C33)</f>
        <v>2554098.9035793715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-434995.3</v>
      </c>
      <c r="C38" s="208">
        <f>+B38/$H$4</f>
        <v>-153167.35915492958</v>
      </c>
      <c r="D38" s="398">
        <f>+'NS Steel'!A41</f>
        <v>37129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-1753001.43</v>
      </c>
      <c r="C43" s="208">
        <f>SUM(C37:C42)</f>
        <v>-615810.04931980965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5404768.6100000013</v>
      </c>
      <c r="C45" s="384">
        <f>+C43+C34</f>
        <v>1938288.8542595617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-55240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-55240</v>
      </c>
    </row>
    <row r="30" spans="1:7" x14ac:dyDescent="0.2">
      <c r="A30" s="32"/>
      <c r="B30" s="32"/>
      <c r="C30" s="32"/>
      <c r="D30" s="14">
        <f>+D29+D28</f>
        <v>12380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9" sqref="C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1174549</v>
      </c>
      <c r="C34" s="297">
        <f>SUM(C3:C33)</f>
        <v>1155706</v>
      </c>
      <c r="D34" s="14">
        <f>SUM(D3:D33)</f>
        <v>-965</v>
      </c>
      <c r="E34" s="14">
        <f>SUM(E3:E33)</f>
        <v>0</v>
      </c>
      <c r="F34" s="14">
        <f>SUM(F3:F33)</f>
        <v>-17878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37129</v>
      </c>
      <c r="B38" s="14"/>
      <c r="C38" s="14"/>
      <c r="D38" s="14"/>
      <c r="E38" s="14"/>
      <c r="F38" s="150">
        <f>+F37+F34</f>
        <v>132664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37129</v>
      </c>
      <c r="B44" s="32"/>
      <c r="C44" s="32"/>
      <c r="D44" s="408">
        <f>+F34*'by type'!J4</f>
        <v>-50773.52</v>
      </c>
      <c r="F44" s="304"/>
    </row>
    <row r="45" spans="1:6" x14ac:dyDescent="0.2">
      <c r="A45" s="32"/>
      <c r="B45" s="32"/>
      <c r="C45" s="32"/>
      <c r="D45" s="202">
        <f>+D44+D43</f>
        <v>334978.36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-552504</v>
      </c>
      <c r="C35" s="11">
        <f>SUM(C4:C34)</f>
        <v>-537180</v>
      </c>
      <c r="D35" s="11">
        <f>SUM(D4:D34)</f>
        <v>15324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37129</v>
      </c>
      <c r="D40" s="51">
        <f>+D38+D35</f>
        <v>151127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37129</v>
      </c>
      <c r="B46" s="32"/>
      <c r="C46" s="32"/>
      <c r="D46" s="408">
        <f>+D35*'by type'!J4</f>
        <v>43520.159999999996</v>
      </c>
    </row>
    <row r="47" spans="1:4" x14ac:dyDescent="0.2">
      <c r="A47" s="32"/>
      <c r="B47" s="32"/>
      <c r="C47" s="32"/>
      <c r="D47" s="202">
        <f>+D46+D45</f>
        <v>125660.16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-60189</v>
      </c>
      <c r="C31" s="24">
        <v>-60522</v>
      </c>
      <c r="D31" s="24"/>
      <c r="E31" s="24"/>
      <c r="F31" s="24">
        <f t="shared" si="0"/>
        <v>-333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-1983018</v>
      </c>
      <c r="C37" s="24">
        <f>SUM(C6:C36)</f>
        <v>-1991545</v>
      </c>
      <c r="D37" s="24">
        <f>SUM(D6:D36)</f>
        <v>-46652</v>
      </c>
      <c r="E37" s="24">
        <f>SUM(E6:E36)</f>
        <v>-46908</v>
      </c>
      <c r="F37" s="24">
        <f>SUM(F6:F36)</f>
        <v>-8783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-24943.719999999998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37129</v>
      </c>
      <c r="E41" s="14"/>
      <c r="F41" s="104">
        <f>+F40+F39</f>
        <v>444822.19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37129</v>
      </c>
      <c r="B47" s="32"/>
      <c r="C47" s="32"/>
      <c r="D47" s="379">
        <f>+F37</f>
        <v>-8783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20244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37128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37128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2.84</v>
      </c>
    </row>
    <row r="41" spans="1:4" x14ac:dyDescent="0.2">
      <c r="D41" s="138">
        <f>+D40*D39</f>
        <v>100740.48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427495.48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2" sqref="C3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-1686591</v>
      </c>
      <c r="C37" s="11">
        <f>SUM(C6:C36)</f>
        <v>-1659967</v>
      </c>
      <c r="D37" s="25">
        <f>SUM(D6:D36)</f>
        <v>26624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75612.160000000003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37129</v>
      </c>
      <c r="C41" s="48"/>
      <c r="D41" s="138">
        <f>+D40+D39</f>
        <v>97348.92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37129</v>
      </c>
      <c r="B46" s="32"/>
      <c r="C46" s="32"/>
      <c r="D46" s="379">
        <f>+D37</f>
        <v>26624</v>
      </c>
    </row>
    <row r="47" spans="1:4" x14ac:dyDescent="0.2">
      <c r="A47" s="32"/>
      <c r="B47" s="32"/>
      <c r="C47" s="32"/>
      <c r="D47" s="14">
        <f>+D46+D45</f>
        <v>135474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-95386.150000000009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37128</v>
      </c>
      <c r="C41" s="48"/>
      <c r="D41" s="138">
        <f>+D40+D39</f>
        <v>-133506.75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37128</v>
      </c>
      <c r="B46" s="32"/>
      <c r="C46" s="32"/>
      <c r="D46" s="379">
        <f>+D37</f>
        <v>-32555</v>
      </c>
    </row>
    <row r="47" spans="1:4" x14ac:dyDescent="0.2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29" sqref="F2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55022</v>
      </c>
      <c r="G29" s="11">
        <v>53622</v>
      </c>
      <c r="H29" s="11">
        <v>104372</v>
      </c>
      <c r="I29" s="11">
        <v>97955</v>
      </c>
      <c r="J29" s="11">
        <f t="shared" si="0"/>
        <v>-7806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8479719</v>
      </c>
      <c r="C35" s="11">
        <f t="shared" ref="C35:I35" si="3">SUM(C4:C34)</f>
        <v>8603497</v>
      </c>
      <c r="D35" s="11">
        <f t="shared" si="3"/>
        <v>1660565</v>
      </c>
      <c r="E35" s="11">
        <f t="shared" si="3"/>
        <v>1575679</v>
      </c>
      <c r="F35" s="11">
        <f t="shared" si="3"/>
        <v>1547850</v>
      </c>
      <c r="G35" s="11">
        <f t="shared" si="3"/>
        <v>1532628</v>
      </c>
      <c r="H35" s="11">
        <f t="shared" si="3"/>
        <v>3420552</v>
      </c>
      <c r="I35" s="11">
        <f t="shared" si="3"/>
        <v>3373627</v>
      </c>
      <c r="J35" s="11">
        <f>SUM(J4:J34)</f>
        <v>-23255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37129</v>
      </c>
      <c r="J40" s="51">
        <f>+J38+J35</f>
        <v>287013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37129</v>
      </c>
      <c r="B47" s="32"/>
      <c r="C47" s="32"/>
      <c r="D47" s="408">
        <f>+J35*'by type'!J3</f>
        <v>-61858.3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1317411.27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1568949</v>
      </c>
      <c r="C37" s="11">
        <f>SUM(C6:C36)</f>
        <v>1571682</v>
      </c>
      <c r="D37" s="25">
        <f>SUM(D6:D36)</f>
        <v>2733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8007.6900000000005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37129</v>
      </c>
      <c r="C41" s="48"/>
      <c r="D41" s="138">
        <f>+D40+D39</f>
        <v>8007.6900000000005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37129</v>
      </c>
      <c r="B47" s="32"/>
      <c r="C47" s="32"/>
      <c r="D47" s="379">
        <f>+D37</f>
        <v>2733</v>
      </c>
    </row>
    <row r="48" spans="1:4" x14ac:dyDescent="0.2">
      <c r="A48" s="32"/>
      <c r="B48" s="32"/>
      <c r="C48" s="32"/>
      <c r="D48" s="14">
        <f>+D47+D46</f>
        <v>56096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D31" sqref="D3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-35255</v>
      </c>
      <c r="C37" s="11">
        <f>SUM(C6:C36)</f>
        <v>-49604</v>
      </c>
      <c r="D37" s="25">
        <f>SUM(D6:D36)</f>
        <v>-14349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-40751.159999999996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37129</v>
      </c>
      <c r="C41" s="48"/>
      <c r="D41" s="138">
        <f>+D40+D39</f>
        <v>-434995.3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37129</v>
      </c>
      <c r="B49" s="32"/>
      <c r="C49" s="32"/>
      <c r="D49" s="379">
        <f>+D37</f>
        <v>-14349</v>
      </c>
    </row>
    <row r="50" spans="1:4" x14ac:dyDescent="0.2">
      <c r="A50" s="32"/>
      <c r="B50" s="32"/>
      <c r="C50" s="32"/>
      <c r="D50" s="14">
        <f>+D49+D48</f>
        <v>-82631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139557.6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37128</v>
      </c>
      <c r="C41" s="48"/>
      <c r="D41" s="138">
        <f>+D40+D39</f>
        <v>-211612.72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37128</v>
      </c>
      <c r="B47" s="32"/>
      <c r="C47" s="32"/>
      <c r="D47" s="379">
        <f>+D37</f>
        <v>49140</v>
      </c>
    </row>
    <row r="48" spans="1:4" x14ac:dyDescent="0.2">
      <c r="A48" s="32"/>
      <c r="B48" s="32"/>
      <c r="C48" s="32"/>
      <c r="D48" s="14">
        <f>+D47+D46</f>
        <v>-101147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23836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37128</v>
      </c>
      <c r="B23" s="32"/>
      <c r="C23" s="32"/>
      <c r="D23" s="379">
        <f>+D12</f>
        <v>23836</v>
      </c>
    </row>
    <row r="24" spans="1:7" x14ac:dyDescent="0.2">
      <c r="A24" s="32"/>
      <c r="B24" s="32"/>
      <c r="C24" s="32"/>
      <c r="D24" s="14">
        <f>+D23+D22</f>
        <v>-163917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37129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37129</v>
      </c>
      <c r="B46" s="32"/>
      <c r="C46" s="32"/>
      <c r="D46" s="408">
        <f>+D37*'by type'!J4</f>
        <v>-33611.4</v>
      </c>
    </row>
    <row r="47" spans="1:4" x14ac:dyDescent="0.2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D32" sqref="D3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2942938</v>
      </c>
      <c r="C38" s="11">
        <f>SUM(C7:C37)</f>
        <v>2959632</v>
      </c>
      <c r="D38" s="11">
        <f>SUM(D7:D37)</f>
        <v>16694</v>
      </c>
    </row>
    <row r="39" spans="1:4" x14ac:dyDescent="0.2">
      <c r="A39" s="26"/>
      <c r="C39" s="14"/>
      <c r="D39" s="106">
        <f>+summary!H3</f>
        <v>2.66</v>
      </c>
    </row>
    <row r="40" spans="1:4" x14ac:dyDescent="0.2">
      <c r="D40" s="138">
        <f>+D39*D38</f>
        <v>44406.04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37129</v>
      </c>
      <c r="D42" s="337">
        <f>+D41+D40</f>
        <v>7764.0400000000009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37129</v>
      </c>
      <c r="B48" s="32"/>
      <c r="C48" s="32"/>
      <c r="D48" s="379">
        <f>+D38</f>
        <v>16694</v>
      </c>
    </row>
    <row r="49" spans="1:4" x14ac:dyDescent="0.2">
      <c r="A49" s="32"/>
      <c r="B49" s="32"/>
      <c r="C49" s="32"/>
      <c r="D49" s="14">
        <f>+D48+D47</f>
        <v>1736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0" sqref="C30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-4729971</v>
      </c>
      <c r="C35" s="11">
        <f>SUM(C4:C34)</f>
        <v>-4714298</v>
      </c>
      <c r="D35" s="11">
        <f>SUM(D4:D34)</f>
        <v>15673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37129</v>
      </c>
      <c r="D40" s="24">
        <f>+D38+D35</f>
        <v>40573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37129</v>
      </c>
      <c r="B46" s="32"/>
      <c r="C46" s="32"/>
      <c r="D46" s="408">
        <f>+D35*'by type'!J4</f>
        <v>44511.32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-111572.06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-18643357</v>
      </c>
      <c r="C35" s="11">
        <f>SUM(C4:C34)</f>
        <v>-18629503</v>
      </c>
      <c r="D35" s="11">
        <f>SUM(D4:D34)</f>
        <v>-591339</v>
      </c>
      <c r="E35" s="11">
        <f>SUM(E4:E34)</f>
        <v>-580000</v>
      </c>
      <c r="F35" s="11">
        <f>SUM(F4:F34)</f>
        <v>25193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37129</v>
      </c>
      <c r="F40" s="51">
        <f>+F38+F35</f>
        <v>170295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37129</v>
      </c>
      <c r="B46" s="32"/>
      <c r="C46" s="32"/>
      <c r="D46" s="408">
        <f>+F35*'by type'!J4</f>
        <v>71548.12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519962.02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A39" sqref="A3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2" sqref="C3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2900458</v>
      </c>
      <c r="C37" s="11">
        <f>SUM(C6:C36)</f>
        <v>2943924</v>
      </c>
      <c r="D37" s="11">
        <f>SUM(D6:D36)</f>
        <v>43466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37129</v>
      </c>
      <c r="C40" s="48"/>
      <c r="D40" s="25">
        <f>+D39+D37</f>
        <v>98349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37129</v>
      </c>
      <c r="B46" s="32"/>
      <c r="C46" s="32"/>
      <c r="D46" s="408">
        <f>+D37*'by type'!J3</f>
        <v>115619.56000000001</v>
      </c>
    </row>
    <row r="47" spans="1:16" x14ac:dyDescent="0.2">
      <c r="A47" s="32"/>
      <c r="B47" s="32"/>
      <c r="C47" s="32"/>
      <c r="D47" s="202">
        <f>+D46+D45</f>
        <v>527371.09000000008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2001-08-27T17:22:37Z</cp:lastPrinted>
  <dcterms:created xsi:type="dcterms:W3CDTF">2000-03-28T16:52:23Z</dcterms:created>
  <dcterms:modified xsi:type="dcterms:W3CDTF">2014-09-05T06:41:39Z</dcterms:modified>
</cp:coreProperties>
</file>