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37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39" i="18" s="1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48" i="18"/>
  <c r="D49" i="18" s="1"/>
  <c r="D26" i="80" s="1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J48" i="80"/>
  <c r="F55" i="80"/>
  <c r="F56" i="80"/>
  <c r="B57" i="80"/>
  <c r="F57" i="80"/>
  <c r="F58" i="80"/>
  <c r="F62" i="80"/>
  <c r="F63" i="80"/>
  <c r="F64" i="80"/>
  <c r="B65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B5" i="78"/>
  <c r="D5" i="78"/>
  <c r="B6" i="78"/>
  <c r="D6" i="78"/>
  <c r="D7" i="78"/>
  <c r="B8" i="78"/>
  <c r="D8" i="78" s="1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M4" i="13"/>
  <c r="F5" i="13"/>
  <c r="I5" i="13"/>
  <c r="J5" i="13"/>
  <c r="K5" i="13"/>
  <c r="M5" i="13" s="1"/>
  <c r="N5" i="13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F8" i="13"/>
  <c r="I8" i="13"/>
  <c r="K8" i="13" s="1"/>
  <c r="M8" i="13" s="1"/>
  <c r="J8" i="13"/>
  <c r="N8" i="13"/>
  <c r="N10" i="13" s="1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6" i="13" s="1"/>
  <c r="C35" i="13"/>
  <c r="D35" i="13"/>
  <c r="E35" i="13"/>
  <c r="E36" i="13" s="1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35" i="73" s="1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D35" i="73"/>
  <c r="E35" i="73"/>
  <c r="E36" i="73" s="1"/>
  <c r="H35" i="73"/>
  <c r="I36" i="73"/>
  <c r="F39" i="73"/>
  <c r="B12" i="20"/>
  <c r="B13" i="20"/>
  <c r="B14" i="20"/>
  <c r="B15" i="20"/>
  <c r="B16" i="20"/>
  <c r="B17" i="20"/>
  <c r="F38" i="20" s="1"/>
  <c r="F39" i="20" s="1"/>
  <c r="B30" i="20"/>
  <c r="E37" i="20"/>
  <c r="E38" i="20"/>
  <c r="G38" i="20"/>
  <c r="G39" i="20"/>
  <c r="B45" i="20"/>
  <c r="H38" i="20" s="1"/>
  <c r="H39" i="20" s="1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H36" i="11" s="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AC36" i="11"/>
  <c r="AE36" i="11"/>
  <c r="AF36" i="11" s="1"/>
  <c r="AI36" i="11"/>
  <c r="AL36" i="11"/>
  <c r="AM36" i="11"/>
  <c r="AN36" i="11"/>
  <c r="AO36" i="11"/>
  <c r="AP36" i="11"/>
  <c r="C37" i="11"/>
  <c r="C45" i="11" s="1"/>
  <c r="C46" i="11" s="1"/>
  <c r="D57" i="80" s="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P38" i="11" s="1"/>
  <c r="AI38" i="11"/>
  <c r="AL38" i="11"/>
  <c r="AM38" i="11"/>
  <c r="AN38" i="11"/>
  <c r="AO38" i="11"/>
  <c r="C39" i="11"/>
  <c r="E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M47" i="11"/>
  <c r="AN47" i="11"/>
  <c r="AO47" i="11"/>
  <c r="AM48" i="11"/>
  <c r="AN48" i="11"/>
  <c r="AO48" i="11"/>
  <c r="AP48" i="11"/>
  <c r="J4" i="70"/>
  <c r="J5" i="70"/>
  <c r="J6" i="70"/>
  <c r="J7" i="70"/>
  <c r="J35" i="70" s="1"/>
  <c r="D47" i="70" s="1"/>
  <c r="D48" i="70" s="1"/>
  <c r="D33" i="80" s="1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37" i="22" s="1"/>
  <c r="D47" i="22" s="1"/>
  <c r="D48" i="22" s="1"/>
  <c r="D27" i="80" s="1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E37" i="5" s="1"/>
  <c r="F36" i="5"/>
  <c r="C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8" i="65" s="1"/>
  <c r="D33" i="65" s="1"/>
  <c r="D34" i="65" s="1"/>
  <c r="D24" i="80" s="1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 s="1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AG5" i="7"/>
  <c r="F6" i="7"/>
  <c r="Z6" i="7"/>
  <c r="AD6" i="7" s="1"/>
  <c r="AF6" i="7" s="1"/>
  <c r="F7" i="7"/>
  <c r="Z7" i="7"/>
  <c r="AD7" i="7"/>
  <c r="AF7" i="7" s="1"/>
  <c r="F8" i="7"/>
  <c r="Z8" i="7"/>
  <c r="AD8" i="7"/>
  <c r="AF8" i="7" s="1"/>
  <c r="F9" i="7"/>
  <c r="Z9" i="7"/>
  <c r="AD9" i="7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 s="1"/>
  <c r="AF12" i="7"/>
  <c r="F13" i="7"/>
  <c r="Z13" i="7"/>
  <c r="AD13" i="7"/>
  <c r="AF13" i="7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 s="1"/>
  <c r="F20" i="7"/>
  <c r="Z20" i="7"/>
  <c r="AD20" i="7"/>
  <c r="AF20" i="7"/>
  <c r="F21" i="7"/>
  <c r="Z21" i="7"/>
  <c r="AD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/>
  <c r="B72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H10" i="9"/>
  <c r="N10" i="9"/>
  <c r="P10" i="9" s="1"/>
  <c r="P16" i="9" s="1"/>
  <c r="H11" i="9"/>
  <c r="N11" i="9"/>
  <c r="P11" i="9"/>
  <c r="H12" i="9"/>
  <c r="L12" i="9"/>
  <c r="N12" i="9" s="1"/>
  <c r="P12" i="9" s="1"/>
  <c r="H13" i="9"/>
  <c r="N13" i="9"/>
  <c r="P13" i="9" s="1"/>
  <c r="H14" i="9"/>
  <c r="L14" i="9"/>
  <c r="N14" i="9"/>
  <c r="P14" i="9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 s="1"/>
  <c r="AD39" i="15"/>
  <c r="AE39" i="15"/>
  <c r="AH39" i="15"/>
  <c r="AL39" i="15"/>
  <c r="AM39" i="15"/>
  <c r="AP39" i="15"/>
  <c r="AT39" i="15"/>
  <c r="AV39" i="15"/>
  <c r="A50" i="15"/>
  <c r="A51" i="15"/>
  <c r="AH52" i="15"/>
  <c r="AH54" i="15"/>
  <c r="AH56" i="15" s="1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H3" i="63"/>
  <c r="I3" i="63"/>
  <c r="H4" i="63"/>
  <c r="H5" i="63"/>
  <c r="C37" i="73" s="1"/>
  <c r="E37" i="73" s="1"/>
  <c r="E38" i="73" s="1"/>
  <c r="E40" i="73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C29" i="63"/>
  <c r="B29" i="63" s="1"/>
  <c r="D29" i="63"/>
  <c r="D30" i="63"/>
  <c r="D31" i="63"/>
  <c r="D32" i="63"/>
  <c r="D33" i="63"/>
  <c r="D37" i="63"/>
  <c r="D38" i="63"/>
  <c r="D39" i="63"/>
  <c r="D40" i="63"/>
  <c r="B41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35" i="2" s="1"/>
  <c r="P5" i="2"/>
  <c r="R5" i="2"/>
  <c r="J6" i="2"/>
  <c r="P6" i="2"/>
  <c r="J7" i="2"/>
  <c r="P7" i="2"/>
  <c r="R7" i="2"/>
  <c r="J8" i="2"/>
  <c r="P8" i="2"/>
  <c r="R8" i="2" s="1"/>
  <c r="J9" i="2"/>
  <c r="P9" i="2"/>
  <c r="R9" i="2" s="1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J40" i="2" l="1"/>
  <c r="D47" i="2"/>
  <c r="D48" i="2" s="1"/>
  <c r="D62" i="80" s="1"/>
  <c r="D39" i="19"/>
  <c r="D49" i="19" s="1"/>
  <c r="D50" i="19" s="1"/>
  <c r="D19" i="80" s="1"/>
  <c r="D51" i="15"/>
  <c r="D52" i="15" s="1"/>
  <c r="D63" i="80" s="1"/>
  <c r="F43" i="15"/>
  <c r="D35" i="68"/>
  <c r="F40" i="6"/>
  <c r="K114" i="15"/>
  <c r="AN39" i="15"/>
  <c r="AF39" i="15"/>
  <c r="AF45" i="15" s="1"/>
  <c r="AI5" i="7"/>
  <c r="AH6" i="7"/>
  <c r="AJ39" i="15"/>
  <c r="AJ45" i="15" s="1"/>
  <c r="F34" i="67"/>
  <c r="D37" i="75"/>
  <c r="D46" i="75" s="1"/>
  <c r="D47" i="75" s="1"/>
  <c r="D36" i="80" s="1"/>
  <c r="E45" i="11"/>
  <c r="M13" i="13"/>
  <c r="B133" i="15"/>
  <c r="B136" i="15" s="1"/>
  <c r="F132" i="15"/>
  <c r="F133" i="15" s="1"/>
  <c r="C133" i="15" s="1"/>
  <c r="C38" i="73"/>
  <c r="C40" i="73" s="1"/>
  <c r="F40" i="73" s="1"/>
  <c r="F49" i="73" s="1"/>
  <c r="D17" i="64"/>
  <c r="D29" i="64" s="1"/>
  <c r="D30" i="64" s="1"/>
  <c r="D32" i="80" s="1"/>
  <c r="M23" i="77"/>
  <c r="D37" i="77"/>
  <c r="D49" i="77" s="1"/>
  <c r="D50" i="77" s="1"/>
  <c r="D14" i="80" s="1"/>
  <c r="I39" i="20"/>
  <c r="I56" i="20" s="1"/>
  <c r="M51" i="73" s="1"/>
  <c r="F101" i="15"/>
  <c r="C101" i="15" s="1"/>
  <c r="F38" i="73"/>
  <c r="AG19" i="7"/>
  <c r="AG20" i="7" s="1"/>
  <c r="AG21" i="7" s="1"/>
  <c r="AF19" i="7"/>
  <c r="AH19" i="7" s="1"/>
  <c r="D18" i="8"/>
  <c r="D37" i="81"/>
  <c r="J39" i="17"/>
  <c r="D48" i="17" s="1"/>
  <c r="D49" i="17" s="1"/>
  <c r="D30" i="80" s="1"/>
  <c r="N11" i="13"/>
  <c r="D46" i="12"/>
  <c r="D47" i="12" s="1"/>
  <c r="D64" i="80" s="1"/>
  <c r="D40" i="12"/>
  <c r="F36" i="7"/>
  <c r="F42" i="5"/>
  <c r="D48" i="5"/>
  <c r="D49" i="5" s="1"/>
  <c r="D73" i="80" s="1"/>
  <c r="H39" i="11"/>
  <c r="C41" i="63" s="1"/>
  <c r="J3" i="80"/>
  <c r="J46" i="80" s="1"/>
  <c r="D39" i="69"/>
  <c r="C180" i="15"/>
  <c r="C176" i="15"/>
  <c r="F176" i="15" s="1"/>
  <c r="P22" i="2"/>
  <c r="R6" i="2"/>
  <c r="R22" i="2" s="1"/>
  <c r="J35" i="73"/>
  <c r="J36" i="73" s="1"/>
  <c r="K36" i="73" s="1"/>
  <c r="K49" i="73" s="1"/>
  <c r="F36" i="73"/>
  <c r="F37" i="73" s="1"/>
  <c r="F40" i="18"/>
  <c r="F41" i="18" s="1"/>
  <c r="F43" i="18" s="1"/>
  <c r="J36" i="70"/>
  <c r="J37" i="70" s="1"/>
  <c r="J41" i="70" s="1"/>
  <c r="D19" i="65"/>
  <c r="D20" i="65" s="1"/>
  <c r="D24" i="65" s="1"/>
  <c r="D38" i="77"/>
  <c r="J4" i="80"/>
  <c r="D38" i="74"/>
  <c r="D39" i="74" s="1"/>
  <c r="D41" i="74" s="1"/>
  <c r="C37" i="13"/>
  <c r="B31" i="20"/>
  <c r="F38" i="22"/>
  <c r="F39" i="22" s="1"/>
  <c r="F41" i="22" s="1"/>
  <c r="D37" i="76"/>
  <c r="AR24" i="15"/>
  <c r="AR39" i="15" s="1"/>
  <c r="AR45" i="15" s="1"/>
  <c r="AQ39" i="15"/>
  <c r="H35" i="9"/>
  <c r="E47" i="9" s="1"/>
  <c r="E48" i="9" s="1"/>
  <c r="D31" i="80" s="1"/>
  <c r="J40" i="17"/>
  <c r="J41" i="17" s="1"/>
  <c r="J43" i="17" s="1"/>
  <c r="F39" i="71"/>
  <c r="D49" i="71" s="1"/>
  <c r="D50" i="71" s="1"/>
  <c r="D35" i="80" s="1"/>
  <c r="AF38" i="11"/>
  <c r="F35" i="13"/>
  <c r="D47" i="13" s="1"/>
  <c r="D48" i="13" s="1"/>
  <c r="D25" i="80" s="1"/>
  <c r="D38" i="79"/>
  <c r="D39" i="79" s="1"/>
  <c r="D41" i="79" s="1"/>
  <c r="D13" i="78"/>
  <c r="D12" i="78"/>
  <c r="D23" i="78" s="1"/>
  <c r="D24" i="78" s="1"/>
  <c r="D15" i="80" s="1"/>
  <c r="AU39" i="15"/>
  <c r="K13" i="13"/>
  <c r="D18" i="64"/>
  <c r="D35" i="28"/>
  <c r="AL47" i="11"/>
  <c r="AL48" i="11" s="1"/>
  <c r="D37" i="74"/>
  <c r="D46" i="74" s="1"/>
  <c r="D47" i="74" s="1"/>
  <c r="D12" i="80" s="1"/>
  <c r="D38" i="69"/>
  <c r="D48" i="69" s="1"/>
  <c r="D49" i="69" s="1"/>
  <c r="D20" i="80" s="1"/>
  <c r="D40" i="19"/>
  <c r="D41" i="19" s="1"/>
  <c r="D43" i="19" s="1"/>
  <c r="H36" i="9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P20" i="11"/>
  <c r="F40" i="71"/>
  <c r="F41" i="71" s="1"/>
  <c r="F43" i="71" s="1"/>
  <c r="D39" i="72"/>
  <c r="D48" i="72" s="1"/>
  <c r="D49" i="72" s="1"/>
  <c r="D29" i="80" s="1"/>
  <c r="AI39" i="15"/>
  <c r="D38" i="75"/>
  <c r="D39" i="75" s="1"/>
  <c r="D41" i="75" s="1"/>
  <c r="AR51" i="15" l="1"/>
  <c r="AR48" i="15"/>
  <c r="D38" i="80"/>
  <c r="B19" i="80"/>
  <c r="B30" i="63"/>
  <c r="C30" i="63" s="1"/>
  <c r="B12" i="80"/>
  <c r="B28" i="63"/>
  <c r="C28" i="63" s="1"/>
  <c r="D41" i="81"/>
  <c r="D46" i="81"/>
  <c r="D47" i="81" s="1"/>
  <c r="D71" i="80" s="1"/>
  <c r="AH7" i="7"/>
  <c r="AI6" i="7"/>
  <c r="J47" i="80"/>
  <c r="C57" i="80"/>
  <c r="E57" i="80" s="1"/>
  <c r="D30" i="8"/>
  <c r="D31" i="8" s="1"/>
  <c r="D37" i="80" s="1"/>
  <c r="D20" i="8"/>
  <c r="D24" i="8" s="1"/>
  <c r="E46" i="11"/>
  <c r="F46" i="11" s="1"/>
  <c r="D65" i="80" s="1"/>
  <c r="F45" i="11"/>
  <c r="D39" i="77"/>
  <c r="D41" i="77" s="1"/>
  <c r="C21" i="63"/>
  <c r="B21" i="63" s="1"/>
  <c r="B64" i="80"/>
  <c r="C64" i="80" s="1"/>
  <c r="E64" i="80" s="1"/>
  <c r="B42" i="63"/>
  <c r="C42" i="63" s="1"/>
  <c r="B35" i="80"/>
  <c r="C35" i="80" s="1"/>
  <c r="E35" i="80" s="1"/>
  <c r="D40" i="28"/>
  <c r="D46" i="28"/>
  <c r="D47" i="28" s="1"/>
  <c r="D58" i="80" s="1"/>
  <c r="D47" i="76"/>
  <c r="D48" i="76" s="1"/>
  <c r="D34" i="80" s="1"/>
  <c r="D39" i="76"/>
  <c r="D41" i="76" s="1"/>
  <c r="B27" i="63"/>
  <c r="C27" i="63" s="1"/>
  <c r="B33" i="80"/>
  <c r="C33" i="80" s="1"/>
  <c r="E33" i="80" s="1"/>
  <c r="D19" i="64"/>
  <c r="D23" i="64" s="1"/>
  <c r="B27" i="80"/>
  <c r="C27" i="80" s="1"/>
  <c r="E27" i="80" s="1"/>
  <c r="B18" i="63"/>
  <c r="C18" i="63" s="1"/>
  <c r="B11" i="63"/>
  <c r="C11" i="63" s="1"/>
  <c r="B26" i="80"/>
  <c r="C26" i="80" s="1"/>
  <c r="E26" i="80" s="1"/>
  <c r="D40" i="69"/>
  <c r="D42" i="69" s="1"/>
  <c r="D46" i="6"/>
  <c r="D47" i="6" s="1"/>
  <c r="D56" i="80" s="1"/>
  <c r="B18" i="20"/>
  <c r="C18" i="20" s="1"/>
  <c r="C19" i="20" s="1"/>
  <c r="B46" i="20"/>
  <c r="C46" i="20" s="1"/>
  <c r="C47" i="20" s="1"/>
  <c r="C56" i="20" s="1"/>
  <c r="F51" i="73" s="1"/>
  <c r="F53" i="73" s="1"/>
  <c r="C31" i="20"/>
  <c r="C32" i="20" s="1"/>
  <c r="D41" i="72"/>
  <c r="D43" i="72" s="1"/>
  <c r="M53" i="73"/>
  <c r="D28" i="80" s="1"/>
  <c r="C65" i="80"/>
  <c r="E65" i="80" s="1"/>
  <c r="B56" i="80"/>
  <c r="C56" i="80" s="1"/>
  <c r="C16" i="63"/>
  <c r="B16" i="63" s="1"/>
  <c r="H37" i="9"/>
  <c r="H39" i="9" s="1"/>
  <c r="C38" i="13"/>
  <c r="C41" i="13" s="1"/>
  <c r="E37" i="13"/>
  <c r="E38" i="13" s="1"/>
  <c r="D46" i="16"/>
  <c r="D47" i="16" s="1"/>
  <c r="D72" i="80" s="1"/>
  <c r="D40" i="68"/>
  <c r="D46" i="68"/>
  <c r="D47" i="68" s="1"/>
  <c r="D55" i="80" s="1"/>
  <c r="B63" i="80"/>
  <c r="C63" i="80" s="1"/>
  <c r="E63" i="80" s="1"/>
  <c r="C19" i="63"/>
  <c r="B19" i="63" s="1"/>
  <c r="D16" i="80"/>
  <c r="D40" i="80"/>
  <c r="D21" i="80"/>
  <c r="B73" i="80"/>
  <c r="C73" i="80" s="1"/>
  <c r="E73" i="80" s="1"/>
  <c r="C22" i="63"/>
  <c r="B22" i="63" s="1"/>
  <c r="D14" i="78"/>
  <c r="D18" i="78" s="1"/>
  <c r="AH20" i="7"/>
  <c r="AI19" i="7"/>
  <c r="C72" i="80"/>
  <c r="E72" i="80" s="1"/>
  <c r="B13" i="63"/>
  <c r="C13" i="63" s="1"/>
  <c r="B24" i="80"/>
  <c r="F38" i="67"/>
  <c r="D44" i="67"/>
  <c r="D45" i="67" s="1"/>
  <c r="D70" i="80" s="1"/>
  <c r="D74" i="80" s="1"/>
  <c r="B102" i="15"/>
  <c r="AN45" i="15"/>
  <c r="D67" i="80"/>
  <c r="B30" i="80"/>
  <c r="C30" i="80" s="1"/>
  <c r="E30" i="80" s="1"/>
  <c r="B15" i="63"/>
  <c r="C15" i="63" s="1"/>
  <c r="B40" i="63"/>
  <c r="C40" i="63" s="1"/>
  <c r="B36" i="80"/>
  <c r="C36" i="80" s="1"/>
  <c r="E36" i="80" s="1"/>
  <c r="F41" i="7"/>
  <c r="E48" i="7"/>
  <c r="E49" i="7" s="1"/>
  <c r="D66" i="80" s="1"/>
  <c r="B13" i="80"/>
  <c r="C13" i="80" s="1"/>
  <c r="E13" i="80" s="1"/>
  <c r="B39" i="63"/>
  <c r="C39" i="63" s="1"/>
  <c r="C10" i="63"/>
  <c r="B10" i="63" s="1"/>
  <c r="B62" i="80"/>
  <c r="B28" i="80" l="1"/>
  <c r="C28" i="80" s="1"/>
  <c r="E28" i="80" s="1"/>
  <c r="B20" i="63"/>
  <c r="C20" i="63" s="1"/>
  <c r="AI20" i="7"/>
  <c r="AH21" i="7"/>
  <c r="AI21" i="7" s="1"/>
  <c r="B20" i="80"/>
  <c r="C20" i="80" s="1"/>
  <c r="E20" i="80" s="1"/>
  <c r="B33" i="63"/>
  <c r="C33" i="63" s="1"/>
  <c r="B34" i="80"/>
  <c r="C34" i="80" s="1"/>
  <c r="E34" i="80" s="1"/>
  <c r="B31" i="63"/>
  <c r="C31" i="63" s="1"/>
  <c r="AH8" i="7"/>
  <c r="AI7" i="7"/>
  <c r="B15" i="80"/>
  <c r="C15" i="80" s="1"/>
  <c r="E15" i="80" s="1"/>
  <c r="B37" i="63"/>
  <c r="D59" i="80"/>
  <c r="D76" i="80" s="1"/>
  <c r="B66" i="80"/>
  <c r="C66" i="80" s="1"/>
  <c r="E66" i="80" s="1"/>
  <c r="C24" i="63"/>
  <c r="B24" i="63" s="1"/>
  <c r="B55" i="80"/>
  <c r="C17" i="63"/>
  <c r="B17" i="63" s="1"/>
  <c r="B71" i="80"/>
  <c r="C71" i="80" s="1"/>
  <c r="E71" i="80" s="1"/>
  <c r="C23" i="63"/>
  <c r="B23" i="63" s="1"/>
  <c r="B70" i="80"/>
  <c r="C14" i="63"/>
  <c r="B14" i="63" s="1"/>
  <c r="B29" i="80"/>
  <c r="C29" i="80" s="1"/>
  <c r="E29" i="80" s="1"/>
  <c r="B12" i="63"/>
  <c r="C12" i="63" s="1"/>
  <c r="C26" i="63"/>
  <c r="B26" i="63" s="1"/>
  <c r="B58" i="80"/>
  <c r="C58" i="80" s="1"/>
  <c r="E58" i="80" s="1"/>
  <c r="B32" i="63"/>
  <c r="C32" i="63" s="1"/>
  <c r="B37" i="80"/>
  <c r="C37" i="80" s="1"/>
  <c r="E37" i="80" s="1"/>
  <c r="C24" i="80"/>
  <c r="E41" i="13"/>
  <c r="F41" i="13" s="1"/>
  <c r="F38" i="13"/>
  <c r="C12" i="80"/>
  <c r="B32" i="80"/>
  <c r="C32" i="80" s="1"/>
  <c r="E32" i="80" s="1"/>
  <c r="B25" i="63"/>
  <c r="C25" i="63" s="1"/>
  <c r="B9" i="63"/>
  <c r="C9" i="63" s="1"/>
  <c r="B31" i="80"/>
  <c r="C31" i="80" s="1"/>
  <c r="E31" i="80" s="1"/>
  <c r="C19" i="80"/>
  <c r="B67" i="80"/>
  <c r="C62" i="80"/>
  <c r="E56" i="80"/>
  <c r="B38" i="63"/>
  <c r="C38" i="63" s="1"/>
  <c r="B14" i="80"/>
  <c r="C14" i="80" s="1"/>
  <c r="E14" i="80" s="1"/>
  <c r="F102" i="15"/>
  <c r="F103" i="15" s="1"/>
  <c r="B103" i="15"/>
  <c r="B105" i="15" s="1"/>
  <c r="F105" i="15" s="1"/>
  <c r="C70" i="80" l="1"/>
  <c r="B74" i="80"/>
  <c r="C37" i="63"/>
  <c r="C43" i="63" s="1"/>
  <c r="B43" i="63"/>
  <c r="C16" i="80"/>
  <c r="E12" i="80"/>
  <c r="B40" i="80"/>
  <c r="E19" i="80"/>
  <c r="E21" i="80" s="1"/>
  <c r="C21" i="80"/>
  <c r="B16" i="80"/>
  <c r="B59" i="80"/>
  <c r="B76" i="80" s="1"/>
  <c r="C55" i="80"/>
  <c r="AH9" i="7"/>
  <c r="AI8" i="7"/>
  <c r="B21" i="80"/>
  <c r="C103" i="15"/>
  <c r="B8" i="63"/>
  <c r="B25" i="80"/>
  <c r="E24" i="80"/>
  <c r="C67" i="80"/>
  <c r="E62" i="80"/>
  <c r="E67" i="80" s="1"/>
  <c r="C40" i="80" l="1"/>
  <c r="B80" i="80" s="1"/>
  <c r="AI9" i="7"/>
  <c r="AH10" i="7"/>
  <c r="C59" i="80"/>
  <c r="C76" i="80"/>
  <c r="B79" i="80" s="1"/>
  <c r="E55" i="80"/>
  <c r="E16" i="80"/>
  <c r="C25" i="80"/>
  <c r="B38" i="80"/>
  <c r="C8" i="63"/>
  <c r="C34" i="63" s="1"/>
  <c r="B34" i="63"/>
  <c r="B45" i="63" s="1"/>
  <c r="C45" i="63"/>
  <c r="E70" i="80"/>
  <c r="E74" i="80" s="1"/>
  <c r="C74" i="80"/>
  <c r="E40" i="80" l="1"/>
  <c r="E59" i="80"/>
  <c r="E76" i="80" s="1"/>
  <c r="AI10" i="7"/>
  <c r="AH11" i="7"/>
  <c r="E25" i="80"/>
  <c r="E38" i="80" s="1"/>
  <c r="C38" i="80"/>
  <c r="AH12" i="7" l="1"/>
  <c r="AI11" i="7"/>
  <c r="AH13" i="7" l="1"/>
  <c r="AI12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<sst xmlns="http://schemas.openxmlformats.org/spreadsheetml/2006/main" count="668" uniqueCount="206">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</sst>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1.97</v>
          </cell>
          <cell r="K39">
            <v>1.83</v>
          </cell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abSelected="1" workbookViewId="0"/>
    <sheetView workbookViewId="1"/>
    <sheetView topLeftCell="A46" workbookViewId="2">
      <selection activeCell="G50" sqref="G50"/>
    </sheetView>
    <sheetView tabSelected="1" workbookViewId="3">
      <selection activeCell="B63" sqref="B63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1.83</v>
      </c>
      <c r="K3" s="437">
        <f ca="1">NOW()</f>
        <v>41887.362393055555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1.92</v>
      </c>
      <c r="K4" s="32"/>
    </row>
    <row r="5" spans="1:32" ht="12.95" customHeight="1" x14ac:dyDescent="0.2">
      <c r="D5" s="7"/>
      <c r="I5" s="417" t="s">
        <v>120</v>
      </c>
      <c r="J5" s="420">
        <f>+summary!H5</f>
        <v>1.97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92723.76</v>
      </c>
      <c r="C12" s="402">
        <f>+B12/$J$4</f>
        <v>48293.625</v>
      </c>
      <c r="D12" s="14">
        <f>+Calpine!D47</f>
        <v>136250</v>
      </c>
      <c r="E12" s="70">
        <f>+C12-D12</f>
        <v>-87956.375</v>
      </c>
      <c r="F12" s="397">
        <f>+Calpine!A41</f>
        <v>37138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-115004.68</v>
      </c>
      <c r="C13" s="401">
        <f>+B13/$J$4</f>
        <v>-59898.270833333328</v>
      </c>
      <c r="D13" s="14">
        <f>+'Citizens-Griffith'!D48</f>
        <v>-55663</v>
      </c>
      <c r="E13" s="70">
        <f>+C13-D13</f>
        <v>-4235.2708333333285</v>
      </c>
      <c r="F13" s="397">
        <f>+'Citizens-Griffith'!A41</f>
        <v>37138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-425011.68</v>
      </c>
      <c r="C14" s="401">
        <f>+B14/$J$4</f>
        <v>-221360.25</v>
      </c>
      <c r="D14" s="14">
        <f>+'NS Steel'!D50</f>
        <v>-80150</v>
      </c>
      <c r="E14" s="70">
        <f>+C14-D14</f>
        <v>-141210.25</v>
      </c>
      <c r="F14" s="398">
        <f>+'NS Steel'!A41</f>
        <v>37138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-733498.61</v>
      </c>
      <c r="C15" s="403">
        <f>+B15/$J$4</f>
        <v>-382030.52604166669</v>
      </c>
      <c r="D15" s="379">
        <f>+Citizens!D24</f>
        <v>-139523</v>
      </c>
      <c r="E15" s="72">
        <f>+C15-D15</f>
        <v>-242507.52604166669</v>
      </c>
      <c r="F15" s="397">
        <f>+Citizens!A18</f>
        <v>37138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-1180791.21</v>
      </c>
      <c r="C16" s="428">
        <f>SUBTOTAL(9,C12:C15)</f>
        <v>-614995.421875</v>
      </c>
      <c r="D16" s="429">
        <f>SUBTOTAL(9,D12:D15)</f>
        <v>-139086</v>
      </c>
      <c r="E16" s="430">
        <f>SUBTOTAL(9,E12:E15)</f>
        <v>-475909.421875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34766.68</v>
      </c>
      <c r="C19" s="401">
        <f>+B19/$J$4</f>
        <v>18107.645833333336</v>
      </c>
      <c r="D19" s="14">
        <f>+transcol!D50</f>
        <v>-39688</v>
      </c>
      <c r="E19" s="70">
        <f>+C19-D19</f>
        <v>57795.645833333336</v>
      </c>
      <c r="F19" s="398">
        <f>+transcol!A43</f>
        <v>37138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9936.130000000001</v>
      </c>
      <c r="C20" s="405">
        <f>+B20/$J$3</f>
        <v>5429.579234972678</v>
      </c>
      <c r="D20" s="379">
        <f>+burlington!D49</f>
        <v>3489</v>
      </c>
      <c r="E20" s="72">
        <f>+C20-D20</f>
        <v>1940.579234972678</v>
      </c>
      <c r="F20" s="397">
        <f>+burlington!A42</f>
        <v>37138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44702.81</v>
      </c>
      <c r="C21" s="422">
        <f>SUBTOTAL(9,C19:C20)</f>
        <v>23537.225068306012</v>
      </c>
      <c r="D21" s="429">
        <f>SUBTOTAL(9,D19:D20)</f>
        <v>-36199</v>
      </c>
      <c r="E21" s="430">
        <f>SUBTOTAL(9,E19:E20)</f>
        <v>59736.225068306012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381800.36</v>
      </c>
      <c r="C24" s="401">
        <f t="shared" ref="C24:C35" si="0">+B24/$J$4</f>
        <v>198854.35416666666</v>
      </c>
      <c r="D24" s="14">
        <f>+NNG!D34</f>
        <v>-34713</v>
      </c>
      <c r="E24" s="70">
        <f t="shared" ref="E24:E37" si="1">+C24-D24</f>
        <v>233567.35416666666</v>
      </c>
      <c r="F24" s="397">
        <f>+NNG!A24</f>
        <v>37137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576805.5</v>
      </c>
      <c r="C25" s="401">
        <f t="shared" si="0"/>
        <v>300419.53125</v>
      </c>
      <c r="D25" s="14">
        <f>+Conoco!D48</f>
        <v>87650</v>
      </c>
      <c r="E25" s="70">
        <f t="shared" si="1"/>
        <v>212769.53125</v>
      </c>
      <c r="F25" s="397">
        <f>+Conoco!A41</f>
        <v>37138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428697.23</v>
      </c>
      <c r="C26" s="401">
        <f t="shared" si="0"/>
        <v>223279.80729166666</v>
      </c>
      <c r="D26" s="14">
        <f>+'Amoco Abo'!D49</f>
        <v>-240565</v>
      </c>
      <c r="E26" s="70">
        <f t="shared" si="1"/>
        <v>463844.80729166663</v>
      </c>
      <c r="F26" s="398">
        <f>+'Amoco Abo'!A43</f>
        <v>37137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271971.56</v>
      </c>
      <c r="C27" s="401">
        <f t="shared" si="0"/>
        <v>141651.85416666666</v>
      </c>
      <c r="D27" s="14">
        <f>+KN_Westar!D48</f>
        <v>-59427</v>
      </c>
      <c r="E27" s="70">
        <f t="shared" si="1"/>
        <v>201078.85416666666</v>
      </c>
      <c r="F27" s="398">
        <f>+KN_Westar!A41</f>
        <v>37137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184378.63999999966</v>
      </c>
      <c r="C28" s="402">
        <f t="shared" si="0"/>
        <v>96030.541666666497</v>
      </c>
      <c r="D28" s="14">
        <f>+DEFS!M53</f>
        <v>397921</v>
      </c>
      <c r="E28" s="70">
        <f t="shared" si="1"/>
        <v>-301890.45833333349</v>
      </c>
      <c r="F28" s="398">
        <f>+DEFS!A40</f>
        <v>37137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395643.28</v>
      </c>
      <c r="C29" s="401">
        <f t="shared" si="0"/>
        <v>206064.20833333334</v>
      </c>
      <c r="D29" s="14">
        <f>+CIG!D49</f>
        <v>22431</v>
      </c>
      <c r="E29" s="70">
        <f t="shared" si="1"/>
        <v>183633.20833333334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319436.40000000002</v>
      </c>
      <c r="C30" s="401">
        <f t="shared" si="0"/>
        <v>166373.12500000003</v>
      </c>
      <c r="D30" s="14">
        <f>+mewborne!D49</f>
        <v>126878</v>
      </c>
      <c r="E30" s="70">
        <f t="shared" si="1"/>
        <v>39495.125000000029</v>
      </c>
      <c r="F30" s="398">
        <f>+mewborne!A43</f>
        <v>37137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474540.56</v>
      </c>
      <c r="C31" s="401">
        <f t="shared" si="0"/>
        <v>247156.54166666669</v>
      </c>
      <c r="D31" s="14">
        <f>+PGETX!E48</f>
        <v>116588</v>
      </c>
      <c r="E31" s="70">
        <f t="shared" si="1"/>
        <v>130568.54166666669</v>
      </c>
      <c r="F31" s="398">
        <f>+PGETX!E39</f>
        <v>37138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123036.28000000001</v>
      </c>
      <c r="C32" s="401">
        <f t="shared" si="0"/>
        <v>64081.395833333343</v>
      </c>
      <c r="D32" s="14">
        <f>+PNM!D30</f>
        <v>3283</v>
      </c>
      <c r="E32" s="70">
        <f t="shared" si="1"/>
        <v>60798.395833333343</v>
      </c>
      <c r="F32" s="398">
        <f>+PNM!A23</f>
        <v>37137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95925.36</v>
      </c>
      <c r="C33" s="401">
        <f t="shared" si="0"/>
        <v>49961.125</v>
      </c>
      <c r="D33" s="14">
        <f>+EOG!D48</f>
        <v>-79998</v>
      </c>
      <c r="E33" s="70">
        <f t="shared" si="1"/>
        <v>129959.125</v>
      </c>
      <c r="F33" s="397">
        <f>+EOG!A41</f>
        <v>37137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29280.91</v>
      </c>
      <c r="C34" s="401">
        <f t="shared" si="0"/>
        <v>15250.473958333334</v>
      </c>
      <c r="D34" s="14">
        <f>+SidR!D48</f>
        <v>12745</v>
      </c>
      <c r="E34" s="70">
        <f t="shared" si="1"/>
        <v>2505.4739583333339</v>
      </c>
      <c r="F34" s="398">
        <f>+SidR!A41</f>
        <v>37138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-2716.9635416666665</v>
      </c>
      <c r="D35" s="14">
        <f>+Continental!D50</f>
        <v>-17302</v>
      </c>
      <c r="E35" s="70">
        <f t="shared" si="1"/>
        <v>14585.036458333334</v>
      </c>
      <c r="F35" s="398">
        <f>+Continental!A43</f>
        <v>37137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-23278.13</v>
      </c>
      <c r="C36" s="402">
        <f>+B36/$J$5</f>
        <v>-11816.309644670051</v>
      </c>
      <c r="D36" s="14">
        <f>+EPFS!D47</f>
        <v>5102</v>
      </c>
      <c r="E36" s="70">
        <f t="shared" si="1"/>
        <v>-16918.309644670051</v>
      </c>
      <c r="F36" s="397">
        <f>+EPFS!A41</f>
        <v>37138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11931.92</v>
      </c>
      <c r="C37" s="403">
        <f>+B37/$J$4</f>
        <v>6214.541666666667</v>
      </c>
      <c r="D37" s="379">
        <f>+Agave!D31</f>
        <v>-26400</v>
      </c>
      <c r="E37" s="72">
        <f t="shared" si="1"/>
        <v>32614.541666666668</v>
      </c>
      <c r="F37" s="397">
        <f>+Agave!A24</f>
        <v>37137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3264953.2999999993</v>
      </c>
      <c r="C38" s="428">
        <f>SUBTOTAL(9,C24:C37)</f>
        <v>1700804.226813663</v>
      </c>
      <c r="D38" s="429">
        <f>SUBTOTAL(9,D24:D37)</f>
        <v>314193</v>
      </c>
      <c r="E38" s="430">
        <f>SUBTOTAL(9,E24:E37)</f>
        <v>1386611.226813663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2128864.9</v>
      </c>
      <c r="C40" s="428">
        <f>SUBTOTAL(9,C12:C37)</f>
        <v>1109346.0300069691</v>
      </c>
      <c r="D40" s="429">
        <f>SUBTOTAL(9,D12:D37)</f>
        <v>138908</v>
      </c>
      <c r="E40" s="430">
        <f>SUBTOTAL(9,E12:E37)</f>
        <v>970438.030006969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1.83</v>
      </c>
      <c r="K46" s="437">
        <f ca="1">NOW()</f>
        <v>41887.362393055555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1.92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1.97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144869</v>
      </c>
      <c r="C55" s="375">
        <f>+B55*$J$4</f>
        <v>278148.47999999998</v>
      </c>
      <c r="D55" s="47">
        <f>+Mojave!D47</f>
        <v>112858.6</v>
      </c>
      <c r="E55" s="47">
        <f>+C55-D55</f>
        <v>165289.87999999998</v>
      </c>
      <c r="F55" s="398">
        <f>+Mojave!A40</f>
        <v>37138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164695</v>
      </c>
      <c r="C56" s="375">
        <f>+B56*$J$4</f>
        <v>316214.39999999997</v>
      </c>
      <c r="D56" s="47">
        <f>+SoCal!D47</f>
        <v>491159.03999999998</v>
      </c>
      <c r="E56" s="47">
        <f>+C56-D56</f>
        <v>-174944.64000000001</v>
      </c>
      <c r="F56" s="398">
        <f>+SoCal!A40</f>
        <v>37138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123179.51999999999</v>
      </c>
      <c r="D57" s="47">
        <f>+'El Paso'!C46</f>
        <v>-1583274</v>
      </c>
      <c r="E57" s="47">
        <f>+C57-D57</f>
        <v>1706453.52</v>
      </c>
      <c r="F57" s="398">
        <f>+'El Paso'!A39</f>
        <v>37138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50219</v>
      </c>
      <c r="C58" s="378">
        <f>+B58*$J$4</f>
        <v>96420.479999999996</v>
      </c>
      <c r="D58" s="378">
        <f>+'PG&amp;E'!D47</f>
        <v>-91625.16</v>
      </c>
      <c r="E58" s="378">
        <f>+C58-D58</f>
        <v>188045.64</v>
      </c>
      <c r="F58" s="398">
        <f>+'PG&amp;E'!A40</f>
        <v>37138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423939</v>
      </c>
      <c r="C59" s="421">
        <f>SUBTOTAL(9,C55:C58)</f>
        <v>813962.87999999989</v>
      </c>
      <c r="D59" s="421">
        <f>SUBTOTAL(9,D55:D58)</f>
        <v>-1070881.52</v>
      </c>
      <c r="E59" s="421">
        <f>SUBTOTAL(9,E55:E58)</f>
        <v>1884844.4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256565</v>
      </c>
      <c r="C62" s="375">
        <f>+B62*$J$3</f>
        <v>469513.95</v>
      </c>
      <c r="D62" s="47">
        <f>+williams!D48</f>
        <v>1252509.6200000001</v>
      </c>
      <c r="E62" s="47">
        <f>+C62-D62</f>
        <v>-782995.67000000016</v>
      </c>
      <c r="F62" s="397">
        <f>+williams!A40</f>
        <v>37138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139027</v>
      </c>
      <c r="C63" s="376">
        <f>+B63*J3</f>
        <v>254419.41</v>
      </c>
      <c r="D63" s="202">
        <f>+'Red C'!D52</f>
        <v>669247.78</v>
      </c>
      <c r="E63" s="47">
        <f>+C63-D63</f>
        <v>-414828.37</v>
      </c>
      <c r="F63" s="397">
        <f>+'Red C'!B43</f>
        <v>37137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82337</v>
      </c>
      <c r="C64" s="375">
        <f>+B64*$J$3</f>
        <v>150676.71</v>
      </c>
      <c r="D64" s="47">
        <f>+Amoco!D47</f>
        <v>489303.2</v>
      </c>
      <c r="E64" s="47">
        <f>+C64-D64</f>
        <v>-338626.49</v>
      </c>
      <c r="F64" s="398">
        <f>+Amoco!A40</f>
        <v>37137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-74583</v>
      </c>
      <c r="C65" s="375">
        <f>+B65*$J$3</f>
        <v>-136486.89000000001</v>
      </c>
      <c r="D65" s="47">
        <f>+'El Paso'!F46</f>
        <v>-661223.94999999995</v>
      </c>
      <c r="E65" s="47">
        <f>+C65-D65</f>
        <v>524737.05999999994</v>
      </c>
      <c r="F65" s="398">
        <f>+'El Paso'!A39</f>
        <v>37138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69057</v>
      </c>
      <c r="C66" s="378">
        <f>+B66*$J$3</f>
        <v>126374.31</v>
      </c>
      <c r="D66" s="378">
        <f>+NW!E49</f>
        <v>-320031.25</v>
      </c>
      <c r="E66" s="378">
        <f>+C66-D66</f>
        <v>446405.56</v>
      </c>
      <c r="F66" s="397">
        <f>+NW!B41</f>
        <v>37138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472403</v>
      </c>
      <c r="C67" s="421">
        <f>SUBTOTAL(9,C62:C66)</f>
        <v>864497.49</v>
      </c>
      <c r="D67" s="421">
        <f>SUBTOTAL(9,D62:D66)</f>
        <v>1429805.4000000001</v>
      </c>
      <c r="E67" s="421">
        <f>SUBTOTAL(9,E62:E66)</f>
        <v>-565307.91000000015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173774</v>
      </c>
      <c r="C70" s="375">
        <f>+B70*$J$4</f>
        <v>333646.08000000002</v>
      </c>
      <c r="D70" s="47">
        <f>+NGPL!D45</f>
        <v>420485.32</v>
      </c>
      <c r="E70" s="47">
        <f>+C70-D70</f>
        <v>-86839.239999999991</v>
      </c>
      <c r="F70" s="398">
        <f>+NGPL!A38</f>
        <v>37138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71207</v>
      </c>
      <c r="C71" s="376">
        <f>+B71*$J$4</f>
        <v>136717.44</v>
      </c>
      <c r="D71" s="47">
        <f>+PEPL!D47</f>
        <v>315089.96000000002</v>
      </c>
      <c r="E71" s="47">
        <f>+C71-D71</f>
        <v>-178372.52000000002</v>
      </c>
      <c r="F71" s="398">
        <f>+PEPL!A41</f>
        <v>37138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44057</v>
      </c>
      <c r="C72" s="375">
        <f>+B72*$J$4</f>
        <v>84589.440000000002</v>
      </c>
      <c r="D72" s="47">
        <f>+Oasis!D47</f>
        <v>-265130.56</v>
      </c>
      <c r="E72" s="47">
        <f>+C72-D72</f>
        <v>349720</v>
      </c>
      <c r="F72" s="398">
        <f>+Oasis!B40</f>
        <v>37137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74374</v>
      </c>
      <c r="C73" s="378">
        <f>+B73*$J$4</f>
        <v>142798.07999999999</v>
      </c>
      <c r="D73" s="378">
        <f>+Lonestar!D49</f>
        <v>74223.320000000007</v>
      </c>
      <c r="E73" s="378">
        <f>+C73-D73</f>
        <v>68574.75999999998</v>
      </c>
      <c r="F73" s="397">
        <f>+Lonestar!B42</f>
        <v>37138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363412</v>
      </c>
      <c r="C74" s="421">
        <f>SUBTOTAL(9,C70:C73)</f>
        <v>697751.03999999992</v>
      </c>
      <c r="D74" s="421">
        <f>SUBTOTAL(9,D70:D73)</f>
        <v>544668.04</v>
      </c>
      <c r="E74" s="421">
        <f>SUBTOTAL(9,E70:E73)</f>
        <v>153082.99999999997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1259754</v>
      </c>
      <c r="C76" s="421">
        <f>SUBTOTAL(9,C55:C73)</f>
        <v>2376211.4099999997</v>
      </c>
      <c r="D76" s="421">
        <f>SUBTOTAL(9,D55:D73)</f>
        <v>903591.92000000016</v>
      </c>
      <c r="E76" s="421">
        <f>SUBTOTAL(9,E55:E73)</f>
        <v>1472619.4899999998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4505076.3099999996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2369100.0300069693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workbookViewId="3">
      <selection activeCell="D11" sqref="D1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470371</v>
      </c>
      <c r="C39" s="150">
        <f>SUM(C8:C38)</f>
        <v>469208</v>
      </c>
      <c r="D39" s="150">
        <f>SUM(D8:D38)</f>
        <v>37167</v>
      </c>
      <c r="E39" s="150">
        <f>SUM(E8:E38)</f>
        <v>37596</v>
      </c>
      <c r="F39" s="11">
        <f t="shared" si="5"/>
        <v>-734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37137</v>
      </c>
      <c r="C43" s="142"/>
      <c r="D43" s="142"/>
      <c r="E43" s="142"/>
      <c r="F43" s="150">
        <f>+F42+F39</f>
        <v>139027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37137</v>
      </c>
      <c r="B51" s="32"/>
      <c r="C51" s="32"/>
      <c r="D51" s="408">
        <f>+F39*'by type'!J3</f>
        <v>-1343.22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669247.78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" workbookViewId="3">
      <selection activeCell="C7" sqref="C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-415909</v>
      </c>
      <c r="C36" s="24">
        <f>SUM(C5:C35)</f>
        <v>-412702</v>
      </c>
      <c r="D36" s="24">
        <f t="shared" si="0"/>
        <v>3207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37137</v>
      </c>
      <c r="C40" s="24"/>
      <c r="D40" s="195">
        <f>+D36+D38</f>
        <v>44057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40">
        <v>-271288</v>
      </c>
    </row>
    <row r="46" spans="1:65" x14ac:dyDescent="0.2">
      <c r="A46" s="49">
        <f>+B40</f>
        <v>37137</v>
      </c>
      <c r="B46" s="32"/>
      <c r="C46" s="32"/>
      <c r="D46" s="408">
        <f>+D36*'by type'!J4</f>
        <v>6157.44</v>
      </c>
    </row>
    <row r="47" spans="1:65" x14ac:dyDescent="0.2">
      <c r="A47" s="32"/>
      <c r="B47" s="32"/>
      <c r="C47" s="32"/>
      <c r="D47" s="202">
        <f>+D46+D45</f>
        <v>-265130.56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103877</v>
      </c>
      <c r="C5" s="90">
        <v>102838</v>
      </c>
      <c r="D5" s="90">
        <f>+C5-B5</f>
        <v>-1039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85286</v>
      </c>
      <c r="C7" s="90">
        <v>105971</v>
      </c>
      <c r="D7" s="90">
        <f t="shared" si="0"/>
        <v>20685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54839</v>
      </c>
      <c r="C8" s="90">
        <v>67549</v>
      </c>
      <c r="D8" s="90">
        <f t="shared" si="0"/>
        <v>12710</v>
      </c>
      <c r="E8" s="285"/>
      <c r="F8" s="283"/>
    </row>
    <row r="9" spans="1:13" x14ac:dyDescent="0.2">
      <c r="A9" s="87">
        <v>500293</v>
      </c>
      <c r="B9" s="90">
        <v>42816</v>
      </c>
      <c r="C9" s="90">
        <v>61217</v>
      </c>
      <c r="D9" s="90">
        <f t="shared" si="0"/>
        <v>18401</v>
      </c>
      <c r="E9" s="285"/>
      <c r="F9" s="283"/>
    </row>
    <row r="10" spans="1:13" x14ac:dyDescent="0.2">
      <c r="A10" s="87">
        <v>500302</v>
      </c>
      <c r="B10" s="319"/>
      <c r="C10" s="319">
        <v>1062</v>
      </c>
      <c r="D10" s="90">
        <f t="shared" si="0"/>
        <v>1062</v>
      </c>
      <c r="E10" s="285"/>
      <c r="F10" s="283"/>
    </row>
    <row r="11" spans="1:13" x14ac:dyDescent="0.2">
      <c r="A11" s="87">
        <v>500303</v>
      </c>
      <c r="B11" s="319">
        <v>22961</v>
      </c>
      <c r="C11" s="90">
        <v>33401</v>
      </c>
      <c r="D11" s="90">
        <f t="shared" si="0"/>
        <v>10440</v>
      </c>
      <c r="E11" s="285"/>
      <c r="F11" s="283"/>
    </row>
    <row r="12" spans="1:13" x14ac:dyDescent="0.2">
      <c r="A12" s="91">
        <v>500305</v>
      </c>
      <c r="B12" s="319">
        <v>105403</v>
      </c>
      <c r="C12" s="90">
        <v>132235</v>
      </c>
      <c r="D12" s="90">
        <f t="shared" si="0"/>
        <v>26832</v>
      </c>
      <c r="E12" s="286"/>
      <c r="F12" s="283"/>
    </row>
    <row r="13" spans="1:13" x14ac:dyDescent="0.2">
      <c r="A13" s="87">
        <v>500307</v>
      </c>
      <c r="B13" s="319">
        <v>4541</v>
      </c>
      <c r="C13" s="90">
        <v>6556</v>
      </c>
      <c r="D13" s="90">
        <f t="shared" si="0"/>
        <v>2015</v>
      </c>
      <c r="E13" s="285"/>
      <c r="F13" s="283"/>
    </row>
    <row r="14" spans="1:13" x14ac:dyDescent="0.2">
      <c r="A14" s="87">
        <v>500313</v>
      </c>
      <c r="B14" s="90"/>
      <c r="C14" s="319">
        <v>313</v>
      </c>
      <c r="D14" s="90">
        <f t="shared" si="0"/>
        <v>313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64515</v>
      </c>
      <c r="C16" s="90"/>
      <c r="D16" s="90">
        <f t="shared" si="0"/>
        <v>-64515</v>
      </c>
      <c r="E16" s="285"/>
      <c r="F16" s="283"/>
    </row>
    <row r="17" spans="1:6" x14ac:dyDescent="0.2">
      <c r="A17" s="87">
        <v>500657</v>
      </c>
      <c r="B17" s="335">
        <v>19221</v>
      </c>
      <c r="C17" s="88">
        <v>3600</v>
      </c>
      <c r="D17" s="94">
        <f t="shared" si="0"/>
        <v>-15621</v>
      </c>
      <c r="E17" s="285"/>
      <c r="F17" s="283"/>
    </row>
    <row r="18" spans="1:6" x14ac:dyDescent="0.2">
      <c r="A18" s="87"/>
      <c r="B18" s="88"/>
      <c r="C18" s="88"/>
      <c r="D18" s="88">
        <f>SUM(D5:D17)</f>
        <v>11283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1.92</v>
      </c>
      <c r="E19" s="287"/>
      <c r="F19" s="283"/>
    </row>
    <row r="20" spans="1:6" x14ac:dyDescent="0.2">
      <c r="A20" s="87"/>
      <c r="B20" s="88"/>
      <c r="C20" s="88"/>
      <c r="D20" s="96">
        <f>+D19*D18</f>
        <v>21663.360000000001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37137</v>
      </c>
      <c r="B24" s="88"/>
      <c r="C24" s="88"/>
      <c r="D24" s="334">
        <f>+D22+D20</f>
        <v>11931.92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212">
        <v>-37683</v>
      </c>
    </row>
    <row r="30" spans="1:6" x14ac:dyDescent="0.2">
      <c r="A30" s="49">
        <f>+A24</f>
        <v>37137</v>
      </c>
      <c r="B30" s="32"/>
      <c r="C30" s="32"/>
      <c r="D30" s="379">
        <f>+D18</f>
        <v>11283</v>
      </c>
    </row>
    <row r="31" spans="1:6" x14ac:dyDescent="0.2">
      <c r="A31" s="32"/>
      <c r="B31" s="32"/>
      <c r="C31" s="32"/>
      <c r="D31" s="14">
        <f>+D30+D29</f>
        <v>-26400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48" sqref="C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25754</v>
      </c>
      <c r="C7" s="11">
        <v>30000</v>
      </c>
      <c r="D7" s="11">
        <v>32149</v>
      </c>
      <c r="E7" s="11">
        <v>33000</v>
      </c>
      <c r="F7" s="25">
        <f t="shared" si="2"/>
        <v>5097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98506</v>
      </c>
      <c r="C35" s="11">
        <f>SUM(C4:C34)</f>
        <v>109567</v>
      </c>
      <c r="D35" s="11">
        <f>SUM(D4:D34)</f>
        <v>134489</v>
      </c>
      <c r="E35" s="11">
        <f>SUM(E4:E34)</f>
        <v>141252</v>
      </c>
      <c r="F35" s="11">
        <f>+E35-D35+C35-B35</f>
        <v>17824</v>
      </c>
    </row>
    <row r="36" spans="1:7" x14ac:dyDescent="0.2">
      <c r="A36" s="45"/>
      <c r="C36" s="14">
        <f>+C35-B35</f>
        <v>11061</v>
      </c>
      <c r="D36" s="14"/>
      <c r="E36" s="14">
        <f>+E35-D35</f>
        <v>6763</v>
      </c>
      <c r="F36" s="47"/>
    </row>
    <row r="37" spans="1:7" x14ac:dyDescent="0.2">
      <c r="C37" s="15">
        <f>+summary!H4</f>
        <v>1.92</v>
      </c>
      <c r="D37" s="15"/>
      <c r="E37" s="15">
        <f>+C37</f>
        <v>1.92</v>
      </c>
      <c r="F37" s="24"/>
    </row>
    <row r="38" spans="1:7" x14ac:dyDescent="0.2">
      <c r="C38" s="48">
        <f>+C37*C36</f>
        <v>21237.119999999999</v>
      </c>
      <c r="D38" s="47"/>
      <c r="E38" s="48">
        <f>+E37*E36</f>
        <v>12984.96</v>
      </c>
      <c r="F38" s="46">
        <f>+E38+C38</f>
        <v>34222.080000000002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37138</v>
      </c>
      <c r="C41" s="106">
        <f>+C40+C38</f>
        <v>463023.01</v>
      </c>
      <c r="D41" s="106"/>
      <c r="E41" s="106">
        <f>+E40+E38</f>
        <v>113782.48999999999</v>
      </c>
      <c r="F41" s="106">
        <f>+E41+C41</f>
        <v>576805.5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37138</v>
      </c>
      <c r="D47" s="379">
        <f>+F35</f>
        <v>17824</v>
      </c>
      <c r="E47" s="11"/>
      <c r="F47" s="11"/>
      <c r="G47" s="25"/>
    </row>
    <row r="48" spans="1:7" x14ac:dyDescent="0.2">
      <c r="D48" s="14">
        <f>+D47+D46</f>
        <v>87650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workbookViewId="3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565025</v>
      </c>
      <c r="C36" s="11">
        <f>SUM(C5:C35)</f>
        <v>607184</v>
      </c>
      <c r="D36" s="11">
        <f>SUM(D5:D35)</f>
        <v>0</v>
      </c>
      <c r="E36" s="11">
        <f>SUM(E5:E35)</f>
        <v>-43234</v>
      </c>
      <c r="F36" s="11">
        <f>SUM(F5:F35)</f>
        <v>-1075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37138</v>
      </c>
      <c r="F41" s="353">
        <f>+F39+F36</f>
        <v>69057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37138</v>
      </c>
      <c r="C48" s="32"/>
      <c r="D48" s="32"/>
      <c r="E48" s="408">
        <f>+F36*'by type'!J3</f>
        <v>-1967.25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-320031.25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35" sqref="B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393311</v>
      </c>
      <c r="C39" s="11">
        <f>SUM(C8:C38)</f>
        <v>390165</v>
      </c>
      <c r="D39" s="11">
        <f>SUM(D8:D38)</f>
        <v>-3146</v>
      </c>
      <c r="E39" s="10"/>
      <c r="F39" s="11"/>
      <c r="G39" s="11"/>
      <c r="H39" s="11"/>
    </row>
    <row r="40" spans="1:8" x14ac:dyDescent="0.2">
      <c r="A40" s="26"/>
      <c r="D40" s="75">
        <f>+summary!H4</f>
        <v>1.92</v>
      </c>
      <c r="E40" s="26"/>
      <c r="H40" s="75"/>
    </row>
    <row r="41" spans="1:8" x14ac:dyDescent="0.2">
      <c r="D41" s="197">
        <f>+D40*D39</f>
        <v>-6040.32</v>
      </c>
      <c r="F41" s="252"/>
      <c r="H41" s="197"/>
    </row>
    <row r="42" spans="1:8" x14ac:dyDescent="0.2">
      <c r="A42" s="57">
        <v>37134</v>
      </c>
      <c r="D42" s="456">
        <v>40807</v>
      </c>
      <c r="E42" s="57"/>
      <c r="H42" s="197"/>
    </row>
    <row r="43" spans="1:8" x14ac:dyDescent="0.2">
      <c r="A43" s="57">
        <v>37138</v>
      </c>
      <c r="D43" s="198">
        <f>+D42+D41</f>
        <v>34766.68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212">
        <v>-36542</v>
      </c>
    </row>
    <row r="49" spans="1:4" x14ac:dyDescent="0.2">
      <c r="A49" s="49">
        <f>+A43</f>
        <v>37138</v>
      </c>
      <c r="B49" s="32"/>
      <c r="C49" s="32"/>
      <c r="D49" s="379">
        <f>+D39</f>
        <v>-3146</v>
      </c>
    </row>
    <row r="50" spans="1:4" x14ac:dyDescent="0.2">
      <c r="A50" s="32"/>
      <c r="B50" s="32"/>
      <c r="C50" s="32"/>
      <c r="D50" s="14">
        <f>+D49+D48</f>
        <v>-39688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37137</v>
      </c>
      <c r="J7" s="32"/>
    </row>
    <row r="8" spans="1:10" x14ac:dyDescent="0.2">
      <c r="A8" s="253">
        <v>60874</v>
      </c>
      <c r="B8" s="361">
        <v>516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1590-1807</f>
        <v>-217</v>
      </c>
      <c r="J12" s="32"/>
    </row>
    <row r="13" spans="1:10" x14ac:dyDescent="0.2">
      <c r="A13" s="253">
        <v>500254</v>
      </c>
      <c r="B13" s="332">
        <f>360-239</f>
        <v>121</v>
      </c>
      <c r="J13" s="32"/>
    </row>
    <row r="14" spans="1:10" x14ac:dyDescent="0.2">
      <c r="A14" s="32">
        <v>500255</v>
      </c>
      <c r="B14" s="332">
        <f>1800-1714</f>
        <v>86</v>
      </c>
      <c r="J14" s="32"/>
    </row>
    <row r="15" spans="1:10" x14ac:dyDescent="0.2">
      <c r="A15" s="32">
        <v>500262</v>
      </c>
      <c r="B15" s="332">
        <f>780-767</f>
        <v>13</v>
      </c>
      <c r="J15" s="32"/>
    </row>
    <row r="16" spans="1:10" x14ac:dyDescent="0.2">
      <c r="A16" s="290">
        <v>500267</v>
      </c>
      <c r="B16" s="362">
        <f>142873-168834</f>
        <v>-25961</v>
      </c>
      <c r="J16" s="32"/>
    </row>
    <row r="17" spans="1:10" x14ac:dyDescent="0.2">
      <c r="B17" s="14">
        <f>SUM(B8:B16)</f>
        <v>-25442</v>
      </c>
      <c r="J17" s="32"/>
    </row>
    <row r="18" spans="1:10" x14ac:dyDescent="0.2">
      <c r="B18" s="15">
        <f>+B31</f>
        <v>1.92</v>
      </c>
      <c r="C18" s="201">
        <f>+B18*B17</f>
        <v>-48848.639999999999</v>
      </c>
      <c r="G18" s="32"/>
      <c r="H18" s="413"/>
      <c r="I18" s="14"/>
      <c r="J18" s="32"/>
    </row>
    <row r="19" spans="1:10" x14ac:dyDescent="0.2">
      <c r="C19" s="339">
        <f>+C18+C5</f>
        <v>1250792.02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37134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1.92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">
      <c r="E38" s="49">
        <f>+A7</f>
        <v>37137</v>
      </c>
      <c r="F38" s="379">
        <f>+B17</f>
        <v>-25442</v>
      </c>
      <c r="G38" s="379">
        <f>+B30</f>
        <v>0</v>
      </c>
      <c r="H38" s="379">
        <f>+B45</f>
        <v>935</v>
      </c>
      <c r="I38" s="14"/>
    </row>
    <row r="39" spans="1:9" x14ac:dyDescent="0.2">
      <c r="A39" s="49">
        <v>37134</v>
      </c>
      <c r="C39" s="454">
        <v>759991.94</v>
      </c>
      <c r="F39" s="14">
        <f>+F38+F37</f>
        <v>246990</v>
      </c>
      <c r="G39" s="14">
        <f>+G38+G37</f>
        <v>117857</v>
      </c>
      <c r="H39" s="14">
        <f>+H38+H37</f>
        <v>149594</v>
      </c>
      <c r="I39" s="14">
        <f>+H39+G39+F39</f>
        <v>514441</v>
      </c>
    </row>
    <row r="40" spans="1:9" x14ac:dyDescent="0.2">
      <c r="G40" s="32"/>
      <c r="H40" s="15"/>
      <c r="I40" s="32"/>
    </row>
    <row r="41" spans="1:9" x14ac:dyDescent="0.2">
      <c r="A41" s="249">
        <v>37137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719</v>
      </c>
      <c r="G43" s="32"/>
      <c r="H43" s="414"/>
      <c r="I43" s="14"/>
    </row>
    <row r="44" spans="1:9" x14ac:dyDescent="0.2">
      <c r="A44" s="32">
        <v>500392</v>
      </c>
      <c r="B44" s="257">
        <v>216</v>
      </c>
      <c r="G44" s="32"/>
      <c r="H44" s="414"/>
      <c r="I44" s="14"/>
    </row>
    <row r="45" spans="1:9" x14ac:dyDescent="0.2">
      <c r="B45" s="14">
        <f>SUM(B42:B44)</f>
        <v>935</v>
      </c>
      <c r="G45" s="32"/>
      <c r="H45" s="414"/>
      <c r="I45" s="14"/>
    </row>
    <row r="46" spans="1:9" x14ac:dyDescent="0.2">
      <c r="B46" s="201">
        <f>+B31</f>
        <v>1.92</v>
      </c>
      <c r="C46" s="201">
        <f>+B46*B45</f>
        <v>1795.2</v>
      </c>
      <c r="H46" s="414"/>
      <c r="I46" s="14"/>
    </row>
    <row r="47" spans="1:9" x14ac:dyDescent="0.2">
      <c r="C47" s="339">
        <f>+C46+C39</f>
        <v>761787.1399999999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2384954.3899999997</v>
      </c>
      <c r="I56" s="14">
        <f>SUM(I39:I53)</f>
        <v>569776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7" workbookViewId="3">
      <selection activeCell="E59" sqref="E59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75435</v>
      </c>
      <c r="E35" s="11">
        <f>SUM(E4:E34)</f>
        <v>70201</v>
      </c>
      <c r="F35" s="11">
        <f>SUM(F4:F34)</f>
        <v>-5234</v>
      </c>
      <c r="G35" s="11"/>
      <c r="H35" s="49">
        <f>+A40</f>
        <v>37137</v>
      </c>
      <c r="I35" s="379">
        <f>+C36</f>
        <v>0</v>
      </c>
      <c r="J35" s="379">
        <f>+E36</f>
        <v>-5234</v>
      </c>
      <c r="K35" s="208"/>
      <c r="L35" s="14"/>
    </row>
    <row r="36" spans="1:13" x14ac:dyDescent="0.2">
      <c r="C36" s="25">
        <f>+C35-B35</f>
        <v>0</v>
      </c>
      <c r="E36" s="25">
        <f>+E35-D35</f>
        <v>-5234</v>
      </c>
      <c r="F36" s="25">
        <f>+E36+C36</f>
        <v>-5234</v>
      </c>
      <c r="H36" s="32"/>
      <c r="I36" s="14">
        <f>+I35+I34</f>
        <v>-178519</v>
      </c>
      <c r="J36" s="14">
        <f>+J35+J34</f>
        <v>-52147</v>
      </c>
      <c r="K36" s="14">
        <f>+J36+I36</f>
        <v>-230666</v>
      </c>
      <c r="L36" s="14"/>
    </row>
    <row r="37" spans="1:13" x14ac:dyDescent="0.2">
      <c r="C37" s="329">
        <f>+summary!H5</f>
        <v>1.97</v>
      </c>
      <c r="E37" s="104">
        <f>+C37</f>
        <v>1.97</v>
      </c>
      <c r="F37" s="138">
        <f>+F36*E37</f>
        <v>-10310.98</v>
      </c>
    </row>
    <row r="38" spans="1:13" x14ac:dyDescent="0.2">
      <c r="C38" s="138">
        <f>+C37*C36</f>
        <v>0</v>
      </c>
      <c r="E38" s="136">
        <f>+E37*E36</f>
        <v>-10310.98</v>
      </c>
      <c r="F38" s="138">
        <f>+E38+C38</f>
        <v>-10310.98</v>
      </c>
    </row>
    <row r="39" spans="1:13" x14ac:dyDescent="0.2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">
      <c r="A40" s="57">
        <v>37137</v>
      </c>
      <c r="B40" s="2" t="s">
        <v>46</v>
      </c>
      <c r="C40" s="330">
        <f>+C39+C38</f>
        <v>-1023263</v>
      </c>
      <c r="D40" s="259"/>
      <c r="E40" s="330">
        <f>+E39+E38</f>
        <v>-410539.98</v>
      </c>
      <c r="F40" s="330">
        <f>+E40+C40</f>
        <v>-1433802.98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-2200575.75</v>
      </c>
      <c r="G49" s="250"/>
      <c r="K49" s="14">
        <f>SUM(K36:K48)</f>
        <v>-171855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2384954.3899999997</v>
      </c>
      <c r="M51" s="14">
        <f>+Duke!I56</f>
        <v>569776</v>
      </c>
    </row>
    <row r="53" spans="3:13" x14ac:dyDescent="0.2">
      <c r="F53" s="104">
        <f>+F51+F49</f>
        <v>184378.63999999966</v>
      </c>
      <c r="M53" s="16">
        <f>+M51+K49</f>
        <v>397921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4" workbookViewId="3">
      <selection activeCell="K5" sqref="K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6668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-173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6597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-389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-243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13265</v>
      </c>
      <c r="C39" s="11">
        <f t="shared" si="1"/>
        <v>12772</v>
      </c>
      <c r="D39" s="11">
        <f t="shared" si="1"/>
        <v>0</v>
      </c>
      <c r="E39" s="11">
        <f t="shared" si="1"/>
        <v>0</v>
      </c>
      <c r="F39" s="11">
        <f t="shared" si="1"/>
        <v>2967</v>
      </c>
      <c r="G39" s="11">
        <f t="shared" si="1"/>
        <v>4591</v>
      </c>
      <c r="H39" s="11">
        <f t="shared" si="1"/>
        <v>5710</v>
      </c>
      <c r="I39" s="11">
        <f t="shared" si="1"/>
        <v>3774</v>
      </c>
      <c r="J39" s="25">
        <f t="shared" si="1"/>
        <v>-805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-1545.6</v>
      </c>
      <c r="L41"/>
      <c r="R41" s="138"/>
      <c r="X41" s="138"/>
    </row>
    <row r="42" spans="1:24" x14ac:dyDescent="0.2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37137</v>
      </c>
      <c r="C43" s="48"/>
      <c r="J43" s="138">
        <f>+J42+J41</f>
        <v>319436.40000000002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212">
        <v>127683</v>
      </c>
      <c r="L47"/>
    </row>
    <row r="48" spans="1:24" x14ac:dyDescent="0.2">
      <c r="A48" s="49">
        <f>+A43</f>
        <v>37137</v>
      </c>
      <c r="B48" s="32"/>
      <c r="C48" s="32"/>
      <c r="D48" s="379">
        <f>+J39</f>
        <v>-805</v>
      </c>
      <c r="L48"/>
    </row>
    <row r="49" spans="1:12" x14ac:dyDescent="0.2">
      <c r="A49" s="32"/>
      <c r="B49" s="32"/>
      <c r="C49" s="32"/>
      <c r="D49" s="14">
        <f>+D48+D47</f>
        <v>126878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33908</v>
      </c>
      <c r="C39" s="11">
        <f>SUM(C8:C38)</f>
        <v>33882</v>
      </c>
      <c r="D39" s="11">
        <f>SUM(D8:D38)</f>
        <v>-284</v>
      </c>
      <c r="E39" s="11">
        <f>SUM(E8:E38)</f>
        <v>0</v>
      </c>
      <c r="F39" s="11">
        <f>SUM(F8:F38)</f>
        <v>258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1.92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495.35999999999996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37137</v>
      </c>
      <c r="C43" s="48"/>
      <c r="D43" s="48"/>
      <c r="E43" s="48"/>
      <c r="F43" s="110">
        <f>+F42+F41</f>
        <v>428697.23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212">
        <v>-240823</v>
      </c>
      <c r="E47" s="11"/>
    </row>
    <row r="48" spans="1:26" x14ac:dyDescent="0.2">
      <c r="A48" s="49">
        <f>+A43</f>
        <v>37137</v>
      </c>
      <c r="B48" s="32"/>
      <c r="C48" s="32"/>
      <c r="D48" s="379">
        <f>+F39</f>
        <v>258</v>
      </c>
      <c r="E48" s="11"/>
    </row>
    <row r="49" spans="1:5" x14ac:dyDescent="0.2">
      <c r="A49" s="32"/>
      <c r="B49" s="32"/>
      <c r="C49" s="32"/>
      <c r="D49" s="14">
        <f>+D48+D47</f>
        <v>-240565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16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5" workbookViewId="3">
      <selection activeCell="C14" sqref="C14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1.83</v>
      </c>
      <c r="I3" s="407">
        <f ca="1">NOW()</f>
        <v>41887.362393055555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1.92</v>
      </c>
    </row>
    <row r="5" spans="1:32" ht="15" customHeight="1" x14ac:dyDescent="0.2">
      <c r="B5" s="367"/>
      <c r="G5" s="299" t="s">
        <v>120</v>
      </c>
      <c r="H5" s="372">
        <f>+'[1]0701'!$H$39</f>
        <v>1.97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253" t="s">
        <v>83</v>
      </c>
      <c r="B8" s="375">
        <f>+Conoco!$F$41</f>
        <v>576805.5</v>
      </c>
      <c r="C8" s="285">
        <f>+B8/$H$4</f>
        <v>300419.53125</v>
      </c>
      <c r="D8" s="397">
        <f>+Conoco!A41</f>
        <v>37138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154</v>
      </c>
      <c r="B9" s="375">
        <f>+PGETX!$H$39</f>
        <v>474540.56</v>
      </c>
      <c r="C9" s="285">
        <f>+B9/$H$4</f>
        <v>247156.54166666669</v>
      </c>
      <c r="D9" s="398">
        <f>+PGETX!E39</f>
        <v>37138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29</v>
      </c>
      <c r="B10" s="375">
        <f>+C10*$H$3</f>
        <v>469513.95</v>
      </c>
      <c r="C10" s="285">
        <f>+williams!J40</f>
        <v>256565</v>
      </c>
      <c r="D10" s="397">
        <f>+williams!A40</f>
        <v>37138</v>
      </c>
      <c r="E10" s="206" t="s">
        <v>87</v>
      </c>
      <c r="F10" s="206" t="s">
        <v>151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3</v>
      </c>
      <c r="B11" s="375">
        <f>+'Amoco Abo'!$F$43</f>
        <v>428697.23</v>
      </c>
      <c r="C11" s="285">
        <f>+B11/$H$4</f>
        <v>223279.80729166666</v>
      </c>
      <c r="D11" s="398">
        <f>+'Amoco Abo'!A43</f>
        <v>37137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113</v>
      </c>
      <c r="B12" s="375">
        <f>+CIG!$D$43</f>
        <v>395643.28</v>
      </c>
      <c r="C12" s="285">
        <f>+B12/$H$4</f>
        <v>206064.20833333334</v>
      </c>
      <c r="D12" s="398">
        <f>+CIG!A43</f>
        <v>37137</v>
      </c>
      <c r="E12" s="32" t="s">
        <v>88</v>
      </c>
      <c r="F12" s="32" t="s">
        <v>116</v>
      </c>
      <c r="G12" s="32" t="s">
        <v>205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374" t="s">
        <v>90</v>
      </c>
      <c r="B13" s="375">
        <f>+NNG!$D$24</f>
        <v>381800.36</v>
      </c>
      <c r="C13" s="285">
        <f>+B13/$H$4</f>
        <v>198854.35416666666</v>
      </c>
      <c r="D13" s="397">
        <f>+NNG!A24</f>
        <v>37137</v>
      </c>
      <c r="E13" s="206" t="s">
        <v>88</v>
      </c>
      <c r="F13" s="206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91</v>
      </c>
      <c r="B14" s="375">
        <f>+C14*$H$4</f>
        <v>333646.08000000002</v>
      </c>
      <c r="C14" s="285">
        <f>+NGPL!F38</f>
        <v>173774</v>
      </c>
      <c r="D14" s="398">
        <f>+NGPL!A38</f>
        <v>37138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5">
        <f>+mewborne!$J$43</f>
        <v>319436.40000000002</v>
      </c>
      <c r="C15" s="285">
        <f>+B15/$H$4</f>
        <v>166373.12500000003</v>
      </c>
      <c r="D15" s="398">
        <f>+mewborne!A43</f>
        <v>37137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33</v>
      </c>
      <c r="B16" s="375">
        <f>+C16*$H$4</f>
        <v>316214.39999999997</v>
      </c>
      <c r="C16" s="208">
        <f>+SoCal!F40</f>
        <v>164695</v>
      </c>
      <c r="D16" s="397">
        <f>+SoCal!A40</f>
        <v>37138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5">
        <f>+C17*$H$4</f>
        <v>278148.47999999998</v>
      </c>
      <c r="C17" s="285">
        <f>+Mojave!D40</f>
        <v>144869</v>
      </c>
      <c r="D17" s="398">
        <f>+Mojave!A40</f>
        <v>37138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110</v>
      </c>
      <c r="B18" s="375">
        <f>+KN_Westar!F41</f>
        <v>271971.56</v>
      </c>
      <c r="C18" s="285">
        <f>+B18/$H$4</f>
        <v>141651.85416666666</v>
      </c>
      <c r="D18" s="398">
        <f>+KN_Westar!A41</f>
        <v>37137</v>
      </c>
      <c r="E18" s="32" t="s">
        <v>88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58">
        <f>+C19*$H$3</f>
        <v>254419.41</v>
      </c>
      <c r="C19" s="377">
        <f>+'Red C'!F43</f>
        <v>139027</v>
      </c>
      <c r="D19" s="397">
        <f>+'Red C'!B43</f>
        <v>37137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184378.63999999966</v>
      </c>
      <c r="C20" s="208">
        <f>+B20/$H$4</f>
        <v>96030.541666666497</v>
      </c>
      <c r="D20" s="398">
        <f>+DEFS!A40</f>
        <v>37137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150676.71</v>
      </c>
      <c r="C21" s="285">
        <f>+Amoco!D40</f>
        <v>82337</v>
      </c>
      <c r="D21" s="398">
        <f>+Amoco!A40</f>
        <v>37137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142798.07999999999</v>
      </c>
      <c r="C22" s="285">
        <f>+Lonestar!F42</f>
        <v>74374</v>
      </c>
      <c r="D22" s="397">
        <f>+Lonestar!B42</f>
        <v>37138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136717.44</v>
      </c>
      <c r="C23" s="377">
        <f>+PEPL!D41</f>
        <v>71207</v>
      </c>
      <c r="D23" s="398">
        <f>+PEPL!A41</f>
        <v>37138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5">
        <f>+C24*$H$3</f>
        <v>126374.31</v>
      </c>
      <c r="C24" s="208">
        <f>+NW!$F$41</f>
        <v>69057</v>
      </c>
      <c r="D24" s="397">
        <f>+NW!B41</f>
        <v>37138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123036.28000000001</v>
      </c>
      <c r="C25" s="285">
        <f>+B25/$H$4</f>
        <v>64081.395833333343</v>
      </c>
      <c r="D25" s="398">
        <f>+PNM!A23</f>
        <v>37137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117</v>
      </c>
      <c r="B26" s="375">
        <f>+C26*$H$4</f>
        <v>96420.479999999996</v>
      </c>
      <c r="C26" s="208">
        <f>+'PG&amp;E'!D40</f>
        <v>50219</v>
      </c>
      <c r="D26" s="398">
        <f>+'PG&amp;E'!A40</f>
        <v>37138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106</v>
      </c>
      <c r="B27" s="375">
        <f>+EOG!J41</f>
        <v>95925.36</v>
      </c>
      <c r="C27" s="285">
        <f>+B27/$H$4</f>
        <v>49961.125</v>
      </c>
      <c r="D27" s="397">
        <f>+EOG!A41</f>
        <v>37137</v>
      </c>
      <c r="E27" s="32" t="s">
        <v>88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92723.76</v>
      </c>
      <c r="C28" s="208">
        <f>+B28/$H$4</f>
        <v>48293.625</v>
      </c>
      <c r="D28" s="397">
        <f>+Calpine!A41</f>
        <v>37138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7</v>
      </c>
      <c r="B29" s="375">
        <f>+C29*$H$4</f>
        <v>84589.440000000002</v>
      </c>
      <c r="C29" s="208">
        <f>+Oasis!D40</f>
        <v>44057</v>
      </c>
      <c r="D29" s="398">
        <f>+Oasis!B40</f>
        <v>37137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34766.68</v>
      </c>
      <c r="C30" s="377">
        <f>+B30/$H$4</f>
        <v>18107.645833333336</v>
      </c>
      <c r="D30" s="397">
        <f>+transcol!A43</f>
        <v>37138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253" t="s">
        <v>136</v>
      </c>
      <c r="B31" s="375">
        <f>+SidR!D41</f>
        <v>29280.91</v>
      </c>
      <c r="C31" s="285">
        <f>+B31/$H$4</f>
        <v>15250.473958333334</v>
      </c>
      <c r="D31" s="398">
        <f>+SidR!A41</f>
        <v>37138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4" t="s">
        <v>82</v>
      </c>
      <c r="B32" s="375">
        <f>+Agave!$D$24</f>
        <v>11931.92</v>
      </c>
      <c r="C32" s="208">
        <f>+B32/$H$4</f>
        <v>6214.541666666667</v>
      </c>
      <c r="D32" s="397">
        <f>+Agave!A24</f>
        <v>37137</v>
      </c>
      <c r="E32" s="206" t="s">
        <v>88</v>
      </c>
      <c r="F32" s="206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9936.130000000001</v>
      </c>
      <c r="C33" s="71">
        <f>+B33/$H$3</f>
        <v>5429.579234972678</v>
      </c>
      <c r="D33" s="397">
        <f>+burlington!A42</f>
        <v>37138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5820393.3500000006</v>
      </c>
      <c r="C34" s="69">
        <f>SUM(C8:C33)</f>
        <v>3057349.3500683061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-733498.61</v>
      </c>
      <c r="C37" s="208">
        <f>+B37/$H$4</f>
        <v>-382030.52604166669</v>
      </c>
      <c r="D37" s="397">
        <f>+Citizens!A18</f>
        <v>37138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-425011.68</v>
      </c>
      <c r="C38" s="208">
        <f>+B38/$H$4</f>
        <v>-221360.25</v>
      </c>
      <c r="D38" s="398">
        <f>+'NS Steel'!A41</f>
        <v>37138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-115004.68</v>
      </c>
      <c r="C39" s="285">
        <f>+B39/$H$4</f>
        <v>-59898.270833333328</v>
      </c>
      <c r="D39" s="397">
        <f>+'Citizens-Griffith'!A41</f>
        <v>37138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134</v>
      </c>
      <c r="B40" s="375">
        <f>+EPFS!D41</f>
        <v>-23278.13</v>
      </c>
      <c r="C40" s="208">
        <f>+B40/$H$5</f>
        <v>-11816.309644670051</v>
      </c>
      <c r="D40" s="397">
        <f>+EPFS!A41</f>
        <v>37138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3" t="s">
        <v>34</v>
      </c>
      <c r="B41" s="375">
        <f>+'El Paso'!C39*summary!H4+'El Paso'!E39*summary!H3</f>
        <v>-13307.370000000024</v>
      </c>
      <c r="C41" s="285">
        <f>+'El Paso'!H39</f>
        <v>-10427</v>
      </c>
      <c r="D41" s="398">
        <f>+'El Paso'!A39</f>
        <v>37138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-2716.9635416666665</v>
      </c>
      <c r="D42" s="398">
        <f>+Continental!A43</f>
        <v>37137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-1315317.04</v>
      </c>
      <c r="C43" s="208">
        <f>SUM(C37:C42)</f>
        <v>-688249.32006133685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4505076.3100000005</v>
      </c>
      <c r="C45" s="384">
        <f>+C43+C34</f>
        <v>2369100.0300069693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</v>
      </c>
      <c r="C6" s="80"/>
      <c r="D6" s="80">
        <f t="shared" ref="D6:D14" si="0">+C6-B6</f>
        <v>80014</v>
      </c>
    </row>
    <row r="7" spans="1:8" x14ac:dyDescent="0.2">
      <c r="A7" s="32">
        <v>3531</v>
      </c>
      <c r="B7" s="323">
        <v>-78768</v>
      </c>
      <c r="C7" s="80">
        <v>-37608</v>
      </c>
      <c r="D7" s="80">
        <f t="shared" si="0"/>
        <v>41160</v>
      </c>
    </row>
    <row r="8" spans="1:8" x14ac:dyDescent="0.2">
      <c r="A8" s="32">
        <v>60667</v>
      </c>
      <c r="B8" s="323">
        <v>-20079</v>
      </c>
      <c r="C8" s="80"/>
      <c r="D8" s="80">
        <f t="shared" si="0"/>
        <v>20079</v>
      </c>
      <c r="H8" s="254"/>
    </row>
    <row r="9" spans="1:8" x14ac:dyDescent="0.2">
      <c r="A9" s="32">
        <v>60749</v>
      </c>
      <c r="B9" s="323">
        <v>94646</v>
      </c>
      <c r="C9" s="80">
        <v>-41449</v>
      </c>
      <c r="D9" s="80">
        <f t="shared" si="0"/>
        <v>-136095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5158</v>
      </c>
    </row>
    <row r="19" spans="1:5" x14ac:dyDescent="0.2">
      <c r="A19" s="32" t="s">
        <v>84</v>
      </c>
      <c r="B19" s="69"/>
      <c r="C19" s="69"/>
      <c r="D19" s="73">
        <f>+summary!H4</f>
        <v>1.92</v>
      </c>
    </row>
    <row r="20" spans="1:5" x14ac:dyDescent="0.2">
      <c r="B20" s="69"/>
      <c r="C20" s="69"/>
      <c r="D20" s="75">
        <f>+D19*D18</f>
        <v>9903.3599999999988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37137</v>
      </c>
      <c r="B24" s="69"/>
      <c r="C24" s="69"/>
      <c r="D24" s="351">
        <f>+D22+D20</f>
        <v>381800.36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37137</v>
      </c>
      <c r="D33" s="379">
        <f>+D18</f>
        <v>5158</v>
      </c>
    </row>
    <row r="34" spans="1:4" x14ac:dyDescent="0.2">
      <c r="D34" s="14">
        <f>+D33+D32</f>
        <v>-34713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-6372</v>
      </c>
      <c r="C5" s="90">
        <v>-4026</v>
      </c>
      <c r="D5" s="90">
        <f t="shared" ref="D5:D13" si="0">+C5-B5</f>
        <v>2346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-335957</v>
      </c>
      <c r="C7" s="90">
        <v>-337379</v>
      </c>
      <c r="D7" s="90">
        <f t="shared" si="0"/>
        <v>-1422</v>
      </c>
      <c r="E7" s="285"/>
      <c r="F7" s="70"/>
    </row>
    <row r="8" spans="1:13" x14ac:dyDescent="0.2">
      <c r="A8" s="87">
        <v>58710</v>
      </c>
      <c r="B8" s="364"/>
      <c r="C8" s="90">
        <v>-138</v>
      </c>
      <c r="D8" s="90">
        <f t="shared" si="0"/>
        <v>-138</v>
      </c>
      <c r="E8" s="285"/>
      <c r="F8" s="70"/>
    </row>
    <row r="9" spans="1:13" x14ac:dyDescent="0.2">
      <c r="A9" s="87">
        <v>60921</v>
      </c>
      <c r="B9" s="319">
        <v>244065</v>
      </c>
      <c r="C9" s="90">
        <v>228114</v>
      </c>
      <c r="D9" s="90">
        <f t="shared" si="0"/>
        <v>-15951</v>
      </c>
      <c r="E9" s="285"/>
      <c r="F9" s="70"/>
    </row>
    <row r="10" spans="1:13" x14ac:dyDescent="0.2">
      <c r="A10" s="87">
        <v>78026</v>
      </c>
      <c r="B10" s="364"/>
      <c r="C10" s="90">
        <v>9947</v>
      </c>
      <c r="D10" s="90">
        <f t="shared" si="0"/>
        <v>9947</v>
      </c>
      <c r="E10" s="285"/>
      <c r="F10" s="283"/>
    </row>
    <row r="11" spans="1:13" x14ac:dyDescent="0.2">
      <c r="A11" s="87">
        <v>500084</v>
      </c>
      <c r="B11" s="364">
        <v>-1948</v>
      </c>
      <c r="C11" s="90">
        <v>-3000</v>
      </c>
      <c r="D11" s="90">
        <f t="shared" si="0"/>
        <v>-1052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-1012</v>
      </c>
      <c r="C13" s="90"/>
      <c r="D13" s="90">
        <f t="shared" si="0"/>
        <v>1012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-5258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1.92</v>
      </c>
      <c r="E18" s="287"/>
      <c r="F18" s="283"/>
    </row>
    <row r="19" spans="1:7" x14ac:dyDescent="0.2">
      <c r="A19" s="87"/>
      <c r="B19" s="88"/>
      <c r="C19" s="88"/>
      <c r="D19" s="96">
        <f>+D18*D17</f>
        <v>-10095.359999999999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37137</v>
      </c>
      <c r="B23" s="88"/>
      <c r="C23" s="88"/>
      <c r="D23" s="334">
        <f>+D21+D19</f>
        <v>123036.28000000001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212">
        <v>8541</v>
      </c>
    </row>
    <row r="29" spans="1:7" x14ac:dyDescent="0.2">
      <c r="A29" s="49">
        <f>+A23</f>
        <v>37137</v>
      </c>
      <c r="B29" s="32"/>
      <c r="C29" s="32"/>
      <c r="D29" s="379">
        <f>+D17</f>
        <v>-5258</v>
      </c>
    </row>
    <row r="30" spans="1:7" x14ac:dyDescent="0.2">
      <c r="A30" s="32"/>
      <c r="B30" s="32"/>
      <c r="C30" s="32"/>
      <c r="D30" s="14">
        <f>+D29+D28</f>
        <v>3283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6" sqref="A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-10328</v>
      </c>
      <c r="E6" s="90">
        <v>-19695</v>
      </c>
      <c r="F6" s="90">
        <f t="shared" ref="F6:F33" si="0">+E6-D6+C6-B6</f>
        <v>-7855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215099</v>
      </c>
      <c r="C34" s="297">
        <f>SUM(C3:C33)</f>
        <v>216631</v>
      </c>
      <c r="D34" s="14">
        <f>SUM(D3:D33)</f>
        <v>-112094</v>
      </c>
      <c r="E34" s="14">
        <f>SUM(E3:E33)</f>
        <v>-78780</v>
      </c>
      <c r="F34" s="14">
        <f>SUM(F3:F33)</f>
        <v>34846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">
      <c r="A38" s="263">
        <v>37138</v>
      </c>
      <c r="B38" s="14"/>
      <c r="C38" s="14"/>
      <c r="D38" s="14"/>
      <c r="E38" s="14"/>
      <c r="F38" s="150">
        <f>+F37+F34</f>
        <v>173774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40">
        <v>353581</v>
      </c>
      <c r="F43" s="304"/>
    </row>
    <row r="44" spans="1:6" x14ac:dyDescent="0.2">
      <c r="A44" s="49">
        <f>+A38</f>
        <v>37138</v>
      </c>
      <c r="B44" s="32"/>
      <c r="C44" s="32"/>
      <c r="D44" s="408">
        <f>+F34*'by type'!J4</f>
        <v>66904.319999999992</v>
      </c>
      <c r="F44" s="304"/>
    </row>
    <row r="45" spans="1:6" x14ac:dyDescent="0.2">
      <c r="A45" s="32"/>
      <c r="B45" s="32"/>
      <c r="C45" s="32"/>
      <c r="D45" s="202">
        <f>+D44+D43</f>
        <v>420485.32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B41" sqref="B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-74812</v>
      </c>
      <c r="C35" s="11">
        <f>SUM(C4:C34)</f>
        <v>-81407</v>
      </c>
      <c r="D35" s="11">
        <f>SUM(D4:D34)</f>
        <v>-6595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247">
        <v>151464</v>
      </c>
    </row>
    <row r="39" spans="1:4" x14ac:dyDescent="0.2">
      <c r="A39" s="2"/>
      <c r="D39" s="24"/>
    </row>
    <row r="40" spans="1:4" x14ac:dyDescent="0.2">
      <c r="A40" s="57">
        <v>37138</v>
      </c>
      <c r="D40" s="51">
        <f>+D38+D35</f>
        <v>144869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37138</v>
      </c>
      <c r="B46" s="32"/>
      <c r="C46" s="32"/>
      <c r="D46" s="408">
        <f>+D35*'by type'!J4</f>
        <v>-12662.4</v>
      </c>
    </row>
    <row r="47" spans="1:4" x14ac:dyDescent="0.2">
      <c r="A47" s="32"/>
      <c r="B47" s="32"/>
      <c r="C47" s="32"/>
      <c r="D47" s="202">
        <f>+D46+D45</f>
        <v>112858.6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3275</v>
      </c>
      <c r="I5" s="11"/>
      <c r="J5" s="11">
        <f t="shared" si="0"/>
        <v>-2547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08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08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57792</v>
      </c>
      <c r="C35" s="11">
        <f t="shared" ref="C35:I35" si="1">SUM(C4:C34)</f>
        <v>57792</v>
      </c>
      <c r="D35" s="11">
        <f t="shared" si="1"/>
        <v>25092</v>
      </c>
      <c r="E35" s="11">
        <f t="shared" si="1"/>
        <v>27000</v>
      </c>
      <c r="F35" s="11">
        <f t="shared" si="1"/>
        <v>0</v>
      </c>
      <c r="G35" s="11">
        <f t="shared" si="1"/>
        <v>0</v>
      </c>
      <c r="H35" s="11">
        <f t="shared" si="1"/>
        <v>3275</v>
      </c>
      <c r="I35" s="11">
        <f t="shared" si="1"/>
        <v>0</v>
      </c>
      <c r="J35" s="11">
        <f>SUM(J4:J34)</f>
        <v>-1367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-2624.64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37137</v>
      </c>
      <c r="J41" s="337">
        <f>+J39+J37</f>
        <v>95925.36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37137</v>
      </c>
      <c r="B47" s="32"/>
      <c r="C47" s="32"/>
      <c r="D47" s="379">
        <f>+J35</f>
        <v>-1367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-79998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-93720</v>
      </c>
      <c r="F37" s="24">
        <f>SUM(F6:F36)</f>
        <v>-55557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1.92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-106669.44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37137</v>
      </c>
      <c r="E41" s="14"/>
      <c r="F41" s="104">
        <f>+F40+F39</f>
        <v>271971.56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37137</v>
      </c>
      <c r="B47" s="32"/>
      <c r="C47" s="32"/>
      <c r="D47" s="379">
        <f>+F37</f>
        <v>-55557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-59427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1.92</v>
      </c>
    </row>
    <row r="41" spans="1:6" x14ac:dyDescent="0.2">
      <c r="F41" s="138">
        <f>+F40*F39</f>
        <v>0</v>
      </c>
    </row>
    <row r="42" spans="1:6" x14ac:dyDescent="0.2">
      <c r="A42" s="57">
        <v>37134</v>
      </c>
      <c r="C42" s="15"/>
      <c r="F42" s="359">
        <v>-5216.57</v>
      </c>
    </row>
    <row r="43" spans="1:6" x14ac:dyDescent="0.2">
      <c r="A43" s="57">
        <v>37137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212">
        <v>-17302</v>
      </c>
    </row>
    <row r="49" spans="1:4" x14ac:dyDescent="0.2">
      <c r="A49" s="49">
        <f>+A43</f>
        <v>37137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1.92</v>
      </c>
    </row>
    <row r="41" spans="1:4" x14ac:dyDescent="0.2">
      <c r="D41" s="138">
        <f>+D40*D39</f>
        <v>-54606.720000000001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37137</v>
      </c>
      <c r="C43" s="48"/>
      <c r="D43" s="138">
        <f>+D42+D41</f>
        <v>395643.28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37137</v>
      </c>
      <c r="B48" s="32"/>
      <c r="C48" s="32"/>
      <c r="D48" s="379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34" workbookViewId="3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-313727</v>
      </c>
      <c r="C37" s="11">
        <f>SUM(C6:C36)</f>
        <v>-307949</v>
      </c>
      <c r="D37" s="25">
        <f>SUM(D6:D36)</f>
        <v>5778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11093.76</v>
      </c>
    </row>
    <row r="40" spans="1:4" x14ac:dyDescent="0.2">
      <c r="A40" s="57">
        <v>37134</v>
      </c>
      <c r="C40" s="15"/>
      <c r="D40" s="457">
        <v>81630</v>
      </c>
    </row>
    <row r="41" spans="1:4" x14ac:dyDescent="0.2">
      <c r="A41" s="57">
        <v>37138</v>
      </c>
      <c r="C41" s="48"/>
      <c r="D41" s="138">
        <f>+D40+D39</f>
        <v>92723.76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37138</v>
      </c>
      <c r="B46" s="32"/>
      <c r="C46" s="32"/>
      <c r="D46" s="379">
        <f>+D37</f>
        <v>5778</v>
      </c>
    </row>
    <row r="47" spans="1:4" x14ac:dyDescent="0.2">
      <c r="A47" s="32"/>
      <c r="B47" s="32"/>
      <c r="C47" s="32"/>
      <c r="D47" s="14">
        <f>+D46+D45</f>
        <v>136250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47" sqref="C47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136081</v>
      </c>
      <c r="C37" s="11">
        <f>SUM(C6:C36)</f>
        <v>142552</v>
      </c>
      <c r="D37" s="25">
        <f>SUM(D6:D36)</f>
        <v>6471</v>
      </c>
    </row>
    <row r="38" spans="1:4" x14ac:dyDescent="0.2">
      <c r="A38" s="26"/>
      <c r="C38" s="14"/>
      <c r="D38" s="345">
        <f>+summary!H5</f>
        <v>1.97</v>
      </c>
    </row>
    <row r="39" spans="1:4" x14ac:dyDescent="0.2">
      <c r="D39" s="138">
        <f>+D38*D37</f>
        <v>12747.869999999999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37138</v>
      </c>
      <c r="C41" s="48"/>
      <c r="D41" s="138">
        <f>+D40+D39</f>
        <v>-23278.13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37138</v>
      </c>
      <c r="B46" s="32"/>
      <c r="C46" s="32"/>
      <c r="D46" s="379">
        <f>+D37</f>
        <v>6471</v>
      </c>
    </row>
    <row r="47" spans="1:4" x14ac:dyDescent="0.2">
      <c r="A47" s="32"/>
      <c r="B47" s="32"/>
      <c r="C47" s="32"/>
      <c r="D47" s="14">
        <f>+D46+D45</f>
        <v>5102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5" workbookViewId="3">
      <selection activeCell="D7" sqref="D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1161279</v>
      </c>
      <c r="C35" s="11">
        <f t="shared" ref="C35:I35" si="3">SUM(C4:C34)</f>
        <v>1156839</v>
      </c>
      <c r="D35" s="11">
        <f t="shared" si="3"/>
        <v>234648</v>
      </c>
      <c r="E35" s="11">
        <f t="shared" si="3"/>
        <v>275541</v>
      </c>
      <c r="F35" s="11">
        <f t="shared" si="3"/>
        <v>238445</v>
      </c>
      <c r="G35" s="11">
        <f t="shared" si="3"/>
        <v>235052</v>
      </c>
      <c r="H35" s="11">
        <f t="shared" si="3"/>
        <v>305317</v>
      </c>
      <c r="I35" s="11">
        <f t="shared" si="3"/>
        <v>255071</v>
      </c>
      <c r="J35" s="11">
        <f>SUM(J4:J34)</f>
        <v>-17186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37138</v>
      </c>
      <c r="J40" s="51">
        <f>+J38+J35</f>
        <v>256565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37138</v>
      </c>
      <c r="B47" s="32"/>
      <c r="C47" s="32"/>
      <c r="D47" s="408">
        <f>+J35*'by type'!J3</f>
        <v>-31450.38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1252509.6200000001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" workbookViewId="3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235278</v>
      </c>
      <c r="C37" s="11">
        <f>SUM(C6:C36)</f>
        <v>243281</v>
      </c>
      <c r="D37" s="25">
        <f>SUM(D6:D36)</f>
        <v>8003</v>
      </c>
    </row>
    <row r="38" spans="1:4" x14ac:dyDescent="0.2">
      <c r="A38" s="26"/>
      <c r="C38" s="14"/>
      <c r="D38" s="345">
        <f>+summary!H5</f>
        <v>1.97</v>
      </c>
    </row>
    <row r="39" spans="1:4" x14ac:dyDescent="0.2">
      <c r="D39" s="138">
        <f>+D38*D37</f>
        <v>15765.91</v>
      </c>
    </row>
    <row r="40" spans="1:4" x14ac:dyDescent="0.2">
      <c r="A40" s="57">
        <v>37134</v>
      </c>
      <c r="C40" s="15"/>
      <c r="D40" s="368">
        <v>13515</v>
      </c>
    </row>
    <row r="41" spans="1:4" x14ac:dyDescent="0.2">
      <c r="A41" s="57">
        <v>37138</v>
      </c>
      <c r="C41" s="48"/>
      <c r="D41" s="138">
        <f>+D40+D39</f>
        <v>29280.91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4742</v>
      </c>
    </row>
    <row r="47" spans="1:4" x14ac:dyDescent="0.2">
      <c r="A47" s="49">
        <f>+A41</f>
        <v>37138</v>
      </c>
      <c r="B47" s="32"/>
      <c r="C47" s="32"/>
      <c r="D47" s="379">
        <f>+D37</f>
        <v>8003</v>
      </c>
    </row>
    <row r="48" spans="1:4" x14ac:dyDescent="0.2">
      <c r="A48" s="32"/>
      <c r="B48" s="32"/>
      <c r="C48" s="32"/>
      <c r="D48" s="14">
        <f>+D47+D46</f>
        <v>12745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-6077</v>
      </c>
      <c r="C37" s="11">
        <f>SUM(C6:C36)</f>
        <v>-8556</v>
      </c>
      <c r="D37" s="25">
        <f>SUM(D6:D36)</f>
        <v>-2479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-4759.6799999999994</v>
      </c>
    </row>
    <row r="40" spans="1:4" x14ac:dyDescent="0.2">
      <c r="A40" s="57">
        <v>37134</v>
      </c>
      <c r="C40" s="15"/>
      <c r="D40" s="359">
        <v>-420252</v>
      </c>
    </row>
    <row r="41" spans="1:4" x14ac:dyDescent="0.2">
      <c r="A41" s="57">
        <v>37138</v>
      </c>
      <c r="C41" s="48"/>
      <c r="D41" s="138">
        <f>+D40+D39</f>
        <v>-425011.68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212">
        <v>-77671</v>
      </c>
    </row>
    <row r="49" spans="1:4" x14ac:dyDescent="0.2">
      <c r="A49" s="49">
        <f>+A41</f>
        <v>37138</v>
      </c>
      <c r="B49" s="32"/>
      <c r="C49" s="32"/>
      <c r="D49" s="379">
        <f>+D37</f>
        <v>-2479</v>
      </c>
    </row>
    <row r="50" spans="1:4" x14ac:dyDescent="0.2">
      <c r="A50" s="32"/>
      <c r="B50" s="32"/>
      <c r="C50" s="32"/>
      <c r="D50" s="14">
        <f>+D49+D48</f>
        <v>-80150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41" sqref="C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1">
        <v>-4</v>
      </c>
      <c r="C9" s="11">
        <v>-5000</v>
      </c>
      <c r="D9" s="25">
        <f t="shared" si="0"/>
        <v>-4996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-243771</v>
      </c>
      <c r="C37" s="11">
        <f>SUM(C6:C36)</f>
        <v>-213250</v>
      </c>
      <c r="D37" s="25">
        <f>SUM(D6:D36)</f>
        <v>30521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58600.32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37138</v>
      </c>
      <c r="C41" s="48"/>
      <c r="D41" s="138">
        <f>+D40+D39</f>
        <v>-115004.68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37138</v>
      </c>
      <c r="B47" s="32"/>
      <c r="C47" s="32"/>
      <c r="D47" s="379">
        <f>+D37</f>
        <v>30521</v>
      </c>
    </row>
    <row r="48" spans="1:4" x14ac:dyDescent="0.2">
      <c r="A48" s="32"/>
      <c r="B48" s="32"/>
      <c r="C48" s="32"/>
      <c r="D48" s="14">
        <f>+D47+D46</f>
        <v>-55663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f>-3241-1041</f>
        <v>-4282</v>
      </c>
      <c r="C5" s="90">
        <v>-504</v>
      </c>
      <c r="D5" s="90">
        <f>+C5-B5</f>
        <v>3778</v>
      </c>
      <c r="E5" s="285"/>
      <c r="F5" s="283"/>
    </row>
    <row r="6" spans="1:13" x14ac:dyDescent="0.2">
      <c r="A6" s="87">
        <v>500046</v>
      </c>
      <c r="B6" s="90">
        <f>-80-23</f>
        <v>-103</v>
      </c>
      <c r="C6" s="90"/>
      <c r="D6" s="90">
        <f t="shared" ref="D6:D11" si="0">+C6-B6</f>
        <v>103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f>-6552-2220</f>
        <v>-8772</v>
      </c>
      <c r="C8" s="90"/>
      <c r="D8" s="90">
        <f t="shared" si="0"/>
        <v>8772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12653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1.92</v>
      </c>
      <c r="E13" s="287"/>
      <c r="F13" s="283"/>
    </row>
    <row r="14" spans="1:13" x14ac:dyDescent="0.2">
      <c r="A14" s="87"/>
      <c r="B14" s="88"/>
      <c r="C14" s="88"/>
      <c r="D14" s="96">
        <f>+D13*D12</f>
        <v>24293.759999999998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37138</v>
      </c>
      <c r="B18" s="88"/>
      <c r="C18" s="88"/>
      <c r="D18" s="334">
        <f>+D16+D14</f>
        <v>-733498.61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37138</v>
      </c>
      <c r="B23" s="32"/>
      <c r="C23" s="32"/>
      <c r="D23" s="379">
        <f>+D12</f>
        <v>12653</v>
      </c>
    </row>
    <row r="24" spans="1:7" x14ac:dyDescent="0.2">
      <c r="A24" s="32"/>
      <c r="B24" s="32"/>
      <c r="C24" s="32"/>
      <c r="D24" s="14">
        <f>+D23+D22</f>
        <v>-139523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workbookViewId="3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-134063</v>
      </c>
      <c r="C37" s="11">
        <f>SUM(C6:C36)</f>
        <v>-120000</v>
      </c>
      <c r="D37" s="25">
        <f>SUM(D6:D36)</f>
        <v>14063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39">
        <v>57144</v>
      </c>
    </row>
    <row r="41" spans="1:4" x14ac:dyDescent="0.2">
      <c r="A41" s="57">
        <v>37138</v>
      </c>
      <c r="C41" s="48"/>
      <c r="D41" s="25">
        <f>+D40+D37</f>
        <v>71207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40">
        <v>288089</v>
      </c>
    </row>
    <row r="46" spans="1:4" x14ac:dyDescent="0.2">
      <c r="A46" s="49">
        <f>+A41</f>
        <v>37138</v>
      </c>
      <c r="B46" s="32"/>
      <c r="C46" s="32"/>
      <c r="D46" s="408">
        <f>+D37*'by type'!J4</f>
        <v>27000.959999999999</v>
      </c>
    </row>
    <row r="47" spans="1:4" x14ac:dyDescent="0.2">
      <c r="A47" s="32"/>
      <c r="B47" s="32"/>
      <c r="C47" s="32"/>
      <c r="D47" s="202">
        <f>+D46+D45</f>
        <v>315089.96000000002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" workbookViewId="3">
      <selection activeCell="C11" sqref="C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592425</v>
      </c>
      <c r="C38" s="11">
        <f>SUM(C7:C37)</f>
        <v>594436</v>
      </c>
      <c r="D38" s="11">
        <f>SUM(D7:D37)</f>
        <v>2011</v>
      </c>
    </row>
    <row r="39" spans="1:4" x14ac:dyDescent="0.2">
      <c r="A39" s="26"/>
      <c r="C39" s="14"/>
      <c r="D39" s="106">
        <f>+summary!H3</f>
        <v>1.83</v>
      </c>
    </row>
    <row r="40" spans="1:4" x14ac:dyDescent="0.2">
      <c r="D40" s="138">
        <f>+D39*D38</f>
        <v>3680.13</v>
      </c>
    </row>
    <row r="41" spans="1:4" x14ac:dyDescent="0.2">
      <c r="A41" s="57">
        <v>37134</v>
      </c>
      <c r="C41" s="15"/>
      <c r="D41" s="370">
        <v>6256</v>
      </c>
    </row>
    <row r="42" spans="1:4" x14ac:dyDescent="0.2">
      <c r="A42" s="57">
        <v>37138</v>
      </c>
      <c r="D42" s="337">
        <f>+D41+D40</f>
        <v>9936.130000000001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1478</v>
      </c>
    </row>
    <row r="48" spans="1:4" x14ac:dyDescent="0.2">
      <c r="A48" s="49">
        <f>+A42</f>
        <v>37138</v>
      </c>
      <c r="B48" s="32"/>
      <c r="C48" s="32"/>
      <c r="D48" s="379">
        <f>+D38</f>
        <v>2011</v>
      </c>
    </row>
    <row r="49" spans="1:4" x14ac:dyDescent="0.2">
      <c r="A49" s="32"/>
      <c r="B49" s="32"/>
      <c r="C49" s="32"/>
      <c r="D49" s="14">
        <f>+D48+D47</f>
        <v>3489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-72579</v>
      </c>
      <c r="C36" s="44">
        <f>SUM(C5:C35)</f>
        <v>-2000</v>
      </c>
      <c r="D36" s="43">
        <f>SUM(D5:D35)</f>
        <v>0</v>
      </c>
      <c r="E36" s="44">
        <f>SUM(E5:E35)</f>
        <v>-69208</v>
      </c>
      <c r="F36" s="11">
        <f>SUM(F5:F35)</f>
        <v>1371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-70579</v>
      </c>
      <c r="D37" s="24"/>
      <c r="E37" s="24">
        <f>+D36-E36</f>
        <v>69208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37138</v>
      </c>
      <c r="C42" s="14"/>
      <c r="D42" s="50"/>
      <c r="E42" s="50"/>
      <c r="F42" s="51">
        <f>+F41+F36</f>
        <v>74374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202">
        <v>71591</v>
      </c>
    </row>
    <row r="48" spans="1:12" x14ac:dyDescent="0.2">
      <c r="A48" s="49">
        <f>+B42</f>
        <v>37138</v>
      </c>
      <c r="B48" s="32"/>
      <c r="C48" s="32"/>
      <c r="D48" s="408">
        <f>+F36*'by type'!J4</f>
        <v>2632.3199999999997</v>
      </c>
    </row>
    <row r="49" spans="1:4" x14ac:dyDescent="0.2">
      <c r="A49" s="32"/>
      <c r="B49" s="32"/>
      <c r="C49" s="32"/>
      <c r="D49" s="202">
        <f>+D48+D47</f>
        <v>74223.320000000007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-622357</v>
      </c>
      <c r="C35" s="11">
        <f>SUM(C4:C34)</f>
        <v>-615680</v>
      </c>
      <c r="D35" s="11">
        <f>SUM(D4:D34)</f>
        <v>6677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37138</v>
      </c>
      <c r="D40" s="24">
        <f>+D38+D35</f>
        <v>50219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37138</v>
      </c>
      <c r="B46" s="32"/>
      <c r="C46" s="32"/>
      <c r="D46" s="408">
        <f>+D35*'by type'!J4</f>
        <v>12819.84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-91625.16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-2582113</v>
      </c>
      <c r="C35" s="11">
        <f>SUM(C4:C34)</f>
        <v>-2569357</v>
      </c>
      <c r="D35" s="11">
        <f>SUM(D4:D34)</f>
        <v>-100806</v>
      </c>
      <c r="E35" s="11">
        <f>SUM(E4:E34)</f>
        <v>-100000</v>
      </c>
      <c r="F35" s="11">
        <f>SUM(F4:F34)</f>
        <v>13562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46">
        <v>151133</v>
      </c>
    </row>
    <row r="39" spans="1:45" x14ac:dyDescent="0.2">
      <c r="A39" s="2"/>
      <c r="F39" s="24"/>
    </row>
    <row r="40" spans="1:45" x14ac:dyDescent="0.2">
      <c r="A40" s="57">
        <v>37138</v>
      </c>
      <c r="F40" s="51">
        <f>+F38+F35</f>
        <v>164695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37138</v>
      </c>
      <c r="B46" s="32"/>
      <c r="C46" s="32"/>
      <c r="D46" s="408">
        <f>+F35*'by type'!J4</f>
        <v>26039.039999999997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491159.03999999998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-386790</v>
      </c>
      <c r="C35" s="44">
        <f t="shared" si="3"/>
        <v>-293998</v>
      </c>
      <c r="D35" s="11">
        <f t="shared" si="3"/>
        <v>0</v>
      </c>
      <c r="E35" s="44">
        <f t="shared" si="3"/>
        <v>-91474</v>
      </c>
      <c r="F35" s="11">
        <f t="shared" si="3"/>
        <v>0</v>
      </c>
      <c r="G35" s="11">
        <f t="shared" si="3"/>
        <v>0</v>
      </c>
      <c r="H35" s="11">
        <f t="shared" si="3"/>
        <v>1318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2530.56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37138</v>
      </c>
      <c r="F39" s="47"/>
      <c r="G39" s="47"/>
      <c r="H39" s="137">
        <f>+H38+H37</f>
        <v>474540.56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37138</v>
      </c>
      <c r="E47" s="379">
        <f>+H35</f>
        <v>1318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116588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-1067884</v>
      </c>
      <c r="E36" s="11">
        <f t="shared" si="15"/>
        <v>-1070449</v>
      </c>
      <c r="F36" s="11">
        <f t="shared" si="15"/>
        <v>0</v>
      </c>
      <c r="G36" s="11">
        <f t="shared" si="15"/>
        <v>0</v>
      </c>
      <c r="H36" s="11">
        <f t="shared" si="15"/>
        <v>-2565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-2565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37138</v>
      </c>
      <c r="B39" s="2" t="s">
        <v>46</v>
      </c>
      <c r="C39" s="131">
        <f>+C38+C37</f>
        <v>64156</v>
      </c>
      <c r="D39" s="259"/>
      <c r="E39" s="131">
        <f>+E38+E37</f>
        <v>-74583</v>
      </c>
      <c r="F39" s="259"/>
      <c r="G39" s="131"/>
      <c r="H39" s="131">
        <f>+H38+H36</f>
        <v>-10427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37138</v>
      </c>
      <c r="B45" s="32"/>
      <c r="C45" s="47">
        <f>+C37*summary!H4</f>
        <v>0</v>
      </c>
      <c r="D45" s="207"/>
      <c r="E45" s="410">
        <f>+E37*summary!H3</f>
        <v>-4693.95</v>
      </c>
      <c r="F45" s="47">
        <f>+E45+C45</f>
        <v>-4693.95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</v>
      </c>
      <c r="D46" s="207"/>
      <c r="E46" s="410">
        <f>+E45+E44</f>
        <v>922050.05</v>
      </c>
      <c r="F46" s="47">
        <f>+E46+C46</f>
        <v>-661223.94999999995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1" sqref="C3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415884</v>
      </c>
      <c r="C37" s="11">
        <f>SUM(C6:C36)</f>
        <v>408324</v>
      </c>
      <c r="D37" s="11">
        <f>SUM(D6:D36)</f>
        <v>-7560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37137</v>
      </c>
      <c r="C40" s="48"/>
      <c r="D40" s="25">
        <f>+D39+D37</f>
        <v>82337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503138</v>
      </c>
    </row>
    <row r="46" spans="1:16" x14ac:dyDescent="0.2">
      <c r="A46" s="49">
        <f>+A40</f>
        <v>37137</v>
      </c>
      <c r="B46" s="32"/>
      <c r="C46" s="32"/>
      <c r="D46" s="408">
        <f>+D37*'by type'!J3</f>
        <v>-13834.800000000001</v>
      </c>
    </row>
    <row r="47" spans="1:16" x14ac:dyDescent="0.2">
      <c r="A47" s="32"/>
      <c r="B47" s="32"/>
      <c r="C47" s="32"/>
      <c r="D47" s="202">
        <f>+D46+D45</f>
        <v>489303.2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2001-09-05T22:08:25Z</cp:lastPrinted>
  <dcterms:created xsi:type="dcterms:W3CDTF">2000-03-28T16:52:23Z</dcterms:created>
  <dcterms:modified xsi:type="dcterms:W3CDTF">2014-09-05T06:41:51Z</dcterms:modified>
</cp:coreProperties>
</file>