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0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11" i="1" s="1"/>
  <c r="D3" i="1"/>
  <c r="E3" i="1"/>
  <c r="F3" i="1"/>
  <c r="F31" i="1" s="1"/>
  <c r="G3" i="1"/>
  <c r="H3" i="1"/>
  <c r="H31" i="1" s="1"/>
  <c r="I3" i="1"/>
  <c r="I16" i="1" s="1"/>
  <c r="J3" i="1"/>
  <c r="K3" i="1"/>
  <c r="K11" i="1" s="1"/>
  <c r="L3" i="1"/>
  <c r="M3" i="1"/>
  <c r="N3" i="1"/>
  <c r="N31" i="1" s="1"/>
  <c r="O3" i="1"/>
  <c r="P3" i="1"/>
  <c r="P31" i="1" s="1"/>
  <c r="Q3" i="1"/>
  <c r="Q16" i="1" s="1"/>
  <c r="C7" i="1"/>
  <c r="D7" i="1"/>
  <c r="E7" i="1"/>
  <c r="G7" i="1"/>
  <c r="H7" i="1"/>
  <c r="J7" i="1"/>
  <c r="K7" i="1"/>
  <c r="L7" i="1"/>
  <c r="M7" i="1"/>
  <c r="N7" i="1"/>
  <c r="O7" i="1"/>
  <c r="P7" i="1"/>
  <c r="D11" i="1"/>
  <c r="E11" i="1"/>
  <c r="G11" i="1"/>
  <c r="H11" i="1"/>
  <c r="J11" i="1"/>
  <c r="L11" i="1"/>
  <c r="M11" i="1"/>
  <c r="O11" i="1"/>
  <c r="P11" i="1"/>
  <c r="D16" i="1"/>
  <c r="E16" i="1"/>
  <c r="G16" i="1"/>
  <c r="H16" i="1"/>
  <c r="J16" i="1"/>
  <c r="L16" i="1"/>
  <c r="M16" i="1"/>
  <c r="N16" i="1"/>
  <c r="O16" i="1"/>
  <c r="P16" i="1"/>
  <c r="D19" i="1"/>
  <c r="E19" i="1"/>
  <c r="F19" i="1" s="1"/>
  <c r="C21" i="1"/>
  <c r="D21" i="1"/>
  <c r="E21" i="1"/>
  <c r="D24" i="1"/>
  <c r="E24" i="1" s="1"/>
  <c r="D25" i="1"/>
  <c r="E25" i="1"/>
  <c r="F25" i="1" s="1"/>
  <c r="C26" i="1"/>
  <c r="D26" i="1"/>
  <c r="C31" i="1"/>
  <c r="D31" i="1"/>
  <c r="E31" i="1"/>
  <c r="G31" i="1"/>
  <c r="J31" i="1"/>
  <c r="K31" i="1"/>
  <c r="L31" i="1"/>
  <c r="M31" i="1"/>
  <c r="O31" i="1"/>
  <c r="G25" i="1" l="1"/>
  <c r="F21" i="1"/>
  <c r="G19" i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E26" i="1"/>
  <c r="Q11" i="1"/>
  <c r="I11" i="1"/>
  <c r="R11" i="1" s="1"/>
  <c r="Q31" i="1"/>
  <c r="F16" i="1"/>
  <c r="N11" i="1"/>
  <c r="F11" i="1"/>
  <c r="B11" i="1" s="1"/>
  <c r="I31" i="1"/>
  <c r="B31" i="1" s="1"/>
  <c r="F7" i="1"/>
  <c r="K16" i="1"/>
  <c r="C16" i="1"/>
  <c r="Q7" i="1"/>
  <c r="I7" i="1"/>
  <c r="B16" i="1" l="1"/>
  <c r="R16" i="1"/>
  <c r="B7" i="1"/>
  <c r="R7" i="1"/>
  <c r="H19" i="1"/>
  <c r="G21" i="1"/>
  <c r="R31" i="1"/>
  <c r="G26" i="1"/>
  <c r="H25" i="1"/>
  <c r="F26" i="1"/>
  <c r="H21" i="1" l="1"/>
  <c r="I19" i="1"/>
  <c r="H26" i="1"/>
  <c r="I25" i="1"/>
  <c r="I26" i="1" l="1"/>
  <c r="J25" i="1"/>
  <c r="J19" i="1"/>
  <c r="I21" i="1"/>
  <c r="J21" i="1" l="1"/>
  <c r="K19" i="1"/>
  <c r="K25" i="1"/>
  <c r="J26" i="1"/>
  <c r="K21" i="1" l="1"/>
  <c r="L19" i="1"/>
  <c r="K26" i="1"/>
  <c r="L25" i="1"/>
  <c r="L21" i="1" l="1"/>
  <c r="M19" i="1"/>
  <c r="M25" i="1"/>
  <c r="L26" i="1"/>
  <c r="M21" i="1" l="1"/>
  <c r="N19" i="1"/>
  <c r="M26" i="1"/>
  <c r="N25" i="1"/>
  <c r="N21" i="1" l="1"/>
  <c r="O19" i="1"/>
  <c r="N26" i="1"/>
  <c r="O25" i="1"/>
  <c r="P19" i="1" l="1"/>
  <c r="O21" i="1"/>
  <c r="O26" i="1"/>
  <c r="P25" i="1"/>
  <c r="P21" i="1" l="1"/>
  <c r="Q19" i="1"/>
  <c r="Q21" i="1" s="1"/>
  <c r="P26" i="1"/>
  <c r="Q25" i="1"/>
  <c r="Q26" i="1" s="1"/>
  <c r="R21" i="1" l="1"/>
  <c r="B21" i="1"/>
  <c r="B26" i="1"/>
  <c r="R26" i="1"/>
</calcChain>
</file>

<file path=xl/sharedStrings.xml><?xml version="1.0" encoding="utf-8"?>
<sst xmlns="http://schemas.openxmlformats.org/spreadsheetml/2006/main" count="24" uniqueCount="8">
  <si>
    <t>Volume</t>
  </si>
  <si>
    <t>Rate</t>
  </si>
  <si>
    <t>Discount Rate</t>
  </si>
  <si>
    <t>ROE@15%</t>
  </si>
  <si>
    <t>NPV</t>
  </si>
  <si>
    <t>Total</t>
  </si>
  <si>
    <t>Days per Year</t>
  </si>
  <si>
    <t>Escalator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</si>
</sst>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8" formatCode="_(&quot;$&quot;* #,##0.0000_);_(&quot;$&quot;* \(#,##0.0000\);_(&quot;$&quot;* &quot;-&quot;??_);_(@_)"/>
    <numFmt numFmtId="171" formatCode="_(* #,##0_);_(* \(#,##0\);_(* &quot;-&quot;??_);_(@_)"/>
    <numFmt numFmtId="173" formatCode="_(* #,##0.0000_);_(* \(#,##0.0000\);_(* &quot;-&quot;??_);_(@_)"/>
  </numFmts>
  <fonts count="6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71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8" fontId="0" fillId="0" borderId="0" xfId="2" applyNumberFormat="1" applyFont="1" applyBorder="1"/>
    <xf numFmtId="0" fontId="0" fillId="0" borderId="0" xfId="0" applyBorder="1"/>
    <xf numFmtId="171" fontId="0" fillId="0" borderId="0" xfId="1" applyNumberFormat="1" applyFont="1" applyBorder="1"/>
    <xf numFmtId="0" fontId="0" fillId="0" borderId="5" xfId="0" applyBorder="1"/>
    <xf numFmtId="171" fontId="0" fillId="0" borderId="4" xfId="1" applyNumberFormat="1" applyFont="1" applyBorder="1"/>
    <xf numFmtId="171" fontId="0" fillId="0" borderId="5" xfId="1" applyNumberFormat="1" applyFont="1" applyBorder="1"/>
    <xf numFmtId="0" fontId="3" fillId="0" borderId="6" xfId="3" quotePrefix="1" applyFont="1" applyBorder="1" applyAlignment="1" applyProtection="1"/>
    <xf numFmtId="6" fontId="0" fillId="0" borderId="7" xfId="0" applyNumberFormat="1" applyBorder="1"/>
    <xf numFmtId="165" fontId="0" fillId="0" borderId="7" xfId="2" applyNumberFormat="1" applyFont="1" applyBorder="1"/>
    <xf numFmtId="165" fontId="0" fillId="0" borderId="8" xfId="0" applyNumberFormat="1" applyBorder="1"/>
    <xf numFmtId="165" fontId="0" fillId="0" borderId="2" xfId="2" applyNumberFormat="1" applyFont="1" applyBorder="1"/>
    <xf numFmtId="165" fontId="0" fillId="0" borderId="3" xfId="0" applyNumberFormat="1" applyBorder="1"/>
    <xf numFmtId="165" fontId="0" fillId="0" borderId="0" xfId="2" applyNumberFormat="1" applyFont="1" applyBorder="1"/>
    <xf numFmtId="165" fontId="0" fillId="0" borderId="5" xfId="0" applyNumberFormat="1" applyBorder="1"/>
    <xf numFmtId="0" fontId="0" fillId="0" borderId="0" xfId="0" applyFill="1" applyBorder="1"/>
    <xf numFmtId="173" fontId="0" fillId="0" borderId="0" xfId="1" applyNumberFormat="1" applyFont="1" applyBorder="1"/>
    <xf numFmtId="0" fontId="5" fillId="0" borderId="0" xfId="0" applyFont="1"/>
    <xf numFmtId="173" fontId="5" fillId="0" borderId="0" xfId="1" applyNumberFormat="1" applyFont="1" applyBorder="1"/>
    <xf numFmtId="0" fontId="5" fillId="0" borderId="0" xfId="0" applyFont="1" applyBorder="1"/>
    <xf numFmtId="0" fontId="5" fillId="0" borderId="2" xfId="0" applyFont="1" applyBorder="1"/>
    <xf numFmtId="168" fontId="5" fillId="0" borderId="0" xfId="2" applyNumberFormat="1" applyFont="1" applyBorder="1"/>
    <xf numFmtId="171" fontId="5" fillId="0" borderId="0" xfId="1" applyNumberFormat="1" applyFont="1" applyBorder="1"/>
    <xf numFmtId="168" fontId="3" fillId="0" borderId="0" xfId="2" applyNumberFormat="1" applyFont="1" applyBorder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1"/>
  <sheetViews>
    <sheetView tabSelected="1" topLeftCell="A17" workbookViewId="0">
      <selection activeCell="C35" sqref="C35"/>
    </sheetView>
  </sheetViews>
  <sheetFormatPr defaultRowHeight="12.75" x14ac:dyDescent="0.2"/>
  <cols>
    <col min="1" max="1" width="12.7109375" bestFit="1" customWidth="1"/>
    <col min="2" max="2" width="11.7109375" bestFit="1" customWidth="1"/>
    <col min="3" max="3" width="11.28515625" bestFit="1" customWidth="1"/>
    <col min="4" max="17" width="12.28515625" bestFit="1" customWidth="1"/>
    <col min="18" max="18" width="9.7109375" bestFit="1" customWidth="1"/>
  </cols>
  <sheetData>
    <row r="2" spans="1:18" x14ac:dyDescent="0.2">
      <c r="A2" t="s">
        <v>2</v>
      </c>
      <c r="B2" s="24">
        <v>7.4999999999999997E-2</v>
      </c>
    </row>
    <row r="3" spans="1:18" x14ac:dyDescent="0.2">
      <c r="A3" t="s">
        <v>6</v>
      </c>
      <c r="C3">
        <f>"12/31/2004"-"12/31/2003"</f>
        <v>366</v>
      </c>
      <c r="D3">
        <f>"12/31/2005"-"12/31/2004"</f>
        <v>365</v>
      </c>
      <c r="E3">
        <f>"12/31/2006"-"12/31/2005"</f>
        <v>365</v>
      </c>
      <c r="F3">
        <f>"12/31/2007"-"12/31/2006"</f>
        <v>365</v>
      </c>
      <c r="G3">
        <f>"12/31/2008"-"12/31/2007"</f>
        <v>366</v>
      </c>
      <c r="H3">
        <f>"12/31/2009"-"12/31/2008"</f>
        <v>365</v>
      </c>
      <c r="I3">
        <f>"12/31/2010"-"12/31/2009"</f>
        <v>365</v>
      </c>
      <c r="J3">
        <f>"12/31/2011"-"12/31/2010"</f>
        <v>365</v>
      </c>
      <c r="K3">
        <f>"12/31/2012"-"12/31/2011"</f>
        <v>366</v>
      </c>
      <c r="L3">
        <f>"12/31/2013"-"12/31/2012"</f>
        <v>365</v>
      </c>
      <c r="M3">
        <f>"12/31/2014"-"12/31/2013"</f>
        <v>365</v>
      </c>
      <c r="N3">
        <f>"12/31/2015"-"12/31/2014"</f>
        <v>365</v>
      </c>
      <c r="O3">
        <f>"12/31/2016"-"12/31/2015"</f>
        <v>366</v>
      </c>
      <c r="P3">
        <f>"12/31/2017"-"12/31/2016"</f>
        <v>365</v>
      </c>
      <c r="Q3">
        <f>"12/31/2018"-"12/31/2017"</f>
        <v>365</v>
      </c>
    </row>
    <row r="4" spans="1:18" ht="13.5" thickBot="1" x14ac:dyDescent="0.25">
      <c r="B4" s="2" t="s">
        <v>4</v>
      </c>
      <c r="C4" s="1">
        <v>2004</v>
      </c>
      <c r="D4" s="1">
        <v>2005</v>
      </c>
      <c r="E4" s="1">
        <v>2006</v>
      </c>
      <c r="F4" s="1">
        <v>2007</v>
      </c>
      <c r="G4" s="1">
        <v>2008</v>
      </c>
      <c r="H4" s="1">
        <v>2009</v>
      </c>
      <c r="I4" s="1">
        <v>2010</v>
      </c>
      <c r="J4" s="1">
        <v>2011</v>
      </c>
      <c r="K4" s="1">
        <v>2012</v>
      </c>
      <c r="L4" s="1">
        <v>2013</v>
      </c>
      <c r="M4" s="1">
        <v>2014</v>
      </c>
      <c r="N4" s="1">
        <v>2015</v>
      </c>
      <c r="O4" s="1">
        <v>2016</v>
      </c>
      <c r="P4" s="1">
        <v>2017</v>
      </c>
      <c r="Q4" s="1">
        <v>2018</v>
      </c>
      <c r="R4" s="1" t="s">
        <v>5</v>
      </c>
    </row>
    <row r="5" spans="1:18" x14ac:dyDescent="0.2">
      <c r="A5" s="4" t="s">
        <v>0</v>
      </c>
      <c r="B5" s="27">
        <v>311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9"/>
    </row>
    <row r="6" spans="1:18" x14ac:dyDescent="0.2">
      <c r="A6" s="7" t="s">
        <v>1</v>
      </c>
      <c r="B6" s="28">
        <v>0.23026124384377678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/>
    </row>
    <row r="7" spans="1:18" ht="13.5" thickBot="1" x14ac:dyDescent="0.25">
      <c r="A7" s="14" t="s">
        <v>3</v>
      </c>
      <c r="B7" s="15">
        <f>NPV(B2,C7:Q7)</f>
        <v>230906.00000000003</v>
      </c>
      <c r="C7" s="16">
        <f t="shared" ref="C7:Q7" si="0">+C3*$B$5*$B$6</f>
        <v>26209.716341761734</v>
      </c>
      <c r="D7" s="16">
        <f t="shared" si="0"/>
        <v>26138.105094926319</v>
      </c>
      <c r="E7" s="16">
        <f t="shared" si="0"/>
        <v>26138.105094926319</v>
      </c>
      <c r="F7" s="16">
        <f t="shared" si="0"/>
        <v>26138.105094926319</v>
      </c>
      <c r="G7" s="16">
        <f t="shared" si="0"/>
        <v>26209.716341761734</v>
      </c>
      <c r="H7" s="16">
        <f t="shared" si="0"/>
        <v>26138.105094926319</v>
      </c>
      <c r="I7" s="16">
        <f t="shared" si="0"/>
        <v>26138.105094926319</v>
      </c>
      <c r="J7" s="16">
        <f t="shared" si="0"/>
        <v>26138.105094926319</v>
      </c>
      <c r="K7" s="16">
        <f t="shared" si="0"/>
        <v>26209.716341761734</v>
      </c>
      <c r="L7" s="16">
        <f t="shared" si="0"/>
        <v>26138.105094926319</v>
      </c>
      <c r="M7" s="16">
        <f t="shared" si="0"/>
        <v>26138.105094926319</v>
      </c>
      <c r="N7" s="16">
        <f t="shared" si="0"/>
        <v>26138.105094926319</v>
      </c>
      <c r="O7" s="16">
        <f t="shared" si="0"/>
        <v>26209.716341761734</v>
      </c>
      <c r="P7" s="16">
        <f t="shared" si="0"/>
        <v>26138.105094926319</v>
      </c>
      <c r="Q7" s="16">
        <f t="shared" si="0"/>
        <v>26138.105094926319</v>
      </c>
      <c r="R7" s="17">
        <f>SUM(C7:Q7)</f>
        <v>392358.02141123643</v>
      </c>
    </row>
    <row r="8" spans="1:18" ht="13.5" thickBot="1" x14ac:dyDescent="0.25"/>
    <row r="9" spans="1:18" x14ac:dyDescent="0.2">
      <c r="A9" s="4" t="s">
        <v>0</v>
      </c>
      <c r="B9" s="27">
        <v>240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"/>
    </row>
    <row r="10" spans="1:18" x14ac:dyDescent="0.2">
      <c r="A10" s="7" t="s">
        <v>1</v>
      </c>
      <c r="B10" s="28">
        <v>0.29838019514756076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1"/>
    </row>
    <row r="11" spans="1:18" ht="13.5" thickBot="1" x14ac:dyDescent="0.25">
      <c r="A11" s="14" t="s">
        <v>3</v>
      </c>
      <c r="B11" s="15">
        <f>NPV($B$2,C11:Q11)</f>
        <v>230906.00000000006</v>
      </c>
      <c r="C11" s="16">
        <f>+C$3*$B9*$B10</f>
        <v>26209.716341761738</v>
      </c>
      <c r="D11" s="16">
        <f t="shared" ref="D11:Q11" si="1">+D$3*$B9*$B10</f>
        <v>26138.105094926323</v>
      </c>
      <c r="E11" s="16">
        <f t="shared" si="1"/>
        <v>26138.105094926323</v>
      </c>
      <c r="F11" s="16">
        <f t="shared" si="1"/>
        <v>26138.105094926323</v>
      </c>
      <c r="G11" s="16">
        <f t="shared" si="1"/>
        <v>26209.716341761738</v>
      </c>
      <c r="H11" s="16">
        <f t="shared" si="1"/>
        <v>26138.105094926323</v>
      </c>
      <c r="I11" s="16">
        <f t="shared" si="1"/>
        <v>26138.105094926323</v>
      </c>
      <c r="J11" s="16">
        <f t="shared" si="1"/>
        <v>26138.105094926323</v>
      </c>
      <c r="K11" s="16">
        <f t="shared" si="1"/>
        <v>26209.716341761738</v>
      </c>
      <c r="L11" s="16">
        <f t="shared" si="1"/>
        <v>26138.105094926323</v>
      </c>
      <c r="M11" s="16">
        <f t="shared" si="1"/>
        <v>26138.105094926323</v>
      </c>
      <c r="N11" s="16">
        <f t="shared" si="1"/>
        <v>26138.105094926323</v>
      </c>
      <c r="O11" s="16">
        <f t="shared" si="1"/>
        <v>26209.716341761738</v>
      </c>
      <c r="P11" s="16">
        <f t="shared" si="1"/>
        <v>26138.105094926323</v>
      </c>
      <c r="Q11" s="16">
        <f t="shared" si="1"/>
        <v>26138.105094926323</v>
      </c>
      <c r="R11" s="17">
        <f>SUM(C11:Q11)</f>
        <v>392358.02141123649</v>
      </c>
    </row>
    <row r="12" spans="1:18" ht="13.5" thickBot="1" x14ac:dyDescent="0.25"/>
    <row r="13" spans="1:18" x14ac:dyDescent="0.2">
      <c r="A13" s="4"/>
      <c r="B13" s="5" t="s">
        <v>1</v>
      </c>
      <c r="C13" s="5" t="s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6"/>
    </row>
    <row r="14" spans="1:18" x14ac:dyDescent="0.2">
      <c r="A14" s="7"/>
      <c r="B14" s="28">
        <v>0.26500000000000001</v>
      </c>
      <c r="C14" s="26">
        <v>240</v>
      </c>
      <c r="D14" s="9"/>
      <c r="E14" s="9"/>
      <c r="F14" s="29">
        <v>40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</row>
    <row r="15" spans="1:18" s="3" customFormat="1" x14ac:dyDescent="0.2">
      <c r="A15" s="12"/>
      <c r="B15" s="28">
        <v>0.04</v>
      </c>
      <c r="C15" s="29">
        <v>31</v>
      </c>
      <c r="D15" s="10"/>
      <c r="E15" s="10"/>
      <c r="F15" s="28">
        <v>0.24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3"/>
    </row>
    <row r="16" spans="1:18" ht="13.5" thickBot="1" x14ac:dyDescent="0.25">
      <c r="A16" s="14" t="s">
        <v>3</v>
      </c>
      <c r="B16" s="15">
        <f>NPV($B$2,C16:Q16)</f>
        <v>230905.9657632233</v>
      </c>
      <c r="C16" s="16">
        <f>(+$C$14*$B$14*C$3)+($C$15*$B$15*C$3)</f>
        <v>23731.440000000002</v>
      </c>
      <c r="D16" s="16">
        <f>(+$C$14*$B$14*D$3)+($C$15*$B$15*D$3)</f>
        <v>23666.6</v>
      </c>
      <c r="E16" s="16">
        <f>(+$C$14*$B$14*E$3)+($C$15*$B$15*E$3)</f>
        <v>23666.6</v>
      </c>
      <c r="F16" s="16">
        <f t="shared" ref="F16:Q16" si="2">(+$C$14*$B$14*F$3)+($C$15*$B$15*F$3)+($F$15*$F$14*F$3)</f>
        <v>27170.6</v>
      </c>
      <c r="G16" s="16">
        <f t="shared" si="2"/>
        <v>27245.040000000001</v>
      </c>
      <c r="H16" s="16">
        <f t="shared" si="2"/>
        <v>27170.6</v>
      </c>
      <c r="I16" s="16">
        <f t="shared" si="2"/>
        <v>27170.6</v>
      </c>
      <c r="J16" s="16">
        <f t="shared" si="2"/>
        <v>27170.6</v>
      </c>
      <c r="K16" s="16">
        <f t="shared" si="2"/>
        <v>27245.040000000001</v>
      </c>
      <c r="L16" s="16">
        <f t="shared" si="2"/>
        <v>27170.6</v>
      </c>
      <c r="M16" s="16">
        <f t="shared" si="2"/>
        <v>27170.6</v>
      </c>
      <c r="N16" s="16">
        <f t="shared" si="2"/>
        <v>27170.6</v>
      </c>
      <c r="O16" s="16">
        <f t="shared" si="2"/>
        <v>27245.040000000001</v>
      </c>
      <c r="P16" s="16">
        <f t="shared" si="2"/>
        <v>27170.6</v>
      </c>
      <c r="Q16" s="16">
        <f t="shared" si="2"/>
        <v>27170.6</v>
      </c>
      <c r="R16" s="17">
        <f>SUM(C16:Q16)</f>
        <v>397335.15999999992</v>
      </c>
    </row>
    <row r="17" spans="1:18" ht="13.5" thickBot="1" x14ac:dyDescent="0.25"/>
    <row r="18" spans="1:18" x14ac:dyDescent="0.2">
      <c r="A18" s="4"/>
      <c r="B18" s="5" t="s">
        <v>7</v>
      </c>
      <c r="C18" s="5" t="s">
        <v>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6"/>
    </row>
    <row r="19" spans="1:18" x14ac:dyDescent="0.2">
      <c r="A19" s="7"/>
      <c r="B19" s="24">
        <v>40</v>
      </c>
      <c r="C19" s="26">
        <v>150</v>
      </c>
      <c r="D19" s="9">
        <f>+C19+$B$19</f>
        <v>190</v>
      </c>
      <c r="E19" s="9">
        <f>+D19+$B$19</f>
        <v>230</v>
      </c>
      <c r="F19" s="9">
        <f>+E19+$B$19</f>
        <v>270</v>
      </c>
      <c r="G19" s="9">
        <f>+F19+$B$19</f>
        <v>310</v>
      </c>
      <c r="H19" s="22">
        <f>+G19</f>
        <v>310</v>
      </c>
      <c r="I19" s="22">
        <f t="shared" ref="I19:Q19" si="3">+H19</f>
        <v>310</v>
      </c>
      <c r="J19" s="22">
        <f t="shared" si="3"/>
        <v>310</v>
      </c>
      <c r="K19" s="22">
        <f t="shared" si="3"/>
        <v>310</v>
      </c>
      <c r="L19" s="22">
        <f t="shared" si="3"/>
        <v>310</v>
      </c>
      <c r="M19" s="22">
        <f t="shared" si="3"/>
        <v>310</v>
      </c>
      <c r="N19" s="22">
        <f t="shared" si="3"/>
        <v>310</v>
      </c>
      <c r="O19" s="22">
        <f t="shared" si="3"/>
        <v>310</v>
      </c>
      <c r="P19" s="22">
        <f t="shared" si="3"/>
        <v>310</v>
      </c>
      <c r="Q19" s="22">
        <f t="shared" si="3"/>
        <v>310</v>
      </c>
      <c r="R19" s="11"/>
    </row>
    <row r="20" spans="1:18" x14ac:dyDescent="0.2">
      <c r="A20" s="12" t="s">
        <v>1</v>
      </c>
      <c r="B20" s="28">
        <v>0.26396396253397802</v>
      </c>
      <c r="C20" s="10"/>
      <c r="D20" s="10"/>
      <c r="E20" s="10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3"/>
    </row>
    <row r="21" spans="1:18" ht="13.5" thickBot="1" x14ac:dyDescent="0.25">
      <c r="A21" s="14" t="s">
        <v>3</v>
      </c>
      <c r="B21" s="15">
        <f>NPV($B$2,C21:Q21)</f>
        <v>230377.80723392207</v>
      </c>
      <c r="C21" s="16">
        <f t="shared" ref="C21:Q21" si="4">+C19*$B$20*C$3</f>
        <v>14491.621543115392</v>
      </c>
      <c r="D21" s="16">
        <f t="shared" si="4"/>
        <v>18305.900801731375</v>
      </c>
      <c r="E21" s="16">
        <f t="shared" si="4"/>
        <v>22159.774654727455</v>
      </c>
      <c r="F21" s="16">
        <f t="shared" si="4"/>
        <v>26013.648507723534</v>
      </c>
      <c r="G21" s="16">
        <f t="shared" si="4"/>
        <v>29949.351189105146</v>
      </c>
      <c r="H21" s="16">
        <f t="shared" si="4"/>
        <v>29867.522360719613</v>
      </c>
      <c r="I21" s="16">
        <f t="shared" si="4"/>
        <v>29867.522360719613</v>
      </c>
      <c r="J21" s="16">
        <f t="shared" si="4"/>
        <v>29867.522360719613</v>
      </c>
      <c r="K21" s="16">
        <f t="shared" si="4"/>
        <v>29949.351189105146</v>
      </c>
      <c r="L21" s="16">
        <f t="shared" si="4"/>
        <v>29867.522360719613</v>
      </c>
      <c r="M21" s="16">
        <f t="shared" si="4"/>
        <v>29867.522360719613</v>
      </c>
      <c r="N21" s="16">
        <f t="shared" si="4"/>
        <v>29867.522360719613</v>
      </c>
      <c r="O21" s="16">
        <f t="shared" si="4"/>
        <v>29949.351189105146</v>
      </c>
      <c r="P21" s="16">
        <f t="shared" si="4"/>
        <v>29867.522360719613</v>
      </c>
      <c r="Q21" s="16">
        <f t="shared" si="4"/>
        <v>29867.522360719613</v>
      </c>
      <c r="R21" s="17">
        <f>SUM(C21:Q21)</f>
        <v>409759.17796037014</v>
      </c>
    </row>
    <row r="22" spans="1:18" ht="13.5" thickBot="1" x14ac:dyDescent="0.25"/>
    <row r="23" spans="1:18" x14ac:dyDescent="0.2">
      <c r="A23" s="4"/>
      <c r="B23" s="5" t="s">
        <v>7</v>
      </c>
      <c r="C23" s="5" t="s">
        <v>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6"/>
    </row>
    <row r="24" spans="1:18" x14ac:dyDescent="0.2">
      <c r="A24" s="7"/>
      <c r="B24" s="24">
        <v>40</v>
      </c>
      <c r="C24" s="26">
        <v>150</v>
      </c>
      <c r="D24" s="9">
        <f>+C24+$B$24</f>
        <v>190</v>
      </c>
      <c r="E24" s="9">
        <f>+D24+$B$24</f>
        <v>230</v>
      </c>
      <c r="F24" s="9">
        <f>+E24+$B$24</f>
        <v>270</v>
      </c>
      <c r="G24" s="9">
        <f>+F24+$B$24</f>
        <v>310</v>
      </c>
      <c r="H24" s="22">
        <f>+G24</f>
        <v>310</v>
      </c>
      <c r="I24" s="22">
        <f t="shared" ref="I24:Q24" si="5">+H24</f>
        <v>310</v>
      </c>
      <c r="J24" s="22">
        <f t="shared" si="5"/>
        <v>310</v>
      </c>
      <c r="K24" s="22">
        <f t="shared" si="5"/>
        <v>310</v>
      </c>
      <c r="L24" s="22">
        <f t="shared" si="5"/>
        <v>310</v>
      </c>
      <c r="M24" s="22">
        <f t="shared" si="5"/>
        <v>310</v>
      </c>
      <c r="N24" s="22">
        <f t="shared" si="5"/>
        <v>310</v>
      </c>
      <c r="O24" s="22">
        <f t="shared" si="5"/>
        <v>310</v>
      </c>
      <c r="P24" s="22">
        <f t="shared" si="5"/>
        <v>310</v>
      </c>
      <c r="Q24" s="22">
        <f t="shared" si="5"/>
        <v>310</v>
      </c>
      <c r="R24" s="11"/>
    </row>
    <row r="25" spans="1:18" x14ac:dyDescent="0.2">
      <c r="A25" s="12" t="s">
        <v>1</v>
      </c>
      <c r="B25" s="24">
        <v>5.0000000000000001E-3</v>
      </c>
      <c r="C25" s="25">
        <v>0.23274542290716171</v>
      </c>
      <c r="D25" s="23">
        <f t="shared" ref="D25:Q25" si="6">+C25+$B$25</f>
        <v>0.23774542290716172</v>
      </c>
      <c r="E25" s="23">
        <f t="shared" si="6"/>
        <v>0.24274542290716172</v>
      </c>
      <c r="F25" s="23">
        <f t="shared" si="6"/>
        <v>0.24774542290716173</v>
      </c>
      <c r="G25" s="23">
        <f t="shared" si="6"/>
        <v>0.25274542290716173</v>
      </c>
      <c r="H25" s="23">
        <f t="shared" si="6"/>
        <v>0.25774542290716174</v>
      </c>
      <c r="I25" s="23">
        <f t="shared" si="6"/>
        <v>0.26274542290716174</v>
      </c>
      <c r="J25" s="23">
        <f t="shared" si="6"/>
        <v>0.26774542290716175</v>
      </c>
      <c r="K25" s="23">
        <f t="shared" si="6"/>
        <v>0.27274542290716175</v>
      </c>
      <c r="L25" s="23">
        <f t="shared" si="6"/>
        <v>0.27774542290716175</v>
      </c>
      <c r="M25" s="23">
        <f t="shared" si="6"/>
        <v>0.28274542290716176</v>
      </c>
      <c r="N25" s="23">
        <f t="shared" si="6"/>
        <v>0.28774542290716176</v>
      </c>
      <c r="O25" s="23">
        <f t="shared" si="6"/>
        <v>0.29274542290716177</v>
      </c>
      <c r="P25" s="23">
        <f t="shared" si="6"/>
        <v>0.29774542290716177</v>
      </c>
      <c r="Q25" s="23">
        <f t="shared" si="6"/>
        <v>0.30274542290716178</v>
      </c>
      <c r="R25" s="13"/>
    </row>
    <row r="26" spans="1:18" ht="13.5" thickBot="1" x14ac:dyDescent="0.25">
      <c r="A26" s="14" t="s">
        <v>3</v>
      </c>
      <c r="B26" s="15">
        <f>NPV($B$2,C26:Q26)</f>
        <v>230906.00000000003</v>
      </c>
      <c r="C26" s="16">
        <f>+C25*C24*C$3</f>
        <v>12777.723717603178</v>
      </c>
      <c r="D26" s="16">
        <f t="shared" ref="D26:Q26" si="7">+D25*D24*D$3</f>
        <v>16487.645078611666</v>
      </c>
      <c r="E26" s="16">
        <f t="shared" si="7"/>
        <v>20378.478253056226</v>
      </c>
      <c r="F26" s="16">
        <f t="shared" si="7"/>
        <v>24415.311427500787</v>
      </c>
      <c r="G26" s="16">
        <f t="shared" si="7"/>
        <v>28676.495683046567</v>
      </c>
      <c r="H26" s="16">
        <f t="shared" si="7"/>
        <v>29163.894601945351</v>
      </c>
      <c r="I26" s="16">
        <f t="shared" si="7"/>
        <v>29729.644601945351</v>
      </c>
      <c r="J26" s="16">
        <f t="shared" si="7"/>
        <v>30295.394601945351</v>
      </c>
      <c r="K26" s="16">
        <f t="shared" si="7"/>
        <v>30945.695683046575</v>
      </c>
      <c r="L26" s="16">
        <f t="shared" si="7"/>
        <v>31426.894601945354</v>
      </c>
      <c r="M26" s="16">
        <f t="shared" si="7"/>
        <v>31992.644601945351</v>
      </c>
      <c r="N26" s="16">
        <f t="shared" si="7"/>
        <v>32558.394601945351</v>
      </c>
      <c r="O26" s="16">
        <f t="shared" si="7"/>
        <v>33214.895683046576</v>
      </c>
      <c r="P26" s="16">
        <f t="shared" si="7"/>
        <v>33689.894601945358</v>
      </c>
      <c r="Q26" s="16">
        <f t="shared" si="7"/>
        <v>34255.644601945351</v>
      </c>
      <c r="R26" s="17">
        <f>SUM(C26:Q26)</f>
        <v>420008.65234147443</v>
      </c>
    </row>
    <row r="27" spans="1:18" ht="13.5" thickBot="1" x14ac:dyDescent="0.25"/>
    <row r="28" spans="1:18" x14ac:dyDescent="0.2">
      <c r="A28" s="4"/>
      <c r="B28" s="5"/>
      <c r="C28" s="5" t="s">
        <v>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6"/>
    </row>
    <row r="29" spans="1:18" x14ac:dyDescent="0.2">
      <c r="A29" s="7"/>
      <c r="C29" s="26">
        <v>240</v>
      </c>
      <c r="D29" s="9"/>
      <c r="E29" s="9"/>
      <c r="F29" s="29">
        <v>71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1"/>
    </row>
    <row r="30" spans="1:18" x14ac:dyDescent="0.2">
      <c r="A30" s="12" t="s">
        <v>1</v>
      </c>
      <c r="B30" s="28"/>
      <c r="C30" s="28">
        <v>0.25</v>
      </c>
      <c r="D30" s="10"/>
      <c r="E30" s="10"/>
      <c r="F30" s="30">
        <v>0.23185890325888378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3"/>
    </row>
    <row r="31" spans="1:18" ht="13.5" thickBot="1" x14ac:dyDescent="0.25">
      <c r="A31" s="14" t="s">
        <v>3</v>
      </c>
      <c r="B31" s="15">
        <f>NPV($B$2,C31:Q31)</f>
        <v>230905.99999999997</v>
      </c>
      <c r="C31" s="16">
        <f>(+$C$29*$C$30*C$3)</f>
        <v>21960</v>
      </c>
      <c r="D31" s="16">
        <f>(+$C$29*$C$30*D$3)</f>
        <v>21900</v>
      </c>
      <c r="E31" s="16">
        <f>(+$C$29*$C$30*E$3)</f>
        <v>21900</v>
      </c>
      <c r="F31" s="16">
        <f>(+$C$29*$C$30*F$3)+($F$29*$F$30*F$3)</f>
        <v>27908.623477953974</v>
      </c>
      <c r="G31" s="16">
        <f t="shared" ref="G31:Q31" si="8">(+$C$29*$C$30*G$3)+($F$29*$F$30*G$3)</f>
        <v>27985.085460085353</v>
      </c>
      <c r="H31" s="16">
        <f t="shared" si="8"/>
        <v>27908.623477953974</v>
      </c>
      <c r="I31" s="16">
        <f t="shared" si="8"/>
        <v>27908.623477953974</v>
      </c>
      <c r="J31" s="16">
        <f t="shared" si="8"/>
        <v>27908.623477953974</v>
      </c>
      <c r="K31" s="16">
        <f t="shared" si="8"/>
        <v>27985.085460085353</v>
      </c>
      <c r="L31" s="16">
        <f t="shared" si="8"/>
        <v>27908.623477953974</v>
      </c>
      <c r="M31" s="16">
        <f t="shared" si="8"/>
        <v>27908.623477953974</v>
      </c>
      <c r="N31" s="16">
        <f t="shared" si="8"/>
        <v>27908.623477953974</v>
      </c>
      <c r="O31" s="16">
        <f t="shared" si="8"/>
        <v>27985.085460085353</v>
      </c>
      <c r="P31" s="16">
        <f t="shared" si="8"/>
        <v>27908.623477953974</v>
      </c>
      <c r="Q31" s="16">
        <f t="shared" si="8"/>
        <v>27908.623477953974</v>
      </c>
      <c r="R31" s="17">
        <f>SUM(C31:Q31)</f>
        <v>400892.86768184177</v>
      </c>
    </row>
  </sheetData>
  <phoneticPr fontId="0" type="noConversion"/>
  <pageMargins left="0.46" right="0.28999999999999998" top="1" bottom="1" header="0.5" footer="0.5"/>
  <pageSetup scale="61" orientation="landscape" horizontalDpi="300" verticalDpi="300" r:id="rId1"/>
  <headerFooter alignWithMargins="0">
    <oddHeader xml:space="preserve">&amp;C&amp;"Arial,Bold"&amp;16Transwestern Pipeline Company
TransPecos Project
Revenue Matrix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jcentill</dc:creator>
  <cp:lastModifiedBy>Felienne</cp:lastModifiedBy>
  <cp:lastPrinted>2001-10-18T16:20:44Z</cp:lastPrinted>
  <dcterms:created xsi:type="dcterms:W3CDTF">2001-10-18T15:18:07Z</dcterms:created>
  <dcterms:modified xsi:type="dcterms:W3CDTF">2014-09-04T08:02:06Z</dcterms:modified>
</cp:coreProperties>
</file>