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0" windowWidth="11295" windowHeight="6390"/>
  </bookViews>
  <sheets>
    <sheet name="Turbine" sheetId="1" r:id="rId1"/>
    <sheet name="Gen Engines" sheetId="2" r:id="rId2"/>
    <sheet name="Netting Calcs" sheetId="3" r:id="rId3"/>
    <sheet name="2000 EIQ" sheetId="4" r:id="rId4"/>
    <sheet name="1999 EIQ" sheetId="5" r:id="rId5"/>
    <sheet name="Alternative" sheetId="6" r:id="rId6"/>
    <sheet name="Summary" sheetId="7" r:id="rId7"/>
    <sheet name="Example" sheetId="8" r:id="rId8"/>
    <sheet name="I" sheetId="9" r:id="rId9"/>
  </sheets>
  <calcPr calcId="0"/>
</workbook>
</file>

<file path=xl/calcChain.xml><?xml version="1.0" encoding="utf-8"?>
<calcChain xmlns="http://schemas.openxmlformats.org/spreadsheetml/2006/main">
  <c r="D13" i="5" l="1"/>
  <c r="E13" i="5"/>
  <c r="F13" i="5"/>
  <c r="G13" i="5"/>
  <c r="I13" i="5"/>
  <c r="J13" i="5"/>
  <c r="K13" i="5"/>
  <c r="L13" i="5"/>
  <c r="M13" i="5"/>
  <c r="O13" i="5"/>
  <c r="D14" i="5"/>
  <c r="E14" i="5"/>
  <c r="F14" i="5"/>
  <c r="G14" i="5"/>
  <c r="I14" i="5"/>
  <c r="J14" i="5"/>
  <c r="K14" i="5"/>
  <c r="L14" i="5"/>
  <c r="M14" i="5"/>
  <c r="O14" i="5"/>
  <c r="D15" i="5"/>
  <c r="E15" i="5"/>
  <c r="F15" i="5"/>
  <c r="G15" i="5"/>
  <c r="I15" i="5"/>
  <c r="J15" i="5"/>
  <c r="K15" i="5"/>
  <c r="L15" i="5"/>
  <c r="M15" i="5"/>
  <c r="O15" i="5"/>
  <c r="I16" i="5"/>
  <c r="J16" i="5"/>
  <c r="K16" i="5"/>
  <c r="L16" i="5"/>
  <c r="M16" i="5"/>
  <c r="N16" i="5"/>
  <c r="E28" i="5"/>
  <c r="E29" i="5"/>
  <c r="E32" i="5"/>
  <c r="E33" i="5"/>
  <c r="E36" i="5"/>
  <c r="E37" i="5"/>
  <c r="D13" i="4"/>
  <c r="E13" i="4"/>
  <c r="F13" i="4"/>
  <c r="G13" i="4"/>
  <c r="I13" i="4"/>
  <c r="J13" i="4"/>
  <c r="K13" i="4"/>
  <c r="L13" i="4"/>
  <c r="M13" i="4"/>
  <c r="O13" i="4"/>
  <c r="D14" i="4"/>
  <c r="E14" i="4"/>
  <c r="F14" i="4"/>
  <c r="G14" i="4"/>
  <c r="I14" i="4"/>
  <c r="J14" i="4"/>
  <c r="K14" i="4"/>
  <c r="L14" i="4"/>
  <c r="M14" i="4"/>
  <c r="O14" i="4"/>
  <c r="D15" i="4"/>
  <c r="E15" i="4"/>
  <c r="F15" i="4"/>
  <c r="G15" i="4"/>
  <c r="I15" i="4"/>
  <c r="J15" i="4"/>
  <c r="K15" i="4"/>
  <c r="L15" i="4"/>
  <c r="M15" i="4"/>
  <c r="O15" i="4"/>
  <c r="D16" i="4"/>
  <c r="I16" i="4"/>
  <c r="J16" i="4"/>
  <c r="K16" i="4"/>
  <c r="L16" i="4"/>
  <c r="M16" i="4"/>
  <c r="N16" i="4"/>
  <c r="O16" i="4"/>
  <c r="I17" i="4"/>
  <c r="J17" i="4"/>
  <c r="K17" i="4"/>
  <c r="L17" i="4"/>
  <c r="M17" i="4"/>
  <c r="N17" i="4"/>
  <c r="E28" i="4"/>
  <c r="E29" i="4"/>
  <c r="E32" i="4"/>
  <c r="E33" i="4"/>
  <c r="E36" i="4"/>
  <c r="E37" i="4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E26" i="6"/>
  <c r="F26" i="6"/>
  <c r="B27" i="6"/>
  <c r="C27" i="6"/>
  <c r="D27" i="6"/>
  <c r="E27" i="6"/>
  <c r="F27" i="6"/>
  <c r="J32" i="6"/>
  <c r="F33" i="6"/>
  <c r="F34" i="6"/>
  <c r="G35" i="6"/>
  <c r="D36" i="6"/>
  <c r="F36" i="6"/>
  <c r="H36" i="6"/>
  <c r="A13" i="8"/>
  <c r="A15" i="8"/>
  <c r="A19" i="8"/>
  <c r="A21" i="8"/>
  <c r="A26" i="8"/>
  <c r="A28" i="8"/>
  <c r="A33" i="8"/>
  <c r="A36" i="8"/>
  <c r="A41" i="8"/>
  <c r="A44" i="8"/>
  <c r="A49" i="8"/>
  <c r="A52" i="8"/>
  <c r="B16" i="2"/>
  <c r="B18" i="2"/>
  <c r="B19" i="2"/>
  <c r="B35" i="2"/>
  <c r="C35" i="2"/>
  <c r="B36" i="2"/>
  <c r="C36" i="2"/>
  <c r="B37" i="2"/>
  <c r="C37" i="2"/>
  <c r="B38" i="2"/>
  <c r="C38" i="2"/>
  <c r="B39" i="2"/>
  <c r="C39" i="2"/>
  <c r="B8" i="3"/>
  <c r="C8" i="3"/>
  <c r="D8" i="3"/>
  <c r="B9" i="3"/>
  <c r="C9" i="3"/>
  <c r="D9" i="3"/>
  <c r="B10" i="3"/>
  <c r="C10" i="3"/>
  <c r="D10" i="3"/>
  <c r="B13" i="3"/>
  <c r="C13" i="3"/>
  <c r="D13" i="3"/>
  <c r="B17" i="3"/>
  <c r="C17" i="3"/>
  <c r="D17" i="3"/>
  <c r="B18" i="3"/>
  <c r="C18" i="3"/>
  <c r="D18" i="3"/>
  <c r="B19" i="3"/>
  <c r="C19" i="3"/>
  <c r="D19" i="3"/>
  <c r="B20" i="3"/>
  <c r="C20" i="3"/>
  <c r="D20" i="3"/>
  <c r="B22" i="3"/>
  <c r="C22" i="3"/>
  <c r="D22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4" i="3"/>
  <c r="C34" i="3"/>
  <c r="D34" i="3"/>
  <c r="B35" i="3"/>
  <c r="C35" i="3"/>
  <c r="D35" i="3"/>
  <c r="B36" i="3"/>
  <c r="C36" i="3"/>
  <c r="D36" i="3"/>
  <c r="B39" i="3"/>
  <c r="C39" i="3"/>
  <c r="D39" i="3"/>
  <c r="B42" i="3"/>
  <c r="C42" i="3"/>
  <c r="D42" i="3"/>
  <c r="D18" i="7"/>
  <c r="E18" i="7"/>
  <c r="F18" i="7"/>
  <c r="G18" i="7"/>
  <c r="H18" i="7"/>
  <c r="I18" i="7"/>
  <c r="J18" i="7"/>
  <c r="K18" i="7"/>
  <c r="L18" i="7"/>
  <c r="M18" i="7"/>
  <c r="D19" i="7"/>
  <c r="E19" i="7"/>
  <c r="F19" i="7"/>
  <c r="G19" i="7"/>
  <c r="H19" i="7"/>
  <c r="I19" i="7"/>
  <c r="J19" i="7"/>
  <c r="K19" i="7"/>
  <c r="L19" i="7"/>
  <c r="M19" i="7"/>
  <c r="D20" i="7"/>
  <c r="E20" i="7"/>
  <c r="F20" i="7"/>
  <c r="G20" i="7"/>
  <c r="H20" i="7"/>
  <c r="I20" i="7"/>
  <c r="J20" i="7"/>
  <c r="K20" i="7"/>
  <c r="L20" i="7"/>
  <c r="M20" i="7"/>
  <c r="E26" i="7"/>
  <c r="G26" i="7"/>
  <c r="I26" i="7"/>
  <c r="K26" i="7"/>
  <c r="M26" i="7"/>
  <c r="E27" i="7"/>
  <c r="G27" i="7"/>
  <c r="I27" i="7"/>
  <c r="K27" i="7"/>
  <c r="M27" i="7"/>
  <c r="E28" i="7"/>
  <c r="G28" i="7"/>
  <c r="I28" i="7"/>
  <c r="K28" i="7"/>
  <c r="M28" i="7"/>
  <c r="M29" i="7"/>
  <c r="M30" i="7"/>
  <c r="E32" i="7"/>
  <c r="G32" i="7"/>
  <c r="I32" i="7"/>
  <c r="K32" i="7"/>
  <c r="M32" i="7"/>
  <c r="D33" i="7"/>
  <c r="E33" i="7"/>
  <c r="F33" i="7"/>
  <c r="G33" i="7"/>
  <c r="H33" i="7"/>
  <c r="I33" i="7"/>
  <c r="J33" i="7"/>
  <c r="K33" i="7"/>
  <c r="L33" i="7"/>
  <c r="M33" i="7"/>
  <c r="B19" i="1"/>
  <c r="B21" i="1"/>
  <c r="B23" i="1"/>
  <c r="B24" i="1"/>
  <c r="B25" i="1"/>
  <c r="D30" i="1"/>
  <c r="F30" i="1"/>
  <c r="H30" i="1"/>
  <c r="D31" i="1"/>
  <c r="F31" i="1"/>
  <c r="H31" i="1"/>
  <c r="D32" i="1"/>
  <c r="F32" i="1"/>
  <c r="H32" i="1"/>
  <c r="D33" i="1"/>
  <c r="F33" i="1"/>
  <c r="H33" i="1"/>
  <c r="D34" i="1"/>
  <c r="F34" i="1"/>
  <c r="H34" i="1"/>
  <c r="D35" i="1"/>
  <c r="F35" i="1"/>
  <c r="H35" i="1"/>
  <c r="D36" i="1"/>
  <c r="F36" i="1"/>
  <c r="H36" i="1"/>
  <c r="D37" i="1"/>
  <c r="F37" i="1"/>
  <c r="H37" i="1"/>
  <c r="D38" i="1"/>
  <c r="F38" i="1"/>
  <c r="H38" i="1"/>
  <c r="D39" i="1"/>
  <c r="F39" i="1"/>
  <c r="H39" i="1"/>
  <c r="D40" i="1"/>
  <c r="F40" i="1"/>
  <c r="H40" i="1"/>
  <c r="C41" i="1"/>
  <c r="D41" i="1"/>
  <c r="E41" i="1"/>
  <c r="F41" i="1"/>
  <c r="G41" i="1"/>
  <c r="H41" i="1"/>
  <c r="D42" i="1"/>
  <c r="E42" i="1"/>
  <c r="F42" i="1"/>
  <c r="G42" i="1"/>
  <c r="H42" i="1"/>
  <c r="B52" i="1"/>
  <c r="C52" i="1"/>
  <c r="B53" i="1"/>
  <c r="C53" i="1"/>
  <c r="B54" i="1"/>
  <c r="C54" i="1"/>
  <c r="B55" i="1"/>
  <c r="C55" i="1"/>
  <c r="B56" i="1"/>
  <c r="C56" i="1"/>
  <c r="B57" i="1"/>
  <c r="C57" i="1"/>
  <c r="B62" i="1"/>
  <c r="C62" i="1"/>
  <c r="B63" i="1"/>
  <c r="C63" i="1"/>
  <c r="B64" i="1"/>
  <c r="C64" i="1"/>
  <c r="B65" i="1"/>
  <c r="C65" i="1"/>
  <c r="B66" i="1"/>
  <c r="C66" i="1"/>
  <c r="B67" i="1"/>
  <c r="C67" i="1"/>
</calcChain>
</file>

<file path=xl/sharedStrings.xml><?xml version="1.0" encoding="utf-8"?>
<sst xmlns="http://schemas.openxmlformats.org/spreadsheetml/2006/main" count="524" uniqueCount="210">
  <si>
    <t>TRANSWESTERN PIPELINE COMPANY</t>
  </si>
  <si>
    <t>RED ROCK EXPANSION PROJECT</t>
  </si>
  <si>
    <t>KINGMAN COMPRESSOR STATION</t>
  </si>
  <si>
    <t>Table 1</t>
  </si>
  <si>
    <t>TURBINE INFORMATION</t>
  </si>
  <si>
    <t>Manufacturer:</t>
  </si>
  <si>
    <t>GE LM2500</t>
  </si>
  <si>
    <t>Fuel Type:</t>
  </si>
  <si>
    <t>Sweet Natural Gas</t>
  </si>
  <si>
    <t>HHV:</t>
  </si>
  <si>
    <t>Btu/scf</t>
  </si>
  <si>
    <t>Site Elevation:</t>
  </si>
  <si>
    <t>Inlet Loss:</t>
  </si>
  <si>
    <t>in H2O</t>
  </si>
  <si>
    <t>Exhaust Loss:</t>
  </si>
  <si>
    <t>Shaft Power:</t>
  </si>
  <si>
    <t>hp @ 12.8oF (Base Load)</t>
  </si>
  <si>
    <t>hp @ 60oF (Base Load)</t>
  </si>
  <si>
    <t>Max Heat Rate:</t>
  </si>
  <si>
    <t>Btu/hp-hr @95oF (50% Load)</t>
  </si>
  <si>
    <t>MMBtu/hr</t>
  </si>
  <si>
    <t>(Max Heat Rate x shp@12.8oF)</t>
  </si>
  <si>
    <t>Avg Heat Rate:</t>
  </si>
  <si>
    <t>Btu/hp-hr @60oF (Base Load)</t>
  </si>
  <si>
    <t>(Avg Heat Rate x shp@60oF)</t>
  </si>
  <si>
    <t>Speed:</t>
  </si>
  <si>
    <t>rpm</t>
  </si>
  <si>
    <t>Max Hourly Fuel:</t>
  </si>
  <si>
    <t>MMscf/hr</t>
  </si>
  <si>
    <t>(Max Heat Rate/HHV)</t>
  </si>
  <si>
    <t>Avg Hourly Fuel:</t>
  </si>
  <si>
    <t>(Avg Heat Rate/HHV)</t>
  </si>
  <si>
    <t>Annual Fuel:</t>
  </si>
  <si>
    <t>MMscf/yr</t>
  </si>
  <si>
    <t>(Avg Fuel x 8760)</t>
  </si>
  <si>
    <t>Potential Emissions</t>
  </si>
  <si>
    <t>Temp</t>
  </si>
  <si>
    <t>Turbine</t>
  </si>
  <si>
    <t>NOx (as NO2)</t>
  </si>
  <si>
    <t>CO</t>
  </si>
  <si>
    <t>THC</t>
  </si>
  <si>
    <t>(oF)</t>
  </si>
  <si>
    <t>Load (%)</t>
  </si>
  <si>
    <t>(lb/hr)</t>
  </si>
  <si>
    <t>(tpy)</t>
  </si>
  <si>
    <t>Base</t>
  </si>
  <si>
    <t>Max Hourly</t>
  </si>
  <si>
    <t>Base Load Max</t>
  </si>
  <si>
    <t>AP-42 Emission Factors (04/00)</t>
  </si>
  <si>
    <t>PM</t>
  </si>
  <si>
    <t>lb/MMBtu</t>
  </si>
  <si>
    <t>SO2</t>
  </si>
  <si>
    <t>Formaldehyde</t>
  </si>
  <si>
    <t>Proposed Turbine Emissions</t>
  </si>
  <si>
    <t>Maximum</t>
  </si>
  <si>
    <t>Annual</t>
  </si>
  <si>
    <t>Pollutant</t>
  </si>
  <si>
    <t>NOX</t>
  </si>
  <si>
    <t>operating at 64% load 100% of time</t>
  </si>
  <si>
    <t>VOC</t>
  </si>
  <si>
    <t>Proposed Turbine Emissions with 15% Safety Factor</t>
  </si>
  <si>
    <t>Table 2</t>
  </si>
  <si>
    <t>GENERATOR ENGINE INFORMATION</t>
  </si>
  <si>
    <t>Caterpillar 3406B</t>
  </si>
  <si>
    <t>Diesel</t>
  </si>
  <si>
    <t>Rated Power:</t>
  </si>
  <si>
    <t>hp @100% Load</t>
  </si>
  <si>
    <t>Fuel Flow Rate:</t>
  </si>
  <si>
    <t>gal/hr</t>
  </si>
  <si>
    <t>lb/hr @s.g. 0.87</t>
  </si>
  <si>
    <t>Diesel Heat:</t>
  </si>
  <si>
    <t>Btu/lb</t>
  </si>
  <si>
    <t>Heat Rate:</t>
  </si>
  <si>
    <t>Btu/hp-hr</t>
  </si>
  <si>
    <t>Operating Schedule:</t>
  </si>
  <si>
    <t>hours/yr</t>
  </si>
  <si>
    <t>Emission Factors</t>
  </si>
  <si>
    <t>Rate</t>
  </si>
  <si>
    <t>Units</t>
  </si>
  <si>
    <t>Source</t>
  </si>
  <si>
    <t>NOx</t>
  </si>
  <si>
    <t>lb/hr</t>
  </si>
  <si>
    <t>Mfr</t>
  </si>
  <si>
    <t>AP-42</t>
  </si>
  <si>
    <t>Proposed Generator Engine  Emissions</t>
  </si>
  <si>
    <t>1999 Emissions Based on Test Data</t>
  </si>
  <si>
    <t>Unit</t>
  </si>
  <si>
    <t>Nox (tpy)</t>
  </si>
  <si>
    <t>CO (tpy)</t>
  </si>
  <si>
    <t>VOC (tpy)</t>
  </si>
  <si>
    <t>001</t>
  </si>
  <si>
    <t>002</t>
  </si>
  <si>
    <t>003</t>
  </si>
  <si>
    <t>Total</t>
  </si>
  <si>
    <t>2000 Emissions Based on Test Data</t>
  </si>
  <si>
    <t xml:space="preserve">Last 2-Year Emissions Average </t>
  </si>
  <si>
    <t>Proposed Emission Increases (tpy)</t>
  </si>
  <si>
    <t>Gen Engines</t>
  </si>
  <si>
    <t>TOTAL</t>
  </si>
  <si>
    <t>Contemporaneous Emission Decreases (tpy)</t>
  </si>
  <si>
    <t>Net Change (Increase - Decrease) (tpy)</t>
  </si>
  <si>
    <t>Notes:</t>
  </si>
  <si>
    <t>(1) Proposed NOx, CO, and VOC emissions based on turbine being operated at 64% load 100% of the time.</t>
  </si>
  <si>
    <t>(2) Proposed increases are from proposed turbine and generator engines.</t>
  </si>
  <si>
    <t>(3) Contemporaneous decreases are from permanent shutdown of Units 101, 102, 103, 121, and 122.</t>
  </si>
  <si>
    <t>KINGMAN COMPRESSOR STATION #1</t>
  </si>
  <si>
    <t xml:space="preserve"> </t>
  </si>
  <si>
    <t xml:space="preserve">2000 ARIZONA EMISSIONS </t>
  </si>
  <si>
    <t>NATURAL GAS FIRED PIPELINE COMPRESSOR ENGINE ANNUAL EMISSIONS BASED ON TEST DATA</t>
  </si>
  <si>
    <t xml:space="preserve">POINT 101: STACKS 001, 002, 003, 121   </t>
  </si>
  <si>
    <t>STACK</t>
  </si>
  <si>
    <t>RATED</t>
  </si>
  <si>
    <t>EMISSION FACTORS (lb/MMBtu)</t>
  </si>
  <si>
    <t>ANNUAL EMISSIONS (TONS/YR)</t>
  </si>
  <si>
    <t>Fuel</t>
  </si>
  <si>
    <t>I.D.</t>
  </si>
  <si>
    <t>ANNUAL</t>
  </si>
  <si>
    <t>HORSE</t>
  </si>
  <si>
    <t>(3)</t>
  </si>
  <si>
    <t/>
  </si>
  <si>
    <t>(2)</t>
  </si>
  <si>
    <t>(1)</t>
  </si>
  <si>
    <t>Usage</t>
  </si>
  <si>
    <t>% Run</t>
  </si>
  <si>
    <t>#</t>
  </si>
  <si>
    <t>HOURS</t>
  </si>
  <si>
    <t>POWER</t>
  </si>
  <si>
    <t>nm-VOC</t>
  </si>
  <si>
    <t>PM10</t>
  </si>
  <si>
    <t>(MMscf)</t>
  </si>
  <si>
    <t>Time</t>
  </si>
  <si>
    <t>NOTES:</t>
  </si>
  <si>
    <t>(1) Emission factor for PM10 from AP-42, Table 3.2-3 (7/00), 100% of Total Outlet particulate is assumed to be PM10.</t>
  </si>
  <si>
    <t>(2) Engine emission factors (Unit 121) for NOx, CO from source test, and nm-VOC from AP-42,Table 3.2-3 (7/00) for 4-cycle rich burn engines.</t>
  </si>
  <si>
    <t xml:space="preserve">(3) SO2 emission factors from EPA's database "AFSEF" using average fuel consumption of 8500 Btu/hp-hr and 1046 Btu/scf. </t>
  </si>
  <si>
    <t>(4) Engine emission factors for NOx, CO, and nm-VOC for Units 001, 002, and 003 from stack testing data.</t>
  </si>
  <si>
    <t>TEST DATA</t>
  </si>
  <si>
    <t>TEST 1</t>
  </si>
  <si>
    <t>TEST 2</t>
  </si>
  <si>
    <t>TEST 3</t>
  </si>
  <si>
    <t xml:space="preserve">AVG </t>
  </si>
  <si>
    <t>UNIT 001</t>
  </si>
  <si>
    <t>UNIT 002</t>
  </si>
  <si>
    <t>UNIT 003</t>
  </si>
  <si>
    <t>* NOx and CO data were obtained from the emission test conducted between July 27-29, 1998</t>
  </si>
  <si>
    <t xml:space="preserve">1999 ARIZONA EMISSIONS </t>
  </si>
  <si>
    <t xml:space="preserve">POINT 101: STACKS 001,002,003    </t>
  </si>
  <si>
    <t>EMISSION FACTORS (lb/hp-hr) and (lb/hr)</t>
  </si>
  <si>
    <t>(1) Emission factor for PM10 from AP-42, Table 3.2-3, 100% of Total Outlet particulate is assumed to be PM10.</t>
  </si>
  <si>
    <t>(2) Engine emission factors for NOx, CO, and nm-VOC from stack testing data.</t>
  </si>
  <si>
    <t>Table 4</t>
  </si>
  <si>
    <t>ALTERNATIVE OPERATING SCENARIO EMISSIONS</t>
  </si>
  <si>
    <t>Engine Data</t>
  </si>
  <si>
    <t>Operating Hours:</t>
  </si>
  <si>
    <t>hours</t>
  </si>
  <si>
    <t>Comp Rated hp:</t>
  </si>
  <si>
    <t>hp</t>
  </si>
  <si>
    <t>Gen Rate hp:</t>
  </si>
  <si>
    <t>AP-42 Emissions Factors (07/00) for 4-Cycle Rich &lt;90% Load</t>
  </si>
  <si>
    <t>Proposed Emissions (tpy)</t>
  </si>
  <si>
    <t xml:space="preserve">* NOx, CO and PM calculations were carried out with emission test data </t>
  </si>
  <si>
    <t>Alternative scenario operating limit.</t>
  </si>
  <si>
    <t xml:space="preserve">Alternative scenario should not result in 12-month rolling emissions &gt; actuals + 40 tpy = </t>
  </si>
  <si>
    <t>tpy</t>
  </si>
  <si>
    <t>For six months emissions should not be &gt;</t>
  </si>
  <si>
    <t>For six months emissions from proposed project =</t>
  </si>
  <si>
    <t>For six months emissions, alternative scenario should not be &gt;</t>
  </si>
  <si>
    <t>As seen in the table, NOX for</t>
  </si>
  <si>
    <t>&lt;</t>
  </si>
  <si>
    <t>Table 5</t>
  </si>
  <si>
    <t>SUMMARY OF STATION EMISSIONS</t>
  </si>
  <si>
    <t>PRIMARY OPERATING SCENARIO</t>
  </si>
  <si>
    <t>Source Name</t>
  </si>
  <si>
    <t>Source ID</t>
  </si>
  <si>
    <t>Compressor Engine 1</t>
  </si>
  <si>
    <t>P1</t>
  </si>
  <si>
    <t>Compressor Engine 2</t>
  </si>
  <si>
    <t>P2</t>
  </si>
  <si>
    <t>Compressor Engine 3</t>
  </si>
  <si>
    <t>P3</t>
  </si>
  <si>
    <t>Generator Engine 1</t>
  </si>
  <si>
    <t>P4</t>
  </si>
  <si>
    <t>Generator Engine 2</t>
  </si>
  <si>
    <t>P5</t>
  </si>
  <si>
    <t>Compressor Turbine</t>
  </si>
  <si>
    <t>P7</t>
  </si>
  <si>
    <t>Diesel Generator Engine</t>
  </si>
  <si>
    <t>P8</t>
  </si>
  <si>
    <t>ALTERNATIVE OPERATING SCENARIO</t>
  </si>
  <si>
    <t xml:space="preserve">Diesel Generator Engine </t>
  </si>
  <si>
    <t>Table 6</t>
  </si>
  <si>
    <t>EXAMPLE EMISSION CALCULATIONS</t>
  </si>
  <si>
    <t>GE LM2500 TURBINE</t>
  </si>
  <si>
    <t>NOx Emissions</t>
  </si>
  <si>
    <t>Maximum Hourly (lb/hr)</t>
  </si>
  <si>
    <t>lb/hr =</t>
  </si>
  <si>
    <t>maximum hourly emission rate at 64% load at 00F x 1.15</t>
  </si>
  <si>
    <t>Annual (ton per year)</t>
  </si>
  <si>
    <t>tpy =</t>
  </si>
  <si>
    <t>Max hourly (lb/hr) x 8760 hrs/yr x 1/2000 tons/lb</t>
  </si>
  <si>
    <t>CO Emissions</t>
  </si>
  <si>
    <t>VOC Emissions</t>
  </si>
  <si>
    <t>maximum hourly emission rate at 64% load at 0oF x 10% NMHC x 1.15</t>
  </si>
  <si>
    <t>Particulate Emissions</t>
  </si>
  <si>
    <t>maximum heat rate at 50% load at 95oF x AP42 factor lb/MMBtu x 1.15</t>
  </si>
  <si>
    <t>385.80 MMBtu/hr x 6.6E-3 lb/MMBtu x 1.15</t>
  </si>
  <si>
    <t>SO2 Emissions</t>
  </si>
  <si>
    <t>385.80 MMBtu/hr x 3.4E-3 lb/MMBtu x 1.15</t>
  </si>
  <si>
    <t>Formaldehyde Emissions</t>
  </si>
  <si>
    <t>385.80 MMBtu/hr x 7.1E-4 lb/MMBtu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</si>
</sst>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"/>
    <numFmt numFmtId="166" formatCode="0.000"/>
    <numFmt numFmtId="167" formatCode="#,##0.000"/>
    <numFmt numFmtId="168" formatCode="0.0%"/>
    <numFmt numFmtId="169" formatCode="#,##0.0000"/>
  </numFmts>
  <fonts count="9" x14ac:knownFonts="1">
    <font>
      <sz val="10"/>
      <name val="Arial"/>
    </font>
    <font>
      <b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b/>
      <sz val="18"/>
      <name val="Arial"/>
    </font>
    <font>
      <b/>
      <sz val="16"/>
      <name val="Arial"/>
    </font>
    <font>
      <sz val="14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41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 style="double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 style="double">
        <color indexed="0"/>
      </left>
      <right/>
      <top/>
      <bottom/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/>
      <top/>
      <bottom style="double">
        <color indexed="0"/>
      </bottom>
      <diagonal/>
    </border>
    <border>
      <left style="double">
        <color indexed="0"/>
      </left>
      <right/>
      <top/>
      <bottom style="double">
        <color indexed="0"/>
      </bottom>
      <diagonal/>
    </border>
    <border>
      <left/>
      <right/>
      <top/>
      <bottom style="double">
        <color indexed="0"/>
      </bottom>
      <diagonal/>
    </border>
    <border>
      <left/>
      <right style="thin">
        <color indexed="0"/>
      </right>
      <top/>
      <bottom style="double">
        <color indexed="0"/>
      </bottom>
      <diagonal/>
    </border>
    <border>
      <left style="thick">
        <color indexed="0"/>
      </left>
      <right style="thin">
        <color indexed="0"/>
      </right>
      <top style="thick">
        <color indexed="0"/>
      </top>
      <bottom/>
      <diagonal/>
    </border>
    <border>
      <left style="thin">
        <color indexed="0"/>
      </left>
      <right style="thin">
        <color indexed="0"/>
      </right>
      <top style="thick">
        <color indexed="0"/>
      </top>
      <bottom/>
      <diagonal/>
    </border>
    <border>
      <left style="thin">
        <color indexed="0"/>
      </left>
      <right style="thick">
        <color indexed="0"/>
      </right>
      <top style="thick">
        <color indexed="0"/>
      </top>
      <bottom/>
      <diagonal/>
    </border>
    <border>
      <left style="thick">
        <color indexed="0"/>
      </left>
      <right style="thin">
        <color indexed="0"/>
      </right>
      <top style="thick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ck">
        <color indexed="0"/>
      </top>
      <bottom style="thin">
        <color indexed="0"/>
      </bottom>
      <diagonal/>
    </border>
    <border>
      <left style="thin">
        <color indexed="0"/>
      </left>
      <right style="thick">
        <color indexed="0"/>
      </right>
      <top style="thick">
        <color indexed="0"/>
      </top>
      <bottom style="thin">
        <color indexed="0"/>
      </bottom>
      <diagonal/>
    </border>
    <border>
      <left style="thin">
        <color indexed="0"/>
      </left>
      <right style="thick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ck">
        <color indexed="0"/>
      </bottom>
      <diagonal/>
    </border>
    <border>
      <left style="thin">
        <color indexed="0"/>
      </left>
      <right style="thick">
        <color indexed="0"/>
      </right>
      <top style="thin">
        <color indexed="0"/>
      </top>
      <bottom style="thick">
        <color indexed="0"/>
      </bottom>
      <diagonal/>
    </border>
    <border>
      <left style="thick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ck">
        <color indexed="0"/>
      </right>
      <top/>
      <bottom style="thin">
        <color indexed="0"/>
      </bottom>
      <diagonal/>
    </border>
    <border>
      <left style="thick">
        <color indexed="0"/>
      </left>
      <right/>
      <top/>
      <bottom style="thick">
        <color indexed="0"/>
      </bottom>
      <diagonal/>
    </border>
    <border>
      <left style="thick">
        <color indexed="0"/>
      </left>
      <right/>
      <top style="thick">
        <color indexed="0"/>
      </top>
      <bottom style="thin">
        <color indexed="0"/>
      </bottom>
      <diagonal/>
    </border>
    <border>
      <left style="thick">
        <color indexed="0"/>
      </left>
      <right/>
      <top style="thin">
        <color indexed="0"/>
      </top>
      <bottom style="thin">
        <color indexed="0"/>
      </bottom>
      <diagonal/>
    </border>
    <border>
      <left style="thick">
        <color indexed="0"/>
      </left>
      <right/>
      <top style="thin">
        <color indexed="0"/>
      </top>
      <bottom style="thick">
        <color indexed="0"/>
      </bottom>
      <diagonal/>
    </border>
    <border>
      <left style="thick">
        <color indexed="0"/>
      </left>
      <right/>
      <top/>
      <bottom style="thin">
        <color indexed="0"/>
      </bottom>
      <diagonal/>
    </border>
    <border>
      <left style="thick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ck">
        <color indexed="0"/>
      </left>
      <right style="thin">
        <color indexed="0"/>
      </right>
      <top style="thin">
        <color indexed="0"/>
      </top>
      <bottom style="thick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double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double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</borders>
  <cellStyleXfs count="5">
    <xf numFmtId="0" fontId="0" fillId="0" borderId="0">
      <alignment vertical="top"/>
    </xf>
    <xf numFmtId="4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55">
    <xf numFmtId="0" fontId="0" fillId="0" borderId="0" xfId="0" applyAlignment="1"/>
    <xf numFmtId="2" fontId="0" fillId="0" borderId="0" xfId="0" applyNumberFormat="1" applyAlignment="1" applyProtection="1"/>
    <xf numFmtId="0" fontId="1" fillId="0" borderId="0" xfId="0" applyFont="1" applyBorder="1" applyAlignment="1"/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/>
    <xf numFmtId="0" fontId="2" fillId="0" borderId="0" xfId="0" applyFont="1" applyBorder="1" applyAlignment="1"/>
    <xf numFmtId="0" fontId="2" fillId="0" borderId="1" xfId="0" applyFont="1" applyFill="1" applyBorder="1" applyAlignment="1"/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left"/>
    </xf>
    <xf numFmtId="0" fontId="0" fillId="0" borderId="0" xfId="0" applyBorder="1" applyAlignment="1"/>
    <xf numFmtId="0" fontId="0" fillId="0" borderId="0" xfId="0" applyFont="1" applyBorder="1" applyAlignment="1" applyProtection="1">
      <alignment horizontal="left"/>
    </xf>
    <xf numFmtId="0" fontId="1" fillId="0" borderId="2" xfId="0" applyFont="1" applyFill="1" applyBorder="1" applyAlignment="1" applyProtection="1">
      <alignment horizontal="left"/>
    </xf>
    <xf numFmtId="1" fontId="1" fillId="0" borderId="3" xfId="0" applyNumberFormat="1" applyFont="1" applyFill="1" applyBorder="1" applyAlignment="1" applyProtection="1"/>
    <xf numFmtId="0" fontId="1" fillId="0" borderId="3" xfId="0" applyFont="1" applyFill="1" applyBorder="1" applyAlignment="1"/>
    <xf numFmtId="164" fontId="1" fillId="0" borderId="3" xfId="0" applyNumberFormat="1" applyFont="1" applyFill="1" applyBorder="1" applyAlignment="1" applyProtection="1">
      <alignment horizontal="left"/>
    </xf>
    <xf numFmtId="0" fontId="1" fillId="0" borderId="3" xfId="0" applyFont="1" applyFill="1" applyBorder="1" applyAlignment="1" applyProtection="1">
      <alignment horizontal="left"/>
    </xf>
    <xf numFmtId="2" fontId="1" fillId="0" borderId="3" xfId="0" applyNumberFormat="1" applyFont="1" applyFill="1" applyBorder="1" applyAlignment="1" applyProtection="1">
      <alignment horizontal="left"/>
    </xf>
    <xf numFmtId="165" fontId="1" fillId="0" borderId="3" xfId="0" applyNumberFormat="1" applyFont="1" applyFill="1" applyBorder="1" applyAlignment="1" applyProtection="1">
      <alignment horizontal="left"/>
    </xf>
    <xf numFmtId="2" fontId="1" fillId="0" borderId="3" xfId="0" applyNumberFormat="1" applyFont="1" applyFill="1" applyBorder="1" applyAlignment="1" applyProtection="1"/>
    <xf numFmtId="2" fontId="1" fillId="0" borderId="4" xfId="0" applyNumberFormat="1" applyFont="1" applyFill="1" applyBorder="1" applyAlignment="1" applyProtection="1"/>
    <xf numFmtId="4" fontId="1" fillId="0" borderId="0" xfId="0" applyNumberFormat="1" applyFont="1" applyBorder="1" applyAlignment="1" applyProtection="1"/>
    <xf numFmtId="0" fontId="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" fillId="2" borderId="5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0" fontId="2" fillId="2" borderId="7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Continuous"/>
    </xf>
    <xf numFmtId="0" fontId="2" fillId="2" borderId="7" xfId="0" applyFont="1" applyFill="1" applyBorder="1" applyAlignment="1">
      <alignment horizontal="centerContinuous"/>
    </xf>
    <xf numFmtId="0" fontId="2" fillId="2" borderId="8" xfId="0" applyFont="1" applyFill="1" applyBorder="1" applyAlignment="1">
      <alignment horizontal="centerContinuous"/>
    </xf>
    <xf numFmtId="0" fontId="2" fillId="0" borderId="0" xfId="0" applyFont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Continuous"/>
    </xf>
    <xf numFmtId="0" fontId="2" fillId="2" borderId="0" xfId="0" applyFont="1" applyFill="1" applyBorder="1" applyAlignment="1">
      <alignment horizontal="center"/>
    </xf>
    <xf numFmtId="0" fontId="2" fillId="2" borderId="10" xfId="0" applyFont="1" applyFill="1" applyBorder="1" applyAlignment="1"/>
    <xf numFmtId="0" fontId="2" fillId="2" borderId="0" xfId="0" applyFont="1" applyFill="1" applyBorder="1" applyAlignment="1"/>
    <xf numFmtId="0" fontId="2" fillId="2" borderId="11" xfId="0" applyFont="1" applyFill="1" applyBorder="1" applyAlignment="1" applyProtection="1">
      <alignment horizontal="left"/>
    </xf>
    <xf numFmtId="0" fontId="2" fillId="2" borderId="12" xfId="0" applyFont="1" applyFill="1" applyBorder="1" applyAlignment="1" applyProtection="1">
      <alignment horizontal="center"/>
    </xf>
    <xf numFmtId="0" fontId="2" fillId="2" borderId="13" xfId="0" applyFont="1" applyFill="1" applyBorder="1" applyAlignment="1" applyProtection="1">
      <alignment horizontal="center"/>
    </xf>
    <xf numFmtId="0" fontId="2" fillId="2" borderId="14" xfId="0" applyFont="1" applyFill="1" applyBorder="1" applyAlignment="1" applyProtection="1">
      <alignment horizontal="center"/>
    </xf>
    <xf numFmtId="0" fontId="2" fillId="2" borderId="15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166" fontId="2" fillId="0" borderId="10" xfId="0" applyNumberFormat="1" applyFont="1" applyFill="1" applyBorder="1" applyAlignment="1" applyProtection="1">
      <alignment horizontal="left"/>
    </xf>
    <xf numFmtId="164" fontId="2" fillId="0" borderId="0" xfId="0" applyNumberFormat="1" applyFont="1" applyBorder="1" applyAlignment="1" applyProtection="1">
      <alignment horizontal="left"/>
    </xf>
    <xf numFmtId="166" fontId="2" fillId="0" borderId="0" xfId="0" applyNumberFormat="1" applyFont="1" applyBorder="1" applyAlignment="1" applyProtection="1">
      <alignment horizontal="left"/>
    </xf>
    <xf numFmtId="2" fontId="2" fillId="0" borderId="10" xfId="0" applyNumberFormat="1" applyFont="1" applyFill="1" applyBorder="1" applyAlignment="1" applyProtection="1"/>
    <xf numFmtId="2" fontId="2" fillId="0" borderId="0" xfId="0" applyNumberFormat="1" applyFont="1" applyBorder="1" applyAlignment="1" applyProtection="1"/>
    <xf numFmtId="0" fontId="2" fillId="0" borderId="11" xfId="0" applyFont="1" applyFill="1" applyBorder="1" applyAlignment="1"/>
    <xf numFmtId="0" fontId="2" fillId="0" borderId="9" xfId="0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/>
    <xf numFmtId="1" fontId="2" fillId="0" borderId="0" xfId="0" applyNumberFormat="1" applyFont="1" applyBorder="1" applyAlignment="1" applyProtection="1"/>
    <xf numFmtId="4" fontId="2" fillId="0" borderId="10" xfId="1" applyNumberFormat="1" applyFont="1" applyFill="1" applyBorder="1" applyAlignment="1" applyProtection="1">
      <alignment horizontal="center"/>
    </xf>
    <xf numFmtId="167" fontId="2" fillId="0" borderId="0" xfId="1" applyNumberFormat="1" applyFont="1" applyBorder="1" applyAlignment="1" applyProtection="1">
      <alignment horizontal="center"/>
    </xf>
    <xf numFmtId="0" fontId="5" fillId="0" borderId="0" xfId="0" applyFont="1" applyBorder="1" applyAlignment="1">
      <alignment horizontal="left"/>
    </xf>
    <xf numFmtId="2" fontId="2" fillId="0" borderId="11" xfId="0" applyNumberFormat="1" applyFont="1" applyFill="1" applyBorder="1" applyAlignment="1" applyProtection="1"/>
    <xf numFmtId="4" fontId="2" fillId="0" borderId="0" xfId="0" applyNumberFormat="1" applyFont="1" applyBorder="1" applyAlignment="1" applyProtection="1"/>
    <xf numFmtId="168" fontId="2" fillId="0" borderId="0" xfId="4" applyNumberFormat="1" applyFont="1" applyBorder="1" applyProtection="1"/>
    <xf numFmtId="0" fontId="2" fillId="0" borderId="12" xfId="0" applyFont="1" applyFill="1" applyBorder="1" applyAlignment="1" applyProtection="1">
      <alignment horizontal="center"/>
    </xf>
    <xf numFmtId="1" fontId="2" fillId="0" borderId="13" xfId="0" applyNumberFormat="1" applyFont="1" applyFill="1" applyBorder="1" applyAlignment="1" applyProtection="1"/>
    <xf numFmtId="1" fontId="2" fillId="0" borderId="14" xfId="0" applyNumberFormat="1" applyFont="1" applyFill="1" applyBorder="1" applyAlignment="1" applyProtection="1"/>
    <xf numFmtId="4" fontId="2" fillId="0" borderId="13" xfId="1" applyNumberFormat="1" applyFont="1" applyFill="1" applyBorder="1" applyAlignment="1" applyProtection="1">
      <alignment horizontal="center"/>
    </xf>
    <xf numFmtId="167" fontId="2" fillId="0" borderId="14" xfId="1" applyNumberFormat="1" applyFont="1" applyFill="1" applyBorder="1" applyAlignment="1" applyProtection="1">
      <alignment horizontal="center"/>
    </xf>
    <xf numFmtId="0" fontId="3" fillId="0" borderId="0" xfId="0" applyFont="1" applyBorder="1" applyAlignment="1">
      <alignment horizontal="center"/>
    </xf>
    <xf numFmtId="2" fontId="2" fillId="0" borderId="13" xfId="0" applyNumberFormat="1" applyFont="1" applyFill="1" applyBorder="1" applyAlignment="1" applyProtection="1"/>
    <xf numFmtId="2" fontId="2" fillId="0" borderId="14" xfId="0" applyNumberFormat="1" applyFont="1" applyFill="1" applyBorder="1" applyAlignment="1" applyProtection="1"/>
    <xf numFmtId="165" fontId="2" fillId="0" borderId="0" xfId="0" applyNumberFormat="1" applyFont="1" applyBorder="1" applyAlignment="1" applyProtection="1"/>
    <xf numFmtId="166" fontId="2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66" fontId="2" fillId="0" borderId="0" xfId="0" applyNumberFormat="1" applyFont="1" applyBorder="1" applyAlignment="1"/>
    <xf numFmtId="169" fontId="2" fillId="0" borderId="0" xfId="1" applyNumberFormat="1" applyFont="1" applyBorder="1" applyAlignment="1" applyProtection="1">
      <alignment horizontal="center"/>
    </xf>
    <xf numFmtId="169" fontId="2" fillId="0" borderId="14" xfId="1" applyNumberFormat="1" applyFont="1" applyFill="1" applyBorder="1" applyAlignment="1" applyProtection="1">
      <alignment horizontal="center"/>
    </xf>
    <xf numFmtId="4" fontId="1" fillId="0" borderId="0" xfId="0" applyNumberFormat="1" applyFont="1" applyBorder="1" applyAlignment="1" applyProtection="1">
      <alignment horizontal="center"/>
    </xf>
    <xf numFmtId="4" fontId="2" fillId="0" borderId="0" xfId="0" applyNumberFormat="1" applyFont="1" applyBorder="1" applyAlignment="1" applyProtection="1">
      <alignment horizontal="center"/>
    </xf>
    <xf numFmtId="167" fontId="2" fillId="0" borderId="0" xfId="1" applyNumberFormat="1" applyFont="1" applyFill="1" applyBorder="1" applyAlignment="1" applyProtection="1">
      <alignment horizontal="center"/>
    </xf>
    <xf numFmtId="4" fontId="2" fillId="0" borderId="14" xfId="1" applyNumberFormat="1" applyFont="1" applyFill="1" applyBorder="1" applyAlignment="1" applyProtection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/>
    <xf numFmtId="0" fontId="1" fillId="0" borderId="16" xfId="0" applyFont="1" applyFill="1" applyBorder="1" applyAlignment="1">
      <alignment horizontal="centerContinuous"/>
    </xf>
    <xf numFmtId="0" fontId="1" fillId="0" borderId="17" xfId="0" applyFont="1" applyFill="1" applyBorder="1" applyAlignment="1">
      <alignment horizontal="centerContinuous"/>
    </xf>
    <xf numFmtId="0" fontId="1" fillId="0" borderId="18" xfId="0" applyFont="1" applyFill="1" applyBorder="1" applyAlignment="1">
      <alignment horizontal="centerContinuous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right"/>
    </xf>
    <xf numFmtId="0" fontId="2" fillId="0" borderId="31" xfId="0" applyFont="1" applyFill="1" applyBorder="1" applyAlignment="1">
      <alignment horizontal="right"/>
    </xf>
    <xf numFmtId="0" fontId="1" fillId="0" borderId="32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2" fontId="0" fillId="0" borderId="0" xfId="0" applyNumberFormat="1" applyFill="1" applyAlignment="1" applyProtection="1"/>
    <xf numFmtId="0" fontId="0" fillId="0" borderId="0" xfId="0" applyFill="1" applyAlignment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/>
    <xf numFmtId="0" fontId="2" fillId="0" borderId="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26" xfId="0" applyFont="1" applyFill="1" applyBorder="1" applyAlignment="1"/>
    <xf numFmtId="0" fontId="2" fillId="0" borderId="2" xfId="0" applyFont="1" applyFill="1" applyBorder="1" applyAlignment="1"/>
    <xf numFmtId="0" fontId="2" fillId="0" borderId="5" xfId="0" applyFont="1" applyFill="1" applyBorder="1" applyAlignment="1"/>
    <xf numFmtId="164" fontId="2" fillId="0" borderId="0" xfId="0" applyNumberFormat="1" applyFont="1" applyBorder="1" applyAlignment="1"/>
    <xf numFmtId="0" fontId="2" fillId="0" borderId="36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11" fontId="2" fillId="0" borderId="1" xfId="0" applyNumberFormat="1" applyFont="1" applyFill="1" applyBorder="1" applyAlignment="1"/>
    <xf numFmtId="2" fontId="2" fillId="0" borderId="1" xfId="0" applyNumberFormat="1" applyFont="1" applyFill="1" applyBorder="1" applyAlignment="1"/>
    <xf numFmtId="0" fontId="2" fillId="0" borderId="37" xfId="0" applyFont="1" applyFill="1" applyBorder="1" applyAlignment="1">
      <alignment horizontal="center"/>
    </xf>
    <xf numFmtId="0" fontId="0" fillId="0" borderId="38" xfId="0" applyFill="1" applyBorder="1" applyAlignment="1"/>
    <xf numFmtId="0" fontId="2" fillId="0" borderId="0" xfId="0" applyFont="1" applyBorder="1" applyAlignment="1">
      <alignment horizontal="center"/>
    </xf>
    <xf numFmtId="2" fontId="2" fillId="0" borderId="35" xfId="0" applyNumberFormat="1" applyFont="1" applyFill="1" applyBorder="1" applyAlignment="1"/>
    <xf numFmtId="2" fontId="2" fillId="0" borderId="26" xfId="0" applyNumberFormat="1" applyFont="1" applyFill="1" applyBorder="1" applyAlignment="1"/>
    <xf numFmtId="0" fontId="2" fillId="0" borderId="38" xfId="0" applyFont="1" applyFill="1" applyBorder="1" applyAlignment="1">
      <alignment horizontal="center"/>
    </xf>
    <xf numFmtId="0" fontId="2" fillId="0" borderId="35" xfId="0" applyFont="1" applyFill="1" applyBorder="1" applyAlignment="1"/>
    <xf numFmtId="0" fontId="0" fillId="0" borderId="0" xfId="0" applyNumberFormat="1" applyFont="1" applyFill="1" applyBorder="1" applyAlignment="1" applyProtection="1"/>
    <xf numFmtId="1" fontId="2" fillId="0" borderId="0" xfId="0" applyNumberFormat="1" applyFont="1" applyBorder="1" applyAlignment="1"/>
    <xf numFmtId="0" fontId="3" fillId="0" borderId="0" xfId="0" applyFont="1" applyBorder="1" applyAlignment="1"/>
    <xf numFmtId="0" fontId="2" fillId="0" borderId="36" xfId="0" applyFont="1" applyFill="1" applyBorder="1" applyAlignment="1"/>
    <xf numFmtId="0" fontId="2" fillId="0" borderId="39" xfId="0" applyFont="1" applyFill="1" applyBorder="1" applyAlignment="1"/>
    <xf numFmtId="0" fontId="2" fillId="0" borderId="40" xfId="0" applyFont="1" applyFill="1" applyBorder="1" applyAlignment="1"/>
    <xf numFmtId="0" fontId="5" fillId="0" borderId="0" xfId="0" applyFont="1" applyBorder="1" applyAlignment="1"/>
    <xf numFmtId="0" fontId="2" fillId="0" borderId="14" xfId="0" applyFont="1" applyFill="1" applyBorder="1" applyAlignment="1">
      <alignment horizontal="center"/>
    </xf>
    <xf numFmtId="2" fontId="2" fillId="0" borderId="14" xfId="0" applyNumberFormat="1" applyFont="1" applyFill="1" applyBorder="1" applyAlignment="1"/>
    <xf numFmtId="2" fontId="2" fillId="0" borderId="3" xfId="0" applyNumberFormat="1" applyFont="1" applyFill="1" applyBorder="1" applyAlignment="1"/>
    <xf numFmtId="2" fontId="2" fillId="0" borderId="40" xfId="0" applyNumberFormat="1" applyFont="1" applyFill="1" applyBorder="1" applyAlignment="1"/>
    <xf numFmtId="2" fontId="2" fillId="0" borderId="39" xfId="0" applyNumberFormat="1" applyFont="1" applyFill="1" applyBorder="1" applyAlignment="1"/>
    <xf numFmtId="0" fontId="2" fillId="0" borderId="15" xfId="0" applyFont="1" applyFill="1" applyBorder="1" applyAlignment="1">
      <alignment horizontal="center"/>
    </xf>
    <xf numFmtId="2" fontId="2" fillId="0" borderId="11" xfId="0" applyNumberFormat="1" applyFont="1" applyFill="1" applyBorder="1" applyAlignment="1"/>
    <xf numFmtId="2" fontId="2" fillId="0" borderId="15" xfId="0" applyNumberFormat="1" applyFont="1" applyFill="1" applyBorder="1" applyAlignment="1"/>
    <xf numFmtId="2" fontId="2" fillId="0" borderId="4" xfId="0" applyNumberFormat="1" applyFont="1" applyFill="1" applyBorder="1" applyAlignment="1"/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Fill="1" applyBorder="1" applyAlignment="1"/>
    <xf numFmtId="0" fontId="2" fillId="0" borderId="12" xfId="0" applyFont="1" applyFill="1" applyBorder="1" applyAlignment="1">
      <alignment horizontal="center"/>
    </xf>
    <xf numFmtId="0" fontId="2" fillId="0" borderId="12" xfId="0" applyFont="1" applyFill="1" applyBorder="1" applyAlignment="1"/>
    <xf numFmtId="0" fontId="2" fillId="0" borderId="39" xfId="0" applyFont="1" applyFill="1" applyBorder="1" applyAlignment="1">
      <alignment horizontal="center"/>
    </xf>
    <xf numFmtId="0" fontId="0" fillId="0" borderId="36" xfId="0" applyFill="1" applyBorder="1" applyAlignment="1"/>
    <xf numFmtId="0" fontId="4" fillId="0" borderId="0" xfId="0" applyFont="1" applyBorder="1" applyAlignment="1">
      <alignment horizontal="center"/>
    </xf>
    <xf numFmtId="2" fontId="0" fillId="0" borderId="0" xfId="0" applyNumberFormat="1" applyAlignment="1"/>
    <xf numFmtId="0" fontId="0" fillId="0" borderId="0" xfId="0" applyFont="1" applyAlignment="1">
      <alignment horizontal="right"/>
    </xf>
  </cellXfs>
  <cellStyles count="5">
    <cellStyle name="Comma" xfId="1" builtinId="3"/>
    <cellStyle name="Comma0" xfId="2"/>
    <cellStyle name="Currency0" xfId="3"/>
    <cellStyle name="Normal" xfId="0" builtinId="0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7"/>
  <sheetViews>
    <sheetView tabSelected="1" workbookViewId="0"/>
  </sheetViews>
  <sheetFormatPr defaultRowHeight="12.75" x14ac:dyDescent="0.2"/>
  <cols>
    <col min="1" max="1" width="15.7109375" customWidth="1"/>
    <col min="2" max="2" width="10.85546875" customWidth="1"/>
  </cols>
  <sheetData>
    <row r="1" spans="1:11" ht="23.25" x14ac:dyDescent="0.3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3.25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ht="23.25" x14ac:dyDescent="0.35">
      <c r="A3" s="61" t="s">
        <v>2</v>
      </c>
      <c r="B3" s="61"/>
      <c r="C3" s="61"/>
      <c r="D3" s="61"/>
      <c r="E3" s="61"/>
      <c r="F3" s="61"/>
      <c r="G3" s="61"/>
      <c r="H3" s="61"/>
      <c r="I3" s="61"/>
      <c r="J3" s="61"/>
      <c r="K3" s="61"/>
    </row>
    <row r="5" spans="1:11" ht="18" x14ac:dyDescent="0.25">
      <c r="A5" s="70" t="s">
        <v>3</v>
      </c>
    </row>
    <row r="6" spans="1:11" ht="18" x14ac:dyDescent="0.25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</row>
    <row r="7" spans="1:11" ht="20.25" x14ac:dyDescent="0.3">
      <c r="A7" s="109" t="s">
        <v>4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</row>
    <row r="10" spans="1:11" ht="18" x14ac:dyDescent="0.25">
      <c r="A10" s="8" t="s">
        <v>5</v>
      </c>
      <c r="B10" s="8" t="s">
        <v>6</v>
      </c>
      <c r="C10" s="8"/>
      <c r="D10" s="8"/>
      <c r="E10" s="8"/>
      <c r="F10" s="110"/>
      <c r="G10" s="110"/>
      <c r="H10" s="110"/>
      <c r="I10" s="110"/>
      <c r="J10" s="8"/>
      <c r="K10" s="8"/>
    </row>
    <row r="11" spans="1:11" ht="18" x14ac:dyDescent="0.25">
      <c r="A11" s="8" t="s">
        <v>7</v>
      </c>
      <c r="B11" s="8" t="s">
        <v>8</v>
      </c>
      <c r="C11" s="8"/>
      <c r="D11" s="8"/>
      <c r="E11" s="8"/>
      <c r="F11" s="110"/>
      <c r="G11" s="110"/>
      <c r="H11" s="110"/>
      <c r="I11" s="110"/>
      <c r="J11" s="8"/>
      <c r="K11" s="8"/>
    </row>
    <row r="12" spans="1:11" ht="18" x14ac:dyDescent="0.25">
      <c r="A12" s="8" t="s">
        <v>9</v>
      </c>
      <c r="B12" s="8">
        <v>1020</v>
      </c>
      <c r="C12" s="8" t="s">
        <v>10</v>
      </c>
      <c r="D12" s="8"/>
      <c r="E12" s="8"/>
      <c r="F12" s="110"/>
      <c r="G12" s="110"/>
      <c r="H12" s="110"/>
      <c r="I12" s="110"/>
      <c r="J12" s="8"/>
      <c r="K12" s="8"/>
    </row>
    <row r="13" spans="1:11" ht="18" x14ac:dyDescent="0.25">
      <c r="A13" s="8" t="s">
        <v>11</v>
      </c>
      <c r="B13" s="8">
        <v>5063</v>
      </c>
      <c r="C13" s="8"/>
      <c r="D13" s="8"/>
      <c r="E13" s="8"/>
      <c r="F13" s="110"/>
      <c r="G13" s="110"/>
      <c r="H13" s="110"/>
      <c r="I13" s="110"/>
      <c r="J13" s="8"/>
      <c r="K13" s="8"/>
    </row>
    <row r="14" spans="1:11" ht="18" x14ac:dyDescent="0.25">
      <c r="A14" s="8" t="s">
        <v>12</v>
      </c>
      <c r="B14" s="117">
        <v>4</v>
      </c>
      <c r="C14" s="8" t="s">
        <v>13</v>
      </c>
      <c r="D14" s="8"/>
      <c r="E14" s="8"/>
      <c r="F14" s="110"/>
      <c r="G14" s="110"/>
      <c r="H14" s="110"/>
      <c r="I14" s="110"/>
      <c r="J14" s="8"/>
      <c r="K14" s="8"/>
    </row>
    <row r="15" spans="1:11" ht="18" x14ac:dyDescent="0.25">
      <c r="A15" s="8" t="s">
        <v>14</v>
      </c>
      <c r="B15" s="117">
        <v>4</v>
      </c>
      <c r="C15" s="8" t="s">
        <v>13</v>
      </c>
      <c r="D15" s="8"/>
      <c r="E15" s="8"/>
      <c r="F15" s="110"/>
      <c r="G15" s="110"/>
      <c r="H15" s="110"/>
      <c r="I15" s="110"/>
      <c r="J15" s="8"/>
      <c r="K15" s="8"/>
    </row>
    <row r="16" spans="1:11" ht="18" x14ac:dyDescent="0.25">
      <c r="A16" s="8" t="s">
        <v>15</v>
      </c>
      <c r="B16" s="8">
        <v>40916</v>
      </c>
      <c r="C16" s="8" t="s">
        <v>16</v>
      </c>
      <c r="D16" s="8"/>
      <c r="E16" s="8"/>
      <c r="F16" s="110"/>
      <c r="G16" s="110"/>
      <c r="H16" s="110"/>
      <c r="I16" s="110"/>
      <c r="J16" s="8"/>
      <c r="K16" s="8"/>
    </row>
    <row r="17" spans="1:11" ht="18" x14ac:dyDescent="0.25">
      <c r="A17" s="8"/>
      <c r="B17" s="8">
        <v>33526</v>
      </c>
      <c r="C17" s="8" t="s">
        <v>17</v>
      </c>
      <c r="D17" s="8"/>
      <c r="E17" s="8"/>
      <c r="F17" s="110"/>
      <c r="G17" s="110"/>
      <c r="H17" s="110"/>
      <c r="I17" s="110"/>
      <c r="J17" s="8"/>
      <c r="K17" s="8"/>
    </row>
    <row r="18" spans="1:11" ht="18" x14ac:dyDescent="0.25">
      <c r="A18" s="8" t="s">
        <v>18</v>
      </c>
      <c r="B18" s="8">
        <v>9429</v>
      </c>
      <c r="C18" s="8" t="s">
        <v>19</v>
      </c>
      <c r="D18" s="8"/>
      <c r="E18" s="8"/>
      <c r="F18" s="110"/>
      <c r="G18" s="110"/>
      <c r="H18" s="110"/>
      <c r="I18" s="110"/>
      <c r="J18" s="8"/>
      <c r="K18" s="8"/>
    </row>
    <row r="19" spans="1:11" ht="18" x14ac:dyDescent="0.25">
      <c r="A19" s="8"/>
      <c r="B19" s="7">
        <f>+B16*B18/1000000</f>
        <v>385.796964</v>
      </c>
      <c r="C19" s="8" t="s">
        <v>20</v>
      </c>
      <c r="D19" s="8" t="s">
        <v>21</v>
      </c>
      <c r="E19" s="8"/>
      <c r="F19" s="110"/>
      <c r="G19" s="110"/>
      <c r="H19" s="110"/>
      <c r="I19" s="110"/>
      <c r="J19" s="8"/>
      <c r="K19" s="8"/>
    </row>
    <row r="20" spans="1:11" ht="18" x14ac:dyDescent="0.25">
      <c r="A20" s="8" t="s">
        <v>22</v>
      </c>
      <c r="B20" s="7">
        <v>6298</v>
      </c>
      <c r="C20" s="8" t="s">
        <v>23</v>
      </c>
      <c r="D20" s="8"/>
      <c r="E20" s="8"/>
      <c r="F20" s="110"/>
      <c r="G20" s="110"/>
      <c r="H20" s="110"/>
      <c r="I20" s="110"/>
      <c r="J20" s="8"/>
      <c r="K20" s="8"/>
    </row>
    <row r="21" spans="1:11" ht="18" x14ac:dyDescent="0.25">
      <c r="A21" s="8"/>
      <c r="B21" s="7">
        <f>+B20*B17/1000000</f>
        <v>211.146748</v>
      </c>
      <c r="C21" s="8" t="s">
        <v>20</v>
      </c>
      <c r="D21" s="8" t="s">
        <v>24</v>
      </c>
      <c r="E21" s="8"/>
      <c r="F21" s="110"/>
      <c r="G21" s="110"/>
      <c r="H21" s="110"/>
      <c r="I21" s="110"/>
      <c r="J21" s="8"/>
      <c r="K21" s="8"/>
    </row>
    <row r="22" spans="1:11" ht="18" x14ac:dyDescent="0.25">
      <c r="A22" s="8" t="s">
        <v>25</v>
      </c>
      <c r="B22" s="8">
        <v>6100</v>
      </c>
      <c r="C22" s="8" t="s">
        <v>26</v>
      </c>
      <c r="D22" s="8"/>
      <c r="E22" s="8"/>
      <c r="F22" s="110"/>
      <c r="G22" s="110"/>
      <c r="H22" s="110"/>
      <c r="I22" s="110"/>
      <c r="J22" s="8"/>
      <c r="K22" s="8"/>
    </row>
    <row r="23" spans="1:11" ht="18" x14ac:dyDescent="0.25">
      <c r="A23" s="8" t="s">
        <v>27</v>
      </c>
      <c r="B23" s="7">
        <f>+B19/B12</f>
        <v>0.37823231764705884</v>
      </c>
      <c r="C23" s="8" t="s">
        <v>28</v>
      </c>
      <c r="D23" s="8" t="s">
        <v>29</v>
      </c>
      <c r="E23" s="8"/>
      <c r="F23" s="110"/>
      <c r="G23" s="110"/>
      <c r="H23" s="110"/>
      <c r="I23" s="110"/>
      <c r="J23" s="8"/>
      <c r="K23" s="8"/>
    </row>
    <row r="24" spans="1:11" ht="18" x14ac:dyDescent="0.25">
      <c r="A24" s="8" t="s">
        <v>30</v>
      </c>
      <c r="B24" s="7">
        <f>+B21/B12</f>
        <v>0.20700661568627451</v>
      </c>
      <c r="C24" s="8" t="s">
        <v>28</v>
      </c>
      <c r="D24" s="8" t="s">
        <v>31</v>
      </c>
      <c r="E24" s="8"/>
      <c r="F24" s="110"/>
      <c r="G24" s="110"/>
      <c r="H24" s="110"/>
      <c r="I24" s="110"/>
      <c r="J24" s="8"/>
      <c r="K24" s="8"/>
    </row>
    <row r="25" spans="1:11" ht="18" x14ac:dyDescent="0.25">
      <c r="A25" s="8" t="s">
        <v>32</v>
      </c>
      <c r="B25" s="7">
        <f>+B24*8760</f>
        <v>1813.3779534117648</v>
      </c>
      <c r="C25" s="8" t="s">
        <v>33</v>
      </c>
      <c r="D25" s="8" t="s">
        <v>34</v>
      </c>
      <c r="E25" s="8"/>
      <c r="F25" s="110"/>
      <c r="G25" s="110"/>
      <c r="H25" s="110"/>
      <c r="I25" s="110"/>
      <c r="J25" s="8"/>
      <c r="K25" s="8"/>
    </row>
    <row r="26" spans="1:11" ht="18" x14ac:dyDescent="0.25">
      <c r="A26" s="110"/>
      <c r="B26" s="110"/>
      <c r="C26" s="110"/>
      <c r="D26" s="110"/>
      <c r="E26" s="110"/>
      <c r="F26" s="110"/>
      <c r="G26" s="110"/>
      <c r="H26" s="110"/>
      <c r="I26" s="110"/>
      <c r="J26" s="8"/>
      <c r="K26" s="8"/>
    </row>
    <row r="27" spans="1:11" ht="18" x14ac:dyDescent="0.25">
      <c r="A27" s="110" t="s">
        <v>35</v>
      </c>
      <c r="B27" s="110"/>
      <c r="C27" s="110"/>
      <c r="D27" s="110"/>
      <c r="E27" s="110"/>
      <c r="F27" s="110"/>
      <c r="G27" s="110"/>
      <c r="H27" s="110"/>
      <c r="I27" s="110"/>
      <c r="J27" s="8"/>
      <c r="K27" s="8"/>
    </row>
    <row r="28" spans="1:11" ht="18" x14ac:dyDescent="0.25">
      <c r="A28" s="111" t="s">
        <v>36</v>
      </c>
      <c r="B28" s="118" t="s">
        <v>37</v>
      </c>
      <c r="C28" s="122" t="s">
        <v>38</v>
      </c>
      <c r="D28" s="123"/>
      <c r="E28" s="122" t="s">
        <v>39</v>
      </c>
      <c r="F28" s="123"/>
      <c r="G28" s="127" t="s">
        <v>40</v>
      </c>
      <c r="H28" s="123"/>
      <c r="I28" s="110"/>
      <c r="J28" s="8"/>
      <c r="K28" s="8"/>
    </row>
    <row r="29" spans="1:11" ht="18" x14ac:dyDescent="0.25">
      <c r="A29" s="112" t="s">
        <v>41</v>
      </c>
      <c r="B29" s="119" t="s">
        <v>42</v>
      </c>
      <c r="C29" s="124" t="s">
        <v>43</v>
      </c>
      <c r="D29" s="3" t="s">
        <v>44</v>
      </c>
      <c r="E29" s="3" t="s">
        <v>43</v>
      </c>
      <c r="F29" s="3" t="s">
        <v>44</v>
      </c>
      <c r="G29" s="3" t="s">
        <v>43</v>
      </c>
      <c r="H29" s="3" t="s">
        <v>44</v>
      </c>
      <c r="I29" s="110"/>
    </row>
    <row r="30" spans="1:11" ht="18" x14ac:dyDescent="0.25">
      <c r="A30" s="3">
        <v>0</v>
      </c>
      <c r="B30" s="3" t="s">
        <v>45</v>
      </c>
      <c r="C30" s="121">
        <v>24.6</v>
      </c>
      <c r="D30" s="121">
        <f t="shared" ref="D30:D40" si="0">+C30*8760/2000</f>
        <v>107.748</v>
      </c>
      <c r="E30" s="121">
        <v>15</v>
      </c>
      <c r="F30" s="121">
        <f t="shared" ref="F30:F40" si="1">+E30*8760/2000</f>
        <v>65.7</v>
      </c>
      <c r="G30" s="9">
        <v>5.1000000000000005</v>
      </c>
      <c r="H30" s="121">
        <f t="shared" ref="H30:H40" si="2">+G30*8760/2000</f>
        <v>22.338000000000005</v>
      </c>
      <c r="I30" s="110"/>
    </row>
    <row r="31" spans="1:11" ht="18" x14ac:dyDescent="0.25">
      <c r="A31" s="3">
        <v>0</v>
      </c>
      <c r="B31" s="3">
        <v>64</v>
      </c>
      <c r="C31" s="121">
        <v>27.8</v>
      </c>
      <c r="D31" s="121">
        <f t="shared" si="0"/>
        <v>121.764</v>
      </c>
      <c r="E31" s="121">
        <v>16.899999999999999</v>
      </c>
      <c r="F31" s="121">
        <f t="shared" si="1"/>
        <v>74.022000000000006</v>
      </c>
      <c r="G31" s="9">
        <v>5.9</v>
      </c>
      <c r="H31" s="121">
        <f t="shared" si="2"/>
        <v>25.841999999999999</v>
      </c>
      <c r="I31" s="110"/>
    </row>
    <row r="32" spans="1:11" ht="18" x14ac:dyDescent="0.25">
      <c r="A32" s="3">
        <v>0</v>
      </c>
      <c r="B32" s="3">
        <v>50</v>
      </c>
      <c r="C32" s="121">
        <v>25.2</v>
      </c>
      <c r="D32" s="121">
        <f t="shared" si="0"/>
        <v>110.376</v>
      </c>
      <c r="E32" s="121">
        <v>15.3</v>
      </c>
      <c r="F32" s="121">
        <f t="shared" si="1"/>
        <v>67.013999999999996</v>
      </c>
      <c r="G32" s="9">
        <v>5.4</v>
      </c>
      <c r="H32" s="121">
        <f t="shared" si="2"/>
        <v>23.652000000000001</v>
      </c>
      <c r="I32" s="110"/>
    </row>
    <row r="33" spans="1:11" ht="18" x14ac:dyDescent="0.25">
      <c r="A33" s="3">
        <v>12.8</v>
      </c>
      <c r="B33" s="3" t="s">
        <v>45</v>
      </c>
      <c r="C33" s="121">
        <v>24.900000000000002</v>
      </c>
      <c r="D33" s="121">
        <f t="shared" si="0"/>
        <v>109.06200000000001</v>
      </c>
      <c r="E33" s="121">
        <v>15.200000000000001</v>
      </c>
      <c r="F33" s="121">
        <f t="shared" si="1"/>
        <v>66.575999999999993</v>
      </c>
      <c r="G33" s="9">
        <v>5.1000000000000005</v>
      </c>
      <c r="H33" s="121">
        <f t="shared" si="2"/>
        <v>22.338000000000005</v>
      </c>
      <c r="I33" s="110"/>
    </row>
    <row r="34" spans="1:11" ht="18" x14ac:dyDescent="0.25">
      <c r="A34" s="3">
        <v>12.8</v>
      </c>
      <c r="B34" s="3">
        <v>50</v>
      </c>
      <c r="C34" s="121">
        <v>24.7</v>
      </c>
      <c r="D34" s="121">
        <f t="shared" si="0"/>
        <v>108.18600000000001</v>
      </c>
      <c r="E34" s="121">
        <v>15</v>
      </c>
      <c r="F34" s="121">
        <f t="shared" si="1"/>
        <v>65.7</v>
      </c>
      <c r="G34" s="9">
        <v>5.3</v>
      </c>
      <c r="H34" s="121">
        <f t="shared" si="2"/>
        <v>23.213999999999999</v>
      </c>
      <c r="I34" s="110"/>
    </row>
    <row r="35" spans="1:11" ht="18" x14ac:dyDescent="0.25">
      <c r="A35" s="3">
        <v>40</v>
      </c>
      <c r="B35" s="3" t="s">
        <v>45</v>
      </c>
      <c r="C35" s="121">
        <v>22.8</v>
      </c>
      <c r="D35" s="121">
        <f t="shared" si="0"/>
        <v>99.864000000000004</v>
      </c>
      <c r="E35" s="121">
        <v>13.8</v>
      </c>
      <c r="F35" s="121">
        <f t="shared" si="1"/>
        <v>60.444000000000003</v>
      </c>
      <c r="G35" s="9">
        <v>4.7</v>
      </c>
      <c r="H35" s="121">
        <f t="shared" si="2"/>
        <v>20.585999999999999</v>
      </c>
      <c r="I35" s="110"/>
    </row>
    <row r="36" spans="1:11" ht="18" x14ac:dyDescent="0.25">
      <c r="A36" s="3">
        <v>40</v>
      </c>
      <c r="B36" s="3">
        <v>50</v>
      </c>
      <c r="C36" s="121">
        <v>22.5</v>
      </c>
      <c r="D36" s="121">
        <f t="shared" si="0"/>
        <v>98.55</v>
      </c>
      <c r="E36" s="121">
        <v>13.700000000000001</v>
      </c>
      <c r="F36" s="121">
        <f t="shared" si="1"/>
        <v>60.006000000000007</v>
      </c>
      <c r="G36" s="9">
        <v>4.8</v>
      </c>
      <c r="H36" s="121">
        <f t="shared" si="2"/>
        <v>21.024000000000001</v>
      </c>
      <c r="I36" s="110"/>
    </row>
    <row r="37" spans="1:11" ht="18" x14ac:dyDescent="0.25">
      <c r="A37" s="3">
        <v>60</v>
      </c>
      <c r="B37" s="3" t="s">
        <v>45</v>
      </c>
      <c r="C37" s="121">
        <v>21.2</v>
      </c>
      <c r="D37" s="121">
        <f t="shared" si="0"/>
        <v>92.855999999999995</v>
      </c>
      <c r="E37" s="121">
        <v>12.9</v>
      </c>
      <c r="F37" s="121">
        <f t="shared" si="1"/>
        <v>56.502000000000002</v>
      </c>
      <c r="G37" s="9">
        <v>4.4000000000000004</v>
      </c>
      <c r="H37" s="121">
        <f t="shared" si="2"/>
        <v>19.271999999999998</v>
      </c>
      <c r="I37" s="110"/>
    </row>
    <row r="38" spans="1:11" ht="18" x14ac:dyDescent="0.25">
      <c r="A38" s="3">
        <v>60</v>
      </c>
      <c r="B38" s="3">
        <v>50</v>
      </c>
      <c r="C38" s="121">
        <v>14.5</v>
      </c>
      <c r="D38" s="121">
        <f t="shared" si="0"/>
        <v>63.51</v>
      </c>
      <c r="E38" s="121">
        <v>8.8000000000000007</v>
      </c>
      <c r="F38" s="121">
        <f t="shared" si="1"/>
        <v>38.543999999999997</v>
      </c>
      <c r="G38" s="9">
        <v>3</v>
      </c>
      <c r="H38" s="121">
        <f t="shared" si="2"/>
        <v>13.14</v>
      </c>
      <c r="I38" s="110"/>
    </row>
    <row r="39" spans="1:11" ht="18" x14ac:dyDescent="0.25">
      <c r="A39" s="3">
        <v>95</v>
      </c>
      <c r="B39" s="3" t="s">
        <v>45</v>
      </c>
      <c r="C39" s="121">
        <v>18.5</v>
      </c>
      <c r="D39" s="121">
        <f t="shared" si="0"/>
        <v>81.03</v>
      </c>
      <c r="E39" s="121">
        <v>11.3</v>
      </c>
      <c r="F39" s="121">
        <f t="shared" si="1"/>
        <v>49.494</v>
      </c>
      <c r="G39" s="9">
        <v>3.8000000000000003</v>
      </c>
      <c r="H39" s="121">
        <f t="shared" si="2"/>
        <v>16.643999999999998</v>
      </c>
      <c r="I39" s="110"/>
    </row>
    <row r="40" spans="1:11" ht="18" x14ac:dyDescent="0.25">
      <c r="A40" s="113">
        <v>95</v>
      </c>
      <c r="B40" s="113">
        <v>50</v>
      </c>
      <c r="C40" s="125">
        <v>13.1</v>
      </c>
      <c r="D40" s="125">
        <f t="shared" si="0"/>
        <v>57.378</v>
      </c>
      <c r="E40" s="125">
        <v>8</v>
      </c>
      <c r="F40" s="125">
        <f t="shared" si="1"/>
        <v>35.04</v>
      </c>
      <c r="G40" s="128">
        <v>2.7</v>
      </c>
      <c r="H40" s="125">
        <f t="shared" si="2"/>
        <v>11.826000000000001</v>
      </c>
      <c r="I40" s="110"/>
    </row>
    <row r="41" spans="1:11" ht="18" x14ac:dyDescent="0.25">
      <c r="A41" s="114"/>
      <c r="B41" s="114" t="s">
        <v>46</v>
      </c>
      <c r="C41" s="126">
        <f t="shared" ref="C41:H41" si="3">MAX(C30:C40)</f>
        <v>27.8</v>
      </c>
      <c r="D41" s="126">
        <f t="shared" si="3"/>
        <v>121.764</v>
      </c>
      <c r="E41" s="126">
        <f t="shared" si="3"/>
        <v>16.899999999999999</v>
      </c>
      <c r="F41" s="126">
        <f t="shared" si="3"/>
        <v>74.022000000000006</v>
      </c>
      <c r="G41" s="126">
        <f t="shared" si="3"/>
        <v>5.9</v>
      </c>
      <c r="H41" s="126">
        <f t="shared" si="3"/>
        <v>25.841999999999999</v>
      </c>
      <c r="I41" s="110"/>
    </row>
    <row r="42" spans="1:11" ht="18" x14ac:dyDescent="0.25">
      <c r="A42" s="115"/>
      <c r="B42" s="9" t="s">
        <v>47</v>
      </c>
      <c r="C42" s="121">
        <v>24.900000000000002</v>
      </c>
      <c r="D42" s="121">
        <f>+C42*4.38</f>
        <v>109.06200000000001</v>
      </c>
      <c r="E42" s="121">
        <f>+E33</f>
        <v>15.200000000000001</v>
      </c>
      <c r="F42" s="121">
        <f>+E42*4.38</f>
        <v>66.576000000000008</v>
      </c>
      <c r="G42" s="121">
        <f>+G33</f>
        <v>5.1000000000000005</v>
      </c>
      <c r="H42" s="121">
        <f>+G42*4.38</f>
        <v>22.338000000000001</v>
      </c>
      <c r="I42" s="110"/>
    </row>
    <row r="43" spans="1:11" ht="18" x14ac:dyDescent="0.25">
      <c r="G43" s="110"/>
      <c r="H43" s="110"/>
      <c r="I43" s="110"/>
    </row>
    <row r="44" spans="1:11" ht="15" x14ac:dyDescent="0.2">
      <c r="A44" s="8" t="s">
        <v>48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t="15" x14ac:dyDescent="0.2">
      <c r="A45" s="9" t="s">
        <v>49</v>
      </c>
      <c r="B45" s="120">
        <v>6.6E-3</v>
      </c>
      <c r="C45" s="9" t="s">
        <v>50</v>
      </c>
      <c r="D45" s="8"/>
      <c r="E45" s="8"/>
      <c r="F45" s="8"/>
      <c r="G45" s="8"/>
      <c r="H45" s="8"/>
      <c r="I45" s="8"/>
      <c r="J45" s="8"/>
      <c r="K45" s="8"/>
    </row>
    <row r="46" spans="1:11" ht="15" x14ac:dyDescent="0.2">
      <c r="A46" s="9" t="s">
        <v>51</v>
      </c>
      <c r="B46" s="120">
        <v>3.3999999999999998E-3</v>
      </c>
      <c r="C46" s="9" t="s">
        <v>50</v>
      </c>
      <c r="D46" s="8"/>
      <c r="E46" s="8"/>
      <c r="F46" s="8"/>
      <c r="G46" s="8"/>
      <c r="H46" s="8"/>
      <c r="I46" s="8"/>
      <c r="J46" s="8"/>
      <c r="K46" s="8"/>
    </row>
    <row r="47" spans="1:11" ht="15" x14ac:dyDescent="0.2">
      <c r="A47" s="9" t="s">
        <v>52</v>
      </c>
      <c r="B47" s="120">
        <v>7.1000000000000002E-4</v>
      </c>
      <c r="C47" s="9" t="s">
        <v>50</v>
      </c>
      <c r="D47" s="8"/>
      <c r="E47" s="8"/>
      <c r="F47" s="8"/>
      <c r="G47" s="8"/>
      <c r="H47" s="8"/>
      <c r="I47" s="8"/>
      <c r="J47" s="8"/>
      <c r="K47" s="8"/>
    </row>
    <row r="48" spans="1:11" ht="1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ht="15.75" x14ac:dyDescent="0.25">
      <c r="A49" s="2" t="s">
        <v>53</v>
      </c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ht="15" x14ac:dyDescent="0.2">
      <c r="A50" s="116"/>
      <c r="B50" s="118" t="s">
        <v>54</v>
      </c>
      <c r="C50" s="118" t="s">
        <v>55</v>
      </c>
      <c r="D50" s="8"/>
    </row>
    <row r="51" spans="1:11" ht="15" x14ac:dyDescent="0.2">
      <c r="A51" s="115" t="s">
        <v>56</v>
      </c>
      <c r="B51" s="119" t="s">
        <v>43</v>
      </c>
      <c r="C51" s="119" t="s">
        <v>44</v>
      </c>
      <c r="D51" s="8"/>
    </row>
    <row r="52" spans="1:11" ht="15" x14ac:dyDescent="0.2">
      <c r="A52" s="9" t="s">
        <v>57</v>
      </c>
      <c r="B52" s="121">
        <f>+C41</f>
        <v>27.8</v>
      </c>
      <c r="C52" s="121">
        <f t="shared" ref="C52:C57" si="4">B52*4.38</f>
        <v>121.764</v>
      </c>
      <c r="D52" s="8" t="s">
        <v>58</v>
      </c>
    </row>
    <row r="53" spans="1:11" ht="15" x14ac:dyDescent="0.2">
      <c r="A53" s="9" t="s">
        <v>39</v>
      </c>
      <c r="B53" s="121">
        <f>+E41</f>
        <v>16.899999999999999</v>
      </c>
      <c r="C53" s="121">
        <f t="shared" si="4"/>
        <v>74.021999999999991</v>
      </c>
      <c r="D53" s="8" t="s">
        <v>58</v>
      </c>
    </row>
    <row r="54" spans="1:11" ht="15" x14ac:dyDescent="0.2">
      <c r="A54" s="9" t="s">
        <v>59</v>
      </c>
      <c r="B54" s="121">
        <f>+G41*0.1</f>
        <v>0.59000000000000008</v>
      </c>
      <c r="C54" s="121">
        <f t="shared" si="4"/>
        <v>2.5842000000000005</v>
      </c>
      <c r="D54" s="8" t="s">
        <v>58</v>
      </c>
    </row>
    <row r="55" spans="1:11" ht="15" x14ac:dyDescent="0.2">
      <c r="A55" s="9" t="s">
        <v>49</v>
      </c>
      <c r="B55" s="121">
        <f>+B45*$B$19</f>
        <v>2.5462599624000002</v>
      </c>
      <c r="C55" s="121">
        <f t="shared" si="4"/>
        <v>11.152618635312001</v>
      </c>
      <c r="D55" s="8"/>
    </row>
    <row r="56" spans="1:11" ht="15" x14ac:dyDescent="0.2">
      <c r="A56" s="9" t="s">
        <v>51</v>
      </c>
      <c r="B56" s="121">
        <f>+B46*$B$19</f>
        <v>1.3117096775999999</v>
      </c>
      <c r="C56" s="121">
        <f t="shared" si="4"/>
        <v>5.7452883878879994</v>
      </c>
      <c r="D56" s="8"/>
    </row>
    <row r="57" spans="1:11" ht="15" x14ac:dyDescent="0.2">
      <c r="A57" s="9" t="s">
        <v>52</v>
      </c>
      <c r="B57" s="121">
        <f>+B47*B19</f>
        <v>0.27391584444</v>
      </c>
      <c r="C57" s="121">
        <f t="shared" si="4"/>
        <v>1.1997513986471999</v>
      </c>
      <c r="D57" s="8"/>
    </row>
    <row r="59" spans="1:11" ht="15.75" x14ac:dyDescent="0.25">
      <c r="A59" s="2" t="s">
        <v>60</v>
      </c>
    </row>
    <row r="60" spans="1:11" ht="15" x14ac:dyDescent="0.2">
      <c r="A60" s="116"/>
      <c r="B60" s="118" t="s">
        <v>54</v>
      </c>
      <c r="C60" s="118" t="s">
        <v>55</v>
      </c>
    </row>
    <row r="61" spans="1:11" ht="15" x14ac:dyDescent="0.2">
      <c r="A61" s="115" t="s">
        <v>56</v>
      </c>
      <c r="B61" s="119" t="s">
        <v>43</v>
      </c>
      <c r="C61" s="119" t="s">
        <v>44</v>
      </c>
    </row>
    <row r="62" spans="1:11" ht="15" x14ac:dyDescent="0.2">
      <c r="A62" s="9" t="s">
        <v>57</v>
      </c>
      <c r="B62" s="121">
        <f t="shared" ref="B62:C67" si="5">+B52*1.15</f>
        <v>31.97</v>
      </c>
      <c r="C62" s="121">
        <f t="shared" si="5"/>
        <v>140.02859999999998</v>
      </c>
    </row>
    <row r="63" spans="1:11" ht="15" x14ac:dyDescent="0.2">
      <c r="A63" s="9" t="s">
        <v>39</v>
      </c>
      <c r="B63" s="121">
        <f t="shared" si="5"/>
        <v>19.434999999999995</v>
      </c>
      <c r="C63" s="121">
        <f t="shared" si="5"/>
        <v>85.125299999999982</v>
      </c>
    </row>
    <row r="64" spans="1:11" ht="15" x14ac:dyDescent="0.2">
      <c r="A64" s="9" t="s">
        <v>59</v>
      </c>
      <c r="B64" s="121">
        <f t="shared" si="5"/>
        <v>0.67849999999999999</v>
      </c>
      <c r="C64" s="121">
        <f t="shared" si="5"/>
        <v>2.9718300000000002</v>
      </c>
    </row>
    <row r="65" spans="1:3" ht="15" x14ac:dyDescent="0.2">
      <c r="A65" s="9" t="s">
        <v>49</v>
      </c>
      <c r="B65" s="121">
        <f t="shared" si="5"/>
        <v>2.9281989567600002</v>
      </c>
      <c r="C65" s="121">
        <f t="shared" si="5"/>
        <v>12.825511430608799</v>
      </c>
    </row>
    <row r="66" spans="1:3" ht="15" x14ac:dyDescent="0.2">
      <c r="A66" s="9" t="s">
        <v>51</v>
      </c>
      <c r="B66" s="121">
        <f t="shared" si="5"/>
        <v>1.5084661292399997</v>
      </c>
      <c r="C66" s="121">
        <f t="shared" si="5"/>
        <v>6.6070816460711992</v>
      </c>
    </row>
    <row r="67" spans="1:3" ht="15" x14ac:dyDescent="0.2">
      <c r="A67" s="9" t="s">
        <v>52</v>
      </c>
      <c r="B67" s="121">
        <f t="shared" si="5"/>
        <v>0.31500322110599999</v>
      </c>
      <c r="C67" s="121">
        <f t="shared" si="5"/>
        <v>1.3797141084442799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topLeftCell="A23" workbookViewId="0"/>
  </sheetViews>
  <sheetFormatPr defaultRowHeight="12.75" x14ac:dyDescent="0.2"/>
  <sheetData>
    <row r="1" spans="1:12" ht="23.25" x14ac:dyDescent="0.35">
      <c r="A1" s="61" t="s">
        <v>0</v>
      </c>
      <c r="B1" s="129"/>
      <c r="C1" s="129"/>
    </row>
    <row r="2" spans="1:12" ht="23.25" x14ac:dyDescent="0.35">
      <c r="A2" s="61" t="s">
        <v>1</v>
      </c>
      <c r="B2" s="129"/>
      <c r="C2" s="129"/>
    </row>
    <row r="3" spans="1:12" ht="23.25" x14ac:dyDescent="0.35">
      <c r="A3" s="61" t="s">
        <v>2</v>
      </c>
      <c r="B3" s="129"/>
      <c r="C3" s="129"/>
    </row>
    <row r="4" spans="1:12" x14ac:dyDescent="0.2">
      <c r="B4" s="129"/>
      <c r="C4" s="129"/>
    </row>
    <row r="5" spans="1:12" x14ac:dyDescent="0.2">
      <c r="B5" s="129"/>
      <c r="C5" s="129"/>
    </row>
    <row r="6" spans="1:12" ht="18" x14ac:dyDescent="0.25">
      <c r="A6" s="70" t="s">
        <v>61</v>
      </c>
    </row>
    <row r="8" spans="1:12" ht="20.25" x14ac:dyDescent="0.3">
      <c r="A8" s="109" t="s">
        <v>62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</row>
    <row r="11" spans="1:12" ht="18" x14ac:dyDescent="0.25">
      <c r="A11" s="8" t="s">
        <v>5</v>
      </c>
      <c r="B11" s="8" t="s">
        <v>63</v>
      </c>
      <c r="C11" s="8"/>
      <c r="D11" s="8"/>
      <c r="E11" s="8"/>
      <c r="F11" s="110"/>
      <c r="G11" s="110"/>
      <c r="H11" s="110"/>
      <c r="I11" s="110"/>
      <c r="J11" s="8"/>
      <c r="K11" s="8"/>
      <c r="L11" s="8"/>
    </row>
    <row r="12" spans="1:12" ht="18" x14ac:dyDescent="0.25">
      <c r="A12" s="8" t="s">
        <v>7</v>
      </c>
      <c r="B12" s="8" t="s">
        <v>64</v>
      </c>
      <c r="C12" s="8"/>
      <c r="D12" s="8"/>
      <c r="E12" s="8"/>
      <c r="F12" s="110"/>
      <c r="G12" s="110"/>
      <c r="H12" s="110"/>
      <c r="I12" s="110"/>
      <c r="J12" s="8"/>
      <c r="K12" s="8"/>
      <c r="L12" s="8"/>
    </row>
    <row r="13" spans="1:12" ht="18" x14ac:dyDescent="0.25">
      <c r="A13" s="8" t="s">
        <v>11</v>
      </c>
      <c r="B13" s="8">
        <v>5063</v>
      </c>
      <c r="C13" s="8"/>
      <c r="D13" s="8"/>
      <c r="E13" s="8"/>
      <c r="F13" s="110"/>
      <c r="G13" s="110"/>
      <c r="H13" s="110"/>
      <c r="I13" s="110"/>
      <c r="J13" s="8"/>
      <c r="K13" s="8"/>
      <c r="L13" s="8"/>
    </row>
    <row r="14" spans="1:12" ht="18" x14ac:dyDescent="0.25">
      <c r="A14" s="8" t="s">
        <v>65</v>
      </c>
      <c r="B14" s="8">
        <v>519</v>
      </c>
      <c r="C14" s="8" t="s">
        <v>66</v>
      </c>
      <c r="D14" s="8"/>
      <c r="E14" s="8"/>
      <c r="F14" s="110"/>
      <c r="G14" s="110"/>
      <c r="H14" s="110"/>
      <c r="I14" s="110"/>
      <c r="J14" s="8"/>
      <c r="K14" s="8"/>
      <c r="L14" s="8"/>
    </row>
    <row r="15" spans="1:12" ht="18" x14ac:dyDescent="0.25">
      <c r="A15" s="8" t="s">
        <v>67</v>
      </c>
      <c r="B15" s="8">
        <v>26.400000000000002</v>
      </c>
      <c r="C15" s="8" t="s">
        <v>68</v>
      </c>
      <c r="D15" s="8"/>
      <c r="E15" s="8"/>
      <c r="F15" s="110"/>
      <c r="G15" s="110"/>
      <c r="H15" s="110"/>
      <c r="I15" s="110"/>
      <c r="J15" s="8"/>
      <c r="K15" s="8"/>
      <c r="L15" s="8"/>
    </row>
    <row r="16" spans="1:12" ht="18" x14ac:dyDescent="0.25">
      <c r="A16" s="8"/>
      <c r="B16" s="7">
        <f>+B15*8.34*0.87</f>
        <v>191.55312000000001</v>
      </c>
      <c r="C16" s="8" t="s">
        <v>69</v>
      </c>
      <c r="D16" s="8"/>
      <c r="E16" s="8"/>
      <c r="F16" s="110"/>
      <c r="G16" s="110"/>
      <c r="H16" s="110"/>
      <c r="I16" s="110"/>
      <c r="J16" s="8"/>
      <c r="K16" s="8"/>
      <c r="L16" s="8"/>
    </row>
    <row r="17" spans="1:12" ht="18" x14ac:dyDescent="0.25">
      <c r="A17" s="8" t="s">
        <v>70</v>
      </c>
      <c r="B17" s="8">
        <v>19300</v>
      </c>
      <c r="C17" s="8" t="s">
        <v>71</v>
      </c>
      <c r="D17" s="8"/>
      <c r="E17" s="8"/>
      <c r="F17" s="110"/>
      <c r="G17" s="110"/>
      <c r="H17" s="110"/>
      <c r="I17" s="110"/>
      <c r="J17" s="8"/>
      <c r="K17" s="8"/>
      <c r="L17" s="8"/>
    </row>
    <row r="18" spans="1:12" ht="18" x14ac:dyDescent="0.25">
      <c r="A18" s="8" t="s">
        <v>72</v>
      </c>
      <c r="B18" s="7">
        <f>+B17*B16/1000000</f>
        <v>3.6969752160000002</v>
      </c>
      <c r="C18" s="8" t="s">
        <v>20</v>
      </c>
      <c r="D18" s="8"/>
      <c r="E18" s="8"/>
      <c r="F18" s="110"/>
      <c r="G18" s="110"/>
      <c r="H18" s="110"/>
      <c r="I18" s="110"/>
      <c r="J18" s="8"/>
      <c r="K18" s="8"/>
      <c r="L18" s="8"/>
    </row>
    <row r="19" spans="1:12" ht="18" x14ac:dyDescent="0.25">
      <c r="A19" s="8"/>
      <c r="B19" s="130">
        <f>+B18*1000000/B14</f>
        <v>7123.2663121387286</v>
      </c>
      <c r="C19" s="8" t="s">
        <v>73</v>
      </c>
      <c r="D19" s="8"/>
      <c r="E19" s="8"/>
      <c r="F19" s="110"/>
      <c r="G19" s="110"/>
      <c r="H19" s="110"/>
      <c r="I19" s="110"/>
      <c r="J19" s="8"/>
      <c r="K19" s="8"/>
      <c r="L19" s="8"/>
    </row>
    <row r="20" spans="1:12" ht="18" x14ac:dyDescent="0.25">
      <c r="A20" s="8" t="s">
        <v>25</v>
      </c>
      <c r="B20" s="8">
        <v>1800</v>
      </c>
      <c r="C20" s="8" t="s">
        <v>26</v>
      </c>
      <c r="D20" s="8"/>
      <c r="E20" s="8"/>
      <c r="F20" s="110"/>
      <c r="G20" s="110"/>
      <c r="H20" s="110"/>
      <c r="I20" s="110"/>
      <c r="J20" s="8"/>
      <c r="K20" s="8"/>
      <c r="L20" s="8"/>
    </row>
    <row r="21" spans="1:12" ht="18" x14ac:dyDescent="0.25">
      <c r="A21" s="8"/>
      <c r="B21" s="8"/>
      <c r="C21" s="8"/>
      <c r="D21" s="8"/>
      <c r="E21" s="8"/>
      <c r="F21" s="110"/>
      <c r="G21" s="110"/>
      <c r="H21" s="110"/>
      <c r="I21" s="110"/>
      <c r="J21" s="8"/>
      <c r="K21" s="8"/>
      <c r="L21" s="8"/>
    </row>
    <row r="22" spans="1:12" ht="18" x14ac:dyDescent="0.25">
      <c r="A22" s="8" t="s">
        <v>74</v>
      </c>
      <c r="B22" s="8">
        <v>2000</v>
      </c>
      <c r="C22" s="8" t="s">
        <v>75</v>
      </c>
      <c r="D22" s="8"/>
      <c r="E22" s="8"/>
      <c r="F22" s="110"/>
      <c r="G22" s="110"/>
      <c r="H22" s="110"/>
      <c r="I22" s="110"/>
      <c r="J22" s="8"/>
      <c r="K22" s="8"/>
      <c r="L22" s="8"/>
    </row>
    <row r="23" spans="1:12" ht="18" x14ac:dyDescent="0.25">
      <c r="A23" s="110"/>
      <c r="B23" s="110"/>
      <c r="C23" s="110"/>
      <c r="D23" s="110"/>
      <c r="E23" s="110"/>
      <c r="F23" s="110"/>
      <c r="G23" s="110"/>
      <c r="H23" s="110"/>
      <c r="I23" s="110"/>
      <c r="J23" s="8"/>
      <c r="K23" s="8"/>
      <c r="L23" s="8"/>
    </row>
    <row r="24" spans="1:12" ht="18" x14ac:dyDescent="0.25">
      <c r="A24" s="8" t="s">
        <v>76</v>
      </c>
      <c r="G24" s="110"/>
      <c r="H24" s="110"/>
      <c r="I24" s="110"/>
    </row>
    <row r="25" spans="1:12" ht="15" x14ac:dyDescent="0.2">
      <c r="A25" s="9" t="s">
        <v>56</v>
      </c>
      <c r="B25" s="3" t="s">
        <v>77</v>
      </c>
      <c r="C25" s="3" t="s">
        <v>78</v>
      </c>
      <c r="D25" s="3" t="s">
        <v>79</v>
      </c>
      <c r="E25" s="8"/>
      <c r="F25" s="8"/>
      <c r="G25" s="8"/>
      <c r="H25" s="8"/>
      <c r="I25" s="8"/>
      <c r="J25" s="8"/>
      <c r="K25" s="8"/>
      <c r="L25" s="8"/>
    </row>
    <row r="26" spans="1:12" ht="15" x14ac:dyDescent="0.2">
      <c r="A26" s="9" t="s">
        <v>80</v>
      </c>
      <c r="B26" s="9">
        <v>9.23</v>
      </c>
      <c r="C26" s="9" t="s">
        <v>81</v>
      </c>
      <c r="D26" s="9" t="s">
        <v>82</v>
      </c>
      <c r="E26" s="8"/>
      <c r="F26" s="8"/>
      <c r="G26" s="8"/>
      <c r="H26" s="8"/>
      <c r="I26" s="8"/>
      <c r="J26" s="8"/>
      <c r="K26" s="8"/>
      <c r="L26" s="8"/>
    </row>
    <row r="27" spans="1:12" ht="15" x14ac:dyDescent="0.2">
      <c r="A27" s="9" t="s">
        <v>39</v>
      </c>
      <c r="B27" s="9">
        <v>9.65</v>
      </c>
      <c r="C27" s="9" t="s">
        <v>81</v>
      </c>
      <c r="D27" s="9" t="s">
        <v>82</v>
      </c>
      <c r="E27" s="8"/>
      <c r="F27" s="8"/>
      <c r="G27" s="8"/>
      <c r="H27" s="8"/>
      <c r="I27" s="8"/>
      <c r="J27" s="8"/>
      <c r="K27" s="8"/>
      <c r="L27" s="8"/>
    </row>
    <row r="28" spans="1:12" ht="15" x14ac:dyDescent="0.2">
      <c r="A28" s="9" t="s">
        <v>40</v>
      </c>
      <c r="B28" s="9">
        <v>0.12</v>
      </c>
      <c r="C28" s="9" t="s">
        <v>81</v>
      </c>
      <c r="D28" s="9" t="s">
        <v>82</v>
      </c>
      <c r="E28" s="8"/>
      <c r="F28" s="8"/>
      <c r="G28" s="8"/>
      <c r="H28" s="8"/>
      <c r="I28" s="8"/>
      <c r="J28" s="8"/>
      <c r="K28" s="8"/>
      <c r="L28" s="8"/>
    </row>
    <row r="29" spans="1:12" ht="15" x14ac:dyDescent="0.2">
      <c r="A29" s="9" t="s">
        <v>49</v>
      </c>
      <c r="B29" s="121">
        <v>2.82</v>
      </c>
      <c r="C29" s="9" t="s">
        <v>81</v>
      </c>
      <c r="D29" s="9" t="s">
        <v>82</v>
      </c>
      <c r="E29" s="8"/>
      <c r="F29" s="8"/>
      <c r="G29" s="8"/>
      <c r="H29" s="8"/>
      <c r="I29" s="8"/>
      <c r="J29" s="8"/>
      <c r="K29" s="8"/>
      <c r="L29" s="8"/>
    </row>
    <row r="30" spans="1:12" ht="15" x14ac:dyDescent="0.2">
      <c r="A30" s="9" t="s">
        <v>51</v>
      </c>
      <c r="B30" s="121">
        <v>0.28999999999999998</v>
      </c>
      <c r="C30" s="9" t="s">
        <v>50</v>
      </c>
      <c r="D30" s="9" t="s">
        <v>83</v>
      </c>
      <c r="E30" s="8"/>
      <c r="F30" s="8"/>
      <c r="G30" s="8"/>
      <c r="H30" s="8"/>
      <c r="I30" s="8"/>
      <c r="J30" s="8"/>
      <c r="K30" s="8"/>
      <c r="L30" s="8"/>
    </row>
    <row r="31" spans="1:12" ht="15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ht="15.75" x14ac:dyDescent="0.25">
      <c r="A32" s="2" t="s">
        <v>84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4" ht="15" x14ac:dyDescent="0.2">
      <c r="A33" s="116"/>
      <c r="B33" s="118" t="s">
        <v>54</v>
      </c>
      <c r="C33" s="118" t="s">
        <v>55</v>
      </c>
      <c r="D33" s="8"/>
    </row>
    <row r="34" spans="1:4" ht="15" x14ac:dyDescent="0.2">
      <c r="A34" s="115" t="s">
        <v>56</v>
      </c>
      <c r="B34" s="119" t="s">
        <v>43</v>
      </c>
      <c r="C34" s="119" t="s">
        <v>44</v>
      </c>
      <c r="D34" s="8"/>
    </row>
    <row r="35" spans="1:4" ht="15" x14ac:dyDescent="0.2">
      <c r="A35" s="9" t="s">
        <v>57</v>
      </c>
      <c r="B35" s="121">
        <f>+B26</f>
        <v>9.23</v>
      </c>
      <c r="C35" s="121">
        <f>+B35*$B$22/2000</f>
        <v>9.23</v>
      </c>
      <c r="D35" s="8"/>
    </row>
    <row r="36" spans="1:4" ht="15" x14ac:dyDescent="0.2">
      <c r="A36" s="9" t="s">
        <v>39</v>
      </c>
      <c r="B36" s="121">
        <f>+B27</f>
        <v>9.65</v>
      </c>
      <c r="C36" s="121">
        <f>+B36*$B$22/2000</f>
        <v>9.65</v>
      </c>
      <c r="D36" s="8"/>
    </row>
    <row r="37" spans="1:4" ht="15" x14ac:dyDescent="0.2">
      <c r="A37" s="9" t="s">
        <v>59</v>
      </c>
      <c r="B37" s="121">
        <f>+B28</f>
        <v>0.12</v>
      </c>
      <c r="C37" s="121">
        <f>+B37*$B$22/2000</f>
        <v>0.12</v>
      </c>
      <c r="D37" s="8"/>
    </row>
    <row r="38" spans="1:4" ht="15" x14ac:dyDescent="0.2">
      <c r="A38" s="9" t="s">
        <v>49</v>
      </c>
      <c r="B38" s="121">
        <f>+B29</f>
        <v>2.82</v>
      </c>
      <c r="C38" s="121">
        <f>+B38*$B$22/2000</f>
        <v>2.82</v>
      </c>
      <c r="D38" s="8"/>
    </row>
    <row r="39" spans="1:4" ht="15" x14ac:dyDescent="0.2">
      <c r="A39" s="9" t="s">
        <v>51</v>
      </c>
      <c r="B39" s="121">
        <f>+B30*B18</f>
        <v>1.07212281264</v>
      </c>
      <c r="C39" s="121">
        <f>+B39*$B$22/2000</f>
        <v>1.07212281264</v>
      </c>
      <c r="D39" s="8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7"/>
  <sheetViews>
    <sheetView topLeftCell="A29" workbookViewId="0"/>
  </sheetViews>
  <sheetFormatPr defaultRowHeight="12.75" x14ac:dyDescent="0.2"/>
  <cols>
    <col min="1" max="1" width="14" customWidth="1"/>
    <col min="2" max="2" width="10.42578125" customWidth="1"/>
    <col min="3" max="3" width="11.7109375" customWidth="1"/>
    <col min="4" max="4" width="12.5703125" customWidth="1"/>
  </cols>
  <sheetData>
    <row r="1" spans="1:6" ht="18" x14ac:dyDescent="0.25">
      <c r="A1" s="83" t="s">
        <v>0</v>
      </c>
      <c r="B1" s="8"/>
      <c r="C1" s="8"/>
      <c r="D1" s="8"/>
      <c r="E1" s="8"/>
      <c r="F1" s="8"/>
    </row>
    <row r="2" spans="1:6" ht="18" x14ac:dyDescent="0.25">
      <c r="A2" s="83" t="s">
        <v>1</v>
      </c>
      <c r="B2" s="8"/>
      <c r="C2" s="8"/>
      <c r="D2" s="8"/>
      <c r="E2" s="8"/>
      <c r="F2" s="8"/>
    </row>
    <row r="3" spans="1:6" ht="18" x14ac:dyDescent="0.25">
      <c r="A3" s="83" t="s">
        <v>2</v>
      </c>
      <c r="B3" s="8"/>
      <c r="C3" s="8"/>
      <c r="D3" s="8"/>
      <c r="E3" s="8"/>
      <c r="F3" s="8"/>
    </row>
    <row r="4" spans="1:6" ht="15" x14ac:dyDescent="0.2">
      <c r="A4" s="8"/>
      <c r="B4" s="8"/>
      <c r="C4" s="8"/>
      <c r="D4" s="8"/>
      <c r="E4" s="8"/>
      <c r="F4" s="8"/>
    </row>
    <row r="5" spans="1:6" ht="15" x14ac:dyDescent="0.2">
      <c r="A5" s="8"/>
      <c r="B5" s="8"/>
      <c r="C5" s="8"/>
      <c r="D5" s="8"/>
      <c r="E5" s="8"/>
      <c r="F5" s="8"/>
    </row>
    <row r="6" spans="1:6" ht="15.75" x14ac:dyDescent="0.25">
      <c r="A6" s="2" t="s">
        <v>85</v>
      </c>
      <c r="B6" s="8"/>
      <c r="C6" s="8"/>
      <c r="D6" s="8"/>
      <c r="E6" s="8"/>
      <c r="F6" s="8"/>
    </row>
    <row r="7" spans="1:6" ht="15" x14ac:dyDescent="0.2">
      <c r="A7" s="3" t="s">
        <v>86</v>
      </c>
      <c r="B7" s="3" t="s">
        <v>87</v>
      </c>
      <c r="C7" s="3" t="s">
        <v>88</v>
      </c>
      <c r="D7" s="3" t="s">
        <v>89</v>
      </c>
      <c r="E7" s="8"/>
      <c r="F7" s="8"/>
    </row>
    <row r="8" spans="1:6" ht="15" x14ac:dyDescent="0.2">
      <c r="A8" s="3" t="s">
        <v>90</v>
      </c>
      <c r="B8" s="4">
        <f>'1999 EIQ'!J13</f>
        <v>99.432394489999993</v>
      </c>
      <c r="C8" s="4">
        <f>'1999 EIQ'!K13</f>
        <v>10.06859139</v>
      </c>
      <c r="D8" s="4">
        <f>'1999 EIQ'!L13</f>
        <v>1.2198186916876842E-9</v>
      </c>
      <c r="E8" s="8"/>
      <c r="F8" s="8"/>
    </row>
    <row r="9" spans="1:6" ht="15" x14ac:dyDescent="0.2">
      <c r="A9" s="3" t="s">
        <v>91</v>
      </c>
      <c r="B9" s="4">
        <f>'1999 EIQ'!J14</f>
        <v>77.481183333333334</v>
      </c>
      <c r="C9" s="4">
        <f>'1999 EIQ'!K14</f>
        <v>12.925983333333333</v>
      </c>
      <c r="D9" s="4">
        <f>'1999 EIQ'!L14</f>
        <v>1.469602638494506E-9</v>
      </c>
      <c r="E9" s="8"/>
      <c r="F9" s="8"/>
    </row>
    <row r="10" spans="1:6" ht="15" x14ac:dyDescent="0.2">
      <c r="A10" s="3" t="s">
        <v>92</v>
      </c>
      <c r="B10" s="4">
        <f>'1999 EIQ'!J15</f>
        <v>115.83811272000001</v>
      </c>
      <c r="C10" s="4">
        <f>'1999 EIQ'!K15</f>
        <v>11.89247082</v>
      </c>
      <c r="D10" s="4">
        <f>'1999 EIQ'!L15</f>
        <v>6.9842501631422069E-10</v>
      </c>
      <c r="E10" s="8"/>
      <c r="F10" s="8"/>
    </row>
    <row r="11" spans="1:6" ht="15" x14ac:dyDescent="0.2">
      <c r="A11" s="3">
        <v>121</v>
      </c>
      <c r="B11" s="4">
        <v>0</v>
      </c>
      <c r="C11" s="4">
        <v>0</v>
      </c>
      <c r="D11" s="4">
        <v>0</v>
      </c>
      <c r="E11" s="8"/>
      <c r="F11" s="8"/>
    </row>
    <row r="12" spans="1:6" ht="15" x14ac:dyDescent="0.2">
      <c r="A12" s="3">
        <v>122</v>
      </c>
      <c r="B12" s="4">
        <v>0</v>
      </c>
      <c r="C12" s="4">
        <v>0</v>
      </c>
      <c r="D12" s="4">
        <v>0</v>
      </c>
      <c r="E12" s="8"/>
      <c r="F12" s="8"/>
    </row>
    <row r="13" spans="1:6" ht="15" x14ac:dyDescent="0.2">
      <c r="A13" s="3" t="s">
        <v>93</v>
      </c>
      <c r="B13" s="4">
        <f>SUM(B8:B12)</f>
        <v>292.75169054333332</v>
      </c>
      <c r="C13" s="4">
        <f>SUM(C8:C12)</f>
        <v>34.887045543333329</v>
      </c>
      <c r="D13" s="4">
        <f>SUM(D8:D12)</f>
        <v>3.3878463464964109E-9</v>
      </c>
      <c r="E13" s="8"/>
      <c r="F13" s="8"/>
    </row>
    <row r="14" spans="1:6" ht="15" x14ac:dyDescent="0.2">
      <c r="A14" s="5"/>
      <c r="B14" s="6"/>
      <c r="C14" s="6"/>
      <c r="D14" s="6"/>
      <c r="E14" s="8"/>
      <c r="F14" s="8"/>
    </row>
    <row r="15" spans="1:6" ht="15.75" x14ac:dyDescent="0.25">
      <c r="A15" s="2" t="s">
        <v>94</v>
      </c>
      <c r="B15" s="7"/>
      <c r="C15" s="7"/>
      <c r="D15" s="7"/>
      <c r="E15" s="8"/>
      <c r="F15" s="8"/>
    </row>
    <row r="16" spans="1:6" ht="15" x14ac:dyDescent="0.2">
      <c r="A16" s="3" t="s">
        <v>86</v>
      </c>
      <c r="B16" s="4" t="s">
        <v>87</v>
      </c>
      <c r="C16" s="4" t="s">
        <v>88</v>
      </c>
      <c r="D16" s="4" t="s">
        <v>89</v>
      </c>
      <c r="E16" s="8"/>
      <c r="F16" s="8"/>
    </row>
    <row r="17" spans="1:6" ht="15" x14ac:dyDescent="0.2">
      <c r="A17" s="3" t="s">
        <v>90</v>
      </c>
      <c r="B17" s="4">
        <f>'2000 EIQ'!J13</f>
        <v>350.3665166666666</v>
      </c>
      <c r="C17" s="4">
        <f>'2000 EIQ'!K13</f>
        <v>35.478349999999999</v>
      </c>
      <c r="D17" s="4">
        <f>'2000 EIQ'!L13</f>
        <v>1.2198186916876842E-9</v>
      </c>
      <c r="E17" s="8"/>
      <c r="F17" s="8"/>
    </row>
    <row r="18" spans="1:6" ht="15" x14ac:dyDescent="0.2">
      <c r="A18" s="3" t="s">
        <v>91</v>
      </c>
      <c r="B18" s="4">
        <f>'2000 EIQ'!J14</f>
        <v>249.29480000000001</v>
      </c>
      <c r="C18" s="4">
        <f>'2000 EIQ'!K14</f>
        <v>41.589199999999998</v>
      </c>
      <c r="D18" s="4">
        <f>'2000 EIQ'!L14</f>
        <v>1.469602638494506E-9</v>
      </c>
      <c r="E18" s="8"/>
      <c r="F18" s="8"/>
    </row>
    <row r="19" spans="1:6" ht="15" x14ac:dyDescent="0.2">
      <c r="A19" s="3" t="s">
        <v>92</v>
      </c>
      <c r="B19" s="4">
        <f>'2000 EIQ'!J15</f>
        <v>278.16800000000006</v>
      </c>
      <c r="C19" s="4">
        <f>'2000 EIQ'!K15</f>
        <v>28.557999999999996</v>
      </c>
      <c r="D19" s="4">
        <f>'2000 EIQ'!L15</f>
        <v>6.9842501631422069E-10</v>
      </c>
      <c r="E19" s="8"/>
      <c r="F19" s="8"/>
    </row>
    <row r="20" spans="1:6" ht="15" x14ac:dyDescent="0.2">
      <c r="A20" s="3">
        <v>121</v>
      </c>
      <c r="B20" s="4">
        <f>'2000 EIQ'!J16</f>
        <v>1.8399999999999999</v>
      </c>
      <c r="C20" s="4">
        <f>'2000 EIQ'!K16</f>
        <v>0.4</v>
      </c>
      <c r="D20" s="4">
        <f>'2000 EIQ'!L16</f>
        <v>8.0038399999999996E-2</v>
      </c>
      <c r="E20" s="8"/>
      <c r="F20" s="8"/>
    </row>
    <row r="21" spans="1:6" ht="15" x14ac:dyDescent="0.2">
      <c r="A21" s="3">
        <v>122</v>
      </c>
      <c r="B21" s="4">
        <v>0</v>
      </c>
      <c r="C21" s="4">
        <v>0</v>
      </c>
      <c r="D21" s="4">
        <v>0</v>
      </c>
      <c r="E21" s="8"/>
      <c r="F21" s="8"/>
    </row>
    <row r="22" spans="1:6" ht="15" x14ac:dyDescent="0.2">
      <c r="A22" s="3" t="s">
        <v>93</v>
      </c>
      <c r="B22" s="4">
        <f>SUM(B17:B21)</f>
        <v>879.66931666666676</v>
      </c>
      <c r="C22" s="4">
        <f>SUM(C17:C21)</f>
        <v>106.02555</v>
      </c>
      <c r="D22" s="4">
        <f>SUM(D17:D21)</f>
        <v>8.0038403387846346E-2</v>
      </c>
      <c r="E22" s="8"/>
      <c r="F22" s="8"/>
    </row>
    <row r="23" spans="1:6" ht="15" x14ac:dyDescent="0.2">
      <c r="A23" s="5"/>
      <c r="B23" s="6"/>
      <c r="C23" s="6"/>
      <c r="D23" s="6"/>
      <c r="E23" s="8"/>
      <c r="F23" s="8"/>
    </row>
    <row r="24" spans="1:6" ht="15.75" x14ac:dyDescent="0.25">
      <c r="A24" s="2" t="s">
        <v>95</v>
      </c>
      <c r="B24" s="7"/>
      <c r="C24" s="7"/>
      <c r="D24" s="7"/>
      <c r="E24" s="8"/>
      <c r="F24" s="8"/>
    </row>
    <row r="25" spans="1:6" ht="15" x14ac:dyDescent="0.2">
      <c r="A25" s="3" t="s">
        <v>86</v>
      </c>
      <c r="B25" s="4" t="s">
        <v>87</v>
      </c>
      <c r="C25" s="4" t="s">
        <v>88</v>
      </c>
      <c r="D25" s="4" t="s">
        <v>89</v>
      </c>
      <c r="E25" s="8"/>
      <c r="F25" s="8"/>
    </row>
    <row r="26" spans="1:6" ht="15" x14ac:dyDescent="0.2">
      <c r="A26" s="3" t="s">
        <v>90</v>
      </c>
      <c r="B26" s="4">
        <f t="shared" ref="B26:D30" si="0">(B8+B17)/2</f>
        <v>224.89945557833329</v>
      </c>
      <c r="C26" s="4">
        <f t="shared" si="0"/>
        <v>22.773470695</v>
      </c>
      <c r="D26" s="4">
        <f t="shared" si="0"/>
        <v>1.2198186916876842E-9</v>
      </c>
      <c r="E26" s="8"/>
      <c r="F26" s="8"/>
    </row>
    <row r="27" spans="1:6" ht="15" x14ac:dyDescent="0.2">
      <c r="A27" s="3" t="s">
        <v>91</v>
      </c>
      <c r="B27" s="4">
        <f t="shared" si="0"/>
        <v>163.38799166666666</v>
      </c>
      <c r="C27" s="4">
        <f t="shared" si="0"/>
        <v>27.257591666666666</v>
      </c>
      <c r="D27" s="4">
        <f t="shared" si="0"/>
        <v>1.469602638494506E-9</v>
      </c>
      <c r="E27" s="8"/>
      <c r="F27" s="8"/>
    </row>
    <row r="28" spans="1:6" ht="15" x14ac:dyDescent="0.2">
      <c r="A28" s="3" t="s">
        <v>92</v>
      </c>
      <c r="B28" s="4">
        <f t="shared" si="0"/>
        <v>197.00305636000004</v>
      </c>
      <c r="C28" s="4">
        <f t="shared" si="0"/>
        <v>20.225235409999996</v>
      </c>
      <c r="D28" s="4">
        <f t="shared" si="0"/>
        <v>6.9842501631422069E-10</v>
      </c>
      <c r="E28" s="8"/>
      <c r="F28" s="8"/>
    </row>
    <row r="29" spans="1:6" ht="15" x14ac:dyDescent="0.2">
      <c r="A29" s="3">
        <v>121</v>
      </c>
      <c r="B29" s="4">
        <f t="shared" si="0"/>
        <v>0.91999999999999993</v>
      </c>
      <c r="C29" s="4">
        <f t="shared" si="0"/>
        <v>0.2</v>
      </c>
      <c r="D29" s="4">
        <f t="shared" si="0"/>
        <v>4.0019199999999998E-2</v>
      </c>
      <c r="E29" s="8"/>
      <c r="F29" s="8"/>
    </row>
    <row r="30" spans="1:6" ht="15" x14ac:dyDescent="0.2">
      <c r="A30" s="3">
        <v>122</v>
      </c>
      <c r="B30" s="4">
        <f t="shared" si="0"/>
        <v>0</v>
      </c>
      <c r="C30" s="4">
        <f t="shared" si="0"/>
        <v>0</v>
      </c>
      <c r="D30" s="4">
        <f t="shared" si="0"/>
        <v>0</v>
      </c>
      <c r="E30" s="8"/>
      <c r="F30" s="8"/>
    </row>
    <row r="31" spans="1:6" ht="15" x14ac:dyDescent="0.2">
      <c r="A31" s="3" t="s">
        <v>93</v>
      </c>
      <c r="B31" s="4">
        <f>SUM(B26:B30)</f>
        <v>586.21050360499999</v>
      </c>
      <c r="C31" s="4">
        <f>SUM(C26:C30)</f>
        <v>70.456297771666669</v>
      </c>
      <c r="D31" s="4">
        <f>SUM(D26:D30)</f>
        <v>4.0019203387846342E-2</v>
      </c>
      <c r="E31" s="8"/>
      <c r="F31" s="8"/>
    </row>
    <row r="32" spans="1:6" ht="15" x14ac:dyDescent="0.2">
      <c r="A32" s="8"/>
      <c r="B32" s="7"/>
      <c r="C32" s="7"/>
      <c r="D32" s="7"/>
      <c r="E32" s="8"/>
      <c r="F32" s="8"/>
    </row>
    <row r="33" spans="1:6" ht="15.75" x14ac:dyDescent="0.25">
      <c r="A33" s="2" t="s">
        <v>96</v>
      </c>
      <c r="B33" s="7"/>
      <c r="C33" s="7"/>
      <c r="D33" s="7"/>
      <c r="E33" s="8"/>
      <c r="F33" s="8"/>
    </row>
    <row r="34" spans="1:6" ht="15" x14ac:dyDescent="0.2">
      <c r="A34" s="9" t="s">
        <v>37</v>
      </c>
      <c r="B34" s="4">
        <f>Turbine!C62</f>
        <v>140.02859999999998</v>
      </c>
      <c r="C34" s="4">
        <f>Turbine!C63</f>
        <v>85.125299999999982</v>
      </c>
      <c r="D34" s="4">
        <f>Turbine!C64</f>
        <v>2.9718300000000002</v>
      </c>
      <c r="E34" s="8"/>
      <c r="F34" s="8"/>
    </row>
    <row r="35" spans="1:6" ht="15" x14ac:dyDescent="0.2">
      <c r="A35" s="9" t="s">
        <v>97</v>
      </c>
      <c r="B35" s="4">
        <f>'Gen Engines'!C35</f>
        <v>9.23</v>
      </c>
      <c r="C35" s="4">
        <f>'Gen Engines'!C36</f>
        <v>9.65</v>
      </c>
      <c r="D35" s="4">
        <f>'Gen Engines'!C37</f>
        <v>0.12</v>
      </c>
      <c r="E35" s="8"/>
      <c r="F35" s="8"/>
    </row>
    <row r="36" spans="1:6" ht="15" x14ac:dyDescent="0.2">
      <c r="A36" s="9" t="s">
        <v>98</v>
      </c>
      <c r="B36" s="4">
        <f>SUM(B34:B35)</f>
        <v>149.25859999999997</v>
      </c>
      <c r="C36" s="4">
        <f>SUM(C34:C35)</f>
        <v>94.775299999999987</v>
      </c>
      <c r="D36" s="4">
        <f>SUM(D34:D35)</f>
        <v>3.0918300000000003</v>
      </c>
      <c r="E36" s="8"/>
      <c r="F36" s="8"/>
    </row>
    <row r="37" spans="1:6" ht="15" x14ac:dyDescent="0.2">
      <c r="A37" s="8"/>
      <c r="B37" s="10"/>
      <c r="C37" s="10"/>
      <c r="D37" s="10"/>
      <c r="E37" s="8"/>
      <c r="F37" s="8"/>
    </row>
    <row r="38" spans="1:6" ht="15.75" x14ac:dyDescent="0.25">
      <c r="A38" s="2" t="s">
        <v>99</v>
      </c>
      <c r="B38" s="7"/>
      <c r="C38" s="7"/>
      <c r="D38" s="7"/>
      <c r="E38" s="8"/>
      <c r="F38" s="8"/>
    </row>
    <row r="39" spans="1:6" ht="15" x14ac:dyDescent="0.2">
      <c r="A39" s="8"/>
      <c r="B39" s="4">
        <f>+B31</f>
        <v>586.21050360499999</v>
      </c>
      <c r="C39" s="4">
        <f>+C31</f>
        <v>70.456297771666669</v>
      </c>
      <c r="D39" s="4">
        <f>+D31</f>
        <v>4.0019203387846342E-2</v>
      </c>
      <c r="E39" s="8"/>
      <c r="F39" s="8"/>
    </row>
    <row r="40" spans="1:6" ht="15" x14ac:dyDescent="0.2">
      <c r="A40" s="8"/>
      <c r="B40" s="11"/>
      <c r="C40" s="11"/>
      <c r="D40" s="11"/>
      <c r="E40" s="8"/>
      <c r="F40" s="8"/>
    </row>
    <row r="41" spans="1:6" ht="15.75" x14ac:dyDescent="0.25">
      <c r="A41" s="2" t="s">
        <v>100</v>
      </c>
      <c r="B41" s="11"/>
      <c r="C41" s="11"/>
      <c r="D41" s="11"/>
      <c r="E41" s="8"/>
      <c r="F41" s="8"/>
    </row>
    <row r="42" spans="1:6" ht="15" x14ac:dyDescent="0.2">
      <c r="A42" s="8"/>
      <c r="B42" s="4">
        <f>+B36-B39</f>
        <v>-436.95190360499998</v>
      </c>
      <c r="C42" s="4">
        <f>+C36-C39</f>
        <v>24.319002228333318</v>
      </c>
      <c r="D42" s="4">
        <f>+D36-D39</f>
        <v>3.0518107966121542</v>
      </c>
      <c r="E42" s="8"/>
      <c r="F42" s="8"/>
    </row>
    <row r="43" spans="1:6" ht="15" x14ac:dyDescent="0.2">
      <c r="A43" s="8"/>
      <c r="B43" s="6"/>
      <c r="C43" s="6"/>
      <c r="D43" s="6"/>
      <c r="E43" s="8"/>
      <c r="F43" s="8"/>
    </row>
    <row r="44" spans="1:6" ht="15" x14ac:dyDescent="0.2">
      <c r="A44" s="84" t="s">
        <v>101</v>
      </c>
      <c r="B44" s="8"/>
      <c r="C44" s="8"/>
      <c r="D44" s="8"/>
      <c r="E44" s="8"/>
      <c r="F44" s="8"/>
    </row>
    <row r="45" spans="1:6" ht="15" x14ac:dyDescent="0.2">
      <c r="A45" s="13" t="s">
        <v>102</v>
      </c>
      <c r="B45" s="8"/>
      <c r="C45" s="8"/>
      <c r="D45" s="8"/>
      <c r="E45" s="8"/>
      <c r="F45" s="8"/>
    </row>
    <row r="46" spans="1:6" ht="15" x14ac:dyDescent="0.2">
      <c r="A46" s="13" t="s">
        <v>103</v>
      </c>
      <c r="B46" s="8"/>
      <c r="C46" s="8"/>
      <c r="D46" s="8"/>
      <c r="E46" s="8"/>
      <c r="F46" s="8"/>
    </row>
    <row r="47" spans="1:6" ht="15" x14ac:dyDescent="0.2">
      <c r="A47" s="13" t="s">
        <v>104</v>
      </c>
      <c r="B47" s="8"/>
      <c r="C47" s="8"/>
      <c r="D47" s="8"/>
      <c r="E47" s="8"/>
      <c r="F47" s="8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9"/>
  <sheetViews>
    <sheetView topLeftCell="A37" workbookViewId="0"/>
  </sheetViews>
  <sheetFormatPr defaultRowHeight="12.75" x14ac:dyDescent="0.2"/>
  <cols>
    <col min="1" max="1" width="10.42578125" customWidth="1"/>
    <col min="7" max="7" width="10" customWidth="1"/>
    <col min="10" max="10" width="10.42578125" customWidth="1"/>
    <col min="14" max="14" width="10" customWidth="1"/>
  </cols>
  <sheetData>
    <row r="1" spans="1:16" ht="18" x14ac:dyDescent="0.25">
      <c r="A1" s="12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8" x14ac:dyDescent="0.25">
      <c r="A2" s="12" t="s">
        <v>105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26" t="s">
        <v>106</v>
      </c>
      <c r="N2" s="26"/>
      <c r="O2" s="26"/>
      <c r="P2" s="8"/>
    </row>
    <row r="3" spans="1:16" ht="18" x14ac:dyDescent="0.25">
      <c r="A3" s="12" t="s">
        <v>107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5.75" x14ac:dyDescent="0.25">
      <c r="A4" s="25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ht="15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26" t="s">
        <v>106</v>
      </c>
      <c r="N5" s="26"/>
      <c r="O5" s="26"/>
      <c r="P5" s="8"/>
    </row>
    <row r="6" spans="1:16" ht="15" x14ac:dyDescent="0.2">
      <c r="A6" s="26" t="s">
        <v>108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15" x14ac:dyDescent="0.2">
      <c r="A7" s="26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ht="15" x14ac:dyDescent="0.2">
      <c r="A8" s="26" t="s">
        <v>109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ht="15" x14ac:dyDescent="0.2">
      <c r="A9" s="27" t="s">
        <v>110</v>
      </c>
      <c r="B9" s="28" t="s">
        <v>98</v>
      </c>
      <c r="C9" s="29" t="s">
        <v>111</v>
      </c>
      <c r="D9" s="30" t="s">
        <v>112</v>
      </c>
      <c r="E9" s="31"/>
      <c r="F9" s="31"/>
      <c r="G9" s="31"/>
      <c r="H9" s="31"/>
      <c r="I9" s="30" t="s">
        <v>113</v>
      </c>
      <c r="J9" s="31"/>
      <c r="K9" s="31"/>
      <c r="L9" s="31"/>
      <c r="M9" s="32"/>
      <c r="N9" s="33" t="s">
        <v>114</v>
      </c>
      <c r="O9" s="8"/>
      <c r="P9" s="8"/>
    </row>
    <row r="10" spans="1:16" ht="15" x14ac:dyDescent="0.2">
      <c r="A10" s="34" t="s">
        <v>115</v>
      </c>
      <c r="B10" s="35" t="s">
        <v>116</v>
      </c>
      <c r="C10" s="36" t="s">
        <v>117</v>
      </c>
      <c r="D10" s="37" t="s">
        <v>118</v>
      </c>
      <c r="E10" s="38"/>
      <c r="F10" s="38" t="s">
        <v>119</v>
      </c>
      <c r="G10" s="38" t="s">
        <v>120</v>
      </c>
      <c r="H10" s="39" t="s">
        <v>121</v>
      </c>
      <c r="I10" s="40"/>
      <c r="J10" s="41"/>
      <c r="K10" s="41"/>
      <c r="L10" s="41"/>
      <c r="M10" s="42" t="s">
        <v>106</v>
      </c>
      <c r="N10" s="33" t="s">
        <v>122</v>
      </c>
      <c r="O10" s="33" t="s">
        <v>123</v>
      </c>
      <c r="P10" s="8"/>
    </row>
    <row r="11" spans="1:16" ht="15" x14ac:dyDescent="0.2">
      <c r="A11" s="43" t="s">
        <v>124</v>
      </c>
      <c r="B11" s="44" t="s">
        <v>125</v>
      </c>
      <c r="C11" s="45" t="s">
        <v>126</v>
      </c>
      <c r="D11" s="44" t="s">
        <v>51</v>
      </c>
      <c r="E11" s="45" t="s">
        <v>57</v>
      </c>
      <c r="F11" s="45" t="s">
        <v>39</v>
      </c>
      <c r="G11" s="45" t="s">
        <v>127</v>
      </c>
      <c r="H11" s="45" t="s">
        <v>128</v>
      </c>
      <c r="I11" s="44" t="s">
        <v>51</v>
      </c>
      <c r="J11" s="45" t="s">
        <v>57</v>
      </c>
      <c r="K11" s="45" t="s">
        <v>39</v>
      </c>
      <c r="L11" s="45" t="s">
        <v>127</v>
      </c>
      <c r="M11" s="46" t="s">
        <v>128</v>
      </c>
      <c r="N11" s="47" t="s">
        <v>129</v>
      </c>
      <c r="O11" s="47" t="s">
        <v>130</v>
      </c>
      <c r="P11" s="8"/>
    </row>
    <row r="12" spans="1:16" ht="15" x14ac:dyDescent="0.2">
      <c r="A12" s="48"/>
      <c r="B12" s="49"/>
      <c r="C12" s="8"/>
      <c r="D12" s="50" t="s">
        <v>106</v>
      </c>
      <c r="E12" s="51" t="s">
        <v>106</v>
      </c>
      <c r="F12" s="51" t="s">
        <v>106</v>
      </c>
      <c r="G12" s="52" t="s">
        <v>106</v>
      </c>
      <c r="H12" s="8"/>
      <c r="I12" s="53"/>
      <c r="J12" s="54"/>
      <c r="K12" s="54"/>
      <c r="L12" s="54"/>
      <c r="M12" s="55"/>
      <c r="N12" s="8"/>
      <c r="O12" s="8"/>
      <c r="P12" s="8"/>
    </row>
    <row r="13" spans="1:16" ht="15" x14ac:dyDescent="0.2">
      <c r="A13" s="56" t="s">
        <v>90</v>
      </c>
      <c r="B13" s="57">
        <v>8549</v>
      </c>
      <c r="C13" s="58">
        <v>4000</v>
      </c>
      <c r="D13" s="59">
        <f>0.0022/453.592</f>
        <v>4.8501737244043106E-6</v>
      </c>
      <c r="E13" s="60">
        <f>E28</f>
        <v>81.966666666666654</v>
      </c>
      <c r="F13" s="60">
        <f>E29</f>
        <v>8.2999999999999989</v>
      </c>
      <c r="G13" s="60">
        <f>E30</f>
        <v>0.503</v>
      </c>
      <c r="H13" s="77">
        <v>9.4999999999999998E-3</v>
      </c>
      <c r="I13" s="53">
        <f>$N13*1046*D13/2000</f>
        <v>6.1640372846081951E-4</v>
      </c>
      <c r="J13" s="54">
        <f>E13*B13/2000</f>
        <v>350.3665166666666</v>
      </c>
      <c r="K13" s="54">
        <f>F13*B13/2000</f>
        <v>35.478349999999999</v>
      </c>
      <c r="L13" s="54">
        <f>G13*D13/2000</f>
        <v>1.2198186916876842E-9</v>
      </c>
      <c r="M13" s="62">
        <f>$N13*1046*H13/2000</f>
        <v>1.2073455</v>
      </c>
      <c r="N13" s="80">
        <v>243</v>
      </c>
      <c r="O13" s="64">
        <f>B13/8760</f>
        <v>0.97591324200913243</v>
      </c>
      <c r="P13" s="8"/>
    </row>
    <row r="14" spans="1:16" ht="15" x14ac:dyDescent="0.2">
      <c r="A14" s="56" t="s">
        <v>91</v>
      </c>
      <c r="B14" s="57">
        <v>7212</v>
      </c>
      <c r="C14" s="58">
        <v>4000</v>
      </c>
      <c r="D14" s="59">
        <f>0.0022/453.592</f>
        <v>4.8501737244043106E-6</v>
      </c>
      <c r="E14" s="60">
        <f>E32</f>
        <v>69.13333333333334</v>
      </c>
      <c r="F14" s="60">
        <f>E33</f>
        <v>11.533333333333333</v>
      </c>
      <c r="G14" s="60">
        <f>E34</f>
        <v>0.60599999999999998</v>
      </c>
      <c r="H14" s="77">
        <v>9.4999999999999998E-3</v>
      </c>
      <c r="I14" s="53">
        <f>$N14*1046*D14/2000</f>
        <v>5.200113758620082E-4</v>
      </c>
      <c r="J14" s="54">
        <f>E14*B14/2000</f>
        <v>249.29480000000001</v>
      </c>
      <c r="K14" s="54">
        <f>F14*B14/2000</f>
        <v>41.589199999999998</v>
      </c>
      <c r="L14" s="54">
        <f>G14*D14/2000</f>
        <v>1.469602638494506E-9</v>
      </c>
      <c r="M14" s="62">
        <f>$N14*1046*H14/2000</f>
        <v>1.0185425000000001</v>
      </c>
      <c r="N14" s="80">
        <v>205</v>
      </c>
      <c r="O14" s="64">
        <f>B14/8760</f>
        <v>0.82328767123287672</v>
      </c>
      <c r="P14" s="8"/>
    </row>
    <row r="15" spans="1:16" ht="15" x14ac:dyDescent="0.2">
      <c r="A15" s="56" t="s">
        <v>92</v>
      </c>
      <c r="B15" s="57">
        <v>6540</v>
      </c>
      <c r="C15" s="58">
        <v>4000</v>
      </c>
      <c r="D15" s="59">
        <f>0.0022/453.592</f>
        <v>4.8501737244043106E-6</v>
      </c>
      <c r="E15" s="81">
        <f>E36</f>
        <v>85.066666666666677</v>
      </c>
      <c r="F15" s="81">
        <f>E37</f>
        <v>8.7333333333333325</v>
      </c>
      <c r="G15" s="81">
        <f>E38</f>
        <v>0.28799999999999998</v>
      </c>
      <c r="H15" s="77">
        <v>9.4999999999999998E-3</v>
      </c>
      <c r="I15" s="53">
        <f>$N15*1046*D15/2000</f>
        <v>4.7181519956260255E-4</v>
      </c>
      <c r="J15" s="54">
        <f>E15*B15/2000</f>
        <v>278.16800000000006</v>
      </c>
      <c r="K15" s="54">
        <f>F15*B15/2000</f>
        <v>28.557999999999996</v>
      </c>
      <c r="L15" s="54">
        <f>G15*D15/2000</f>
        <v>6.9842501631422069E-10</v>
      </c>
      <c r="M15" s="62">
        <f>$N15*1046*H15/2000</f>
        <v>0.92414099999999999</v>
      </c>
      <c r="N15" s="80">
        <v>186</v>
      </c>
      <c r="O15" s="64">
        <f>B15/8760</f>
        <v>0.74657534246575341</v>
      </c>
      <c r="P15" s="8"/>
    </row>
    <row r="16" spans="1:16" ht="15" x14ac:dyDescent="0.2">
      <c r="A16" s="65">
        <v>121</v>
      </c>
      <c r="B16" s="66">
        <v>1600</v>
      </c>
      <c r="C16" s="67">
        <v>350</v>
      </c>
      <c r="D16" s="68">
        <f>0.0022/453.592</f>
        <v>4.8501737244043106E-6</v>
      </c>
      <c r="E16" s="82">
        <v>2.2999999999999998</v>
      </c>
      <c r="F16" s="82">
        <v>0.5</v>
      </c>
      <c r="G16" s="78">
        <v>2.9600000000000001E-2</v>
      </c>
      <c r="H16" s="78">
        <v>9.4999999999999998E-3</v>
      </c>
      <c r="I16" s="71">
        <f>$B16*$C16*D16*8500/2000/1000000</f>
        <v>1.154341346408226E-5</v>
      </c>
      <c r="J16" s="72">
        <f>E16*B16/2000</f>
        <v>1.8399999999999999</v>
      </c>
      <c r="K16" s="72">
        <f>F16*B16/2000</f>
        <v>0.4</v>
      </c>
      <c r="L16" s="72">
        <f>$B$16*G16*3.38/2000</f>
        <v>8.0038399999999996E-2</v>
      </c>
      <c r="M16" s="72">
        <f>H16*N16*1046/2000</f>
        <v>2.2609999999999998E-2</v>
      </c>
      <c r="N16" s="80">
        <f>8500/1046*B16*C16/1000000</f>
        <v>4.5506692160611859</v>
      </c>
      <c r="O16" s="64">
        <f>B16/8760</f>
        <v>0.18264840182648401</v>
      </c>
      <c r="P16" s="8"/>
    </row>
    <row r="17" spans="1:19" ht="15.75" x14ac:dyDescent="0.25">
      <c r="A17" s="15" t="s">
        <v>98</v>
      </c>
      <c r="B17" s="16"/>
      <c r="C17" s="17"/>
      <c r="D17" s="18" t="s">
        <v>106</v>
      </c>
      <c r="E17" s="19" t="s">
        <v>106</v>
      </c>
      <c r="F17" s="19" t="s">
        <v>106</v>
      </c>
      <c r="G17" s="20" t="s">
        <v>106</v>
      </c>
      <c r="H17" s="21" t="s">
        <v>106</v>
      </c>
      <c r="I17" s="22">
        <f t="shared" ref="I17:N17" si="0">SUM(I13:I16)</f>
        <v>1.6197737173495126E-3</v>
      </c>
      <c r="J17" s="22">
        <f t="shared" si="0"/>
        <v>879.66931666666676</v>
      </c>
      <c r="K17" s="22">
        <f t="shared" si="0"/>
        <v>106.02555</v>
      </c>
      <c r="L17" s="22">
        <f t="shared" si="0"/>
        <v>8.0038403387846346E-2</v>
      </c>
      <c r="M17" s="23">
        <f t="shared" si="0"/>
        <v>3.1726390000000002</v>
      </c>
      <c r="N17" s="79">
        <f t="shared" si="0"/>
        <v>638.55066921606124</v>
      </c>
      <c r="O17" s="8"/>
      <c r="P17" s="8"/>
      <c r="Q17" s="108"/>
    </row>
    <row r="18" spans="1:19" ht="15" x14ac:dyDescent="0.2">
      <c r="A18" s="8"/>
      <c r="B18" s="8"/>
      <c r="C18" s="8"/>
      <c r="D18" s="8"/>
      <c r="E18" s="8"/>
      <c r="F18" s="8"/>
      <c r="G18" s="8"/>
      <c r="H18" s="8"/>
      <c r="I18" s="54"/>
      <c r="J18" s="73"/>
      <c r="K18" s="8"/>
      <c r="L18" s="8"/>
      <c r="M18" s="8"/>
      <c r="N18" s="8"/>
      <c r="O18" s="8"/>
      <c r="P18" s="8"/>
      <c r="Q18" s="107"/>
      <c r="R18" s="1"/>
      <c r="S18" s="1"/>
    </row>
    <row r="19" spans="1:19" ht="15" x14ac:dyDescent="0.2">
      <c r="A19" s="14" t="s">
        <v>131</v>
      </c>
      <c r="B19" s="8"/>
      <c r="C19" s="8"/>
      <c r="D19" s="74"/>
      <c r="E19" s="75"/>
      <c r="F19" s="75"/>
      <c r="G19" s="75"/>
      <c r="H19" s="75"/>
      <c r="I19" s="76"/>
      <c r="J19" s="8"/>
      <c r="K19" s="8"/>
      <c r="L19" s="54"/>
      <c r="M19" s="54"/>
      <c r="N19" s="54"/>
      <c r="O19" s="54"/>
      <c r="P19" s="54"/>
      <c r="Q19" s="1"/>
    </row>
    <row r="20" spans="1:19" ht="15" x14ac:dyDescent="0.2">
      <c r="A20" s="14" t="s">
        <v>132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9" ht="15" x14ac:dyDescent="0.2">
      <c r="A21" s="14" t="s">
        <v>133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9" ht="15" x14ac:dyDescent="0.2">
      <c r="A22" s="14" t="s">
        <v>134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9" ht="15" x14ac:dyDescent="0.2">
      <c r="A23" s="14" t="s">
        <v>135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5" spans="1:19" ht="15.75" x14ac:dyDescent="0.25">
      <c r="A25" s="85" t="s">
        <v>136</v>
      </c>
      <c r="B25" s="86"/>
      <c r="C25" s="86"/>
      <c r="D25" s="86"/>
      <c r="E25" s="87"/>
    </row>
    <row r="26" spans="1:19" ht="15.75" x14ac:dyDescent="0.25">
      <c r="A26" s="99"/>
      <c r="B26" s="104" t="s">
        <v>137</v>
      </c>
      <c r="C26" s="88" t="s">
        <v>138</v>
      </c>
      <c r="D26" s="88" t="s">
        <v>139</v>
      </c>
      <c r="E26" s="89" t="s">
        <v>140</v>
      </c>
    </row>
    <row r="27" spans="1:19" ht="15.75" x14ac:dyDescent="0.25">
      <c r="A27" s="100" t="s">
        <v>141</v>
      </c>
      <c r="B27" s="90" t="s">
        <v>43</v>
      </c>
      <c r="C27" s="91" t="s">
        <v>43</v>
      </c>
      <c r="D27" s="91" t="s">
        <v>43</v>
      </c>
      <c r="E27" s="92" t="s">
        <v>43</v>
      </c>
    </row>
    <row r="28" spans="1:19" ht="15" x14ac:dyDescent="0.2">
      <c r="A28" s="101" t="s">
        <v>80</v>
      </c>
      <c r="B28" s="105">
        <v>90.3</v>
      </c>
      <c r="C28" s="3">
        <v>82.4</v>
      </c>
      <c r="D28" s="3">
        <v>73.2</v>
      </c>
      <c r="E28" s="93">
        <f>AVERAGE(B28:D28)</f>
        <v>81.966666666666654</v>
      </c>
    </row>
    <row r="29" spans="1:19" ht="15" x14ac:dyDescent="0.2">
      <c r="A29" s="101" t="s">
        <v>39</v>
      </c>
      <c r="B29" s="105">
        <v>8.1</v>
      </c>
      <c r="C29" s="3">
        <v>8.1999999999999993</v>
      </c>
      <c r="D29" s="3">
        <v>8.6</v>
      </c>
      <c r="E29" s="93">
        <f>AVERAGE(B29:D29)</f>
        <v>8.2999999999999989</v>
      </c>
    </row>
    <row r="30" spans="1:19" ht="15" x14ac:dyDescent="0.2">
      <c r="A30" s="102" t="s">
        <v>59</v>
      </c>
      <c r="B30" s="106">
        <v>0.53100000000000003</v>
      </c>
      <c r="C30" s="94">
        <v>0.51200000000000001</v>
      </c>
      <c r="D30" s="94">
        <v>0.46500000000000002</v>
      </c>
      <c r="E30" s="95">
        <v>0.503</v>
      </c>
    </row>
    <row r="31" spans="1:19" ht="15.75" x14ac:dyDescent="0.25">
      <c r="A31" s="100" t="s">
        <v>142</v>
      </c>
      <c r="B31" s="90" t="s">
        <v>43</v>
      </c>
      <c r="C31" s="91" t="s">
        <v>43</v>
      </c>
      <c r="D31" s="91" t="s">
        <v>43</v>
      </c>
      <c r="E31" s="92" t="s">
        <v>43</v>
      </c>
    </row>
    <row r="32" spans="1:19" ht="15" x14ac:dyDescent="0.2">
      <c r="A32" s="101" t="s">
        <v>80</v>
      </c>
      <c r="B32" s="105">
        <v>71.900000000000006</v>
      </c>
      <c r="C32" s="3">
        <v>68</v>
      </c>
      <c r="D32" s="3">
        <v>67.5</v>
      </c>
      <c r="E32" s="93">
        <f>AVERAGE(B32:D32)</f>
        <v>69.13333333333334</v>
      </c>
    </row>
    <row r="33" spans="1:5" ht="15" x14ac:dyDescent="0.2">
      <c r="A33" s="101" t="s">
        <v>39</v>
      </c>
      <c r="B33" s="105">
        <v>11.5</v>
      </c>
      <c r="C33" s="3">
        <v>11.5</v>
      </c>
      <c r="D33" s="3">
        <v>11.6</v>
      </c>
      <c r="E33" s="93">
        <f>AVERAGE(B33:D33)</f>
        <v>11.533333333333333</v>
      </c>
    </row>
    <row r="34" spans="1:5" ht="15" x14ac:dyDescent="0.2">
      <c r="A34" s="102" t="s">
        <v>59</v>
      </c>
      <c r="B34" s="106">
        <v>0.61799999999999999</v>
      </c>
      <c r="C34" s="94">
        <v>0.60899999999999999</v>
      </c>
      <c r="D34" s="94">
        <v>0.59299999999999997</v>
      </c>
      <c r="E34" s="95">
        <v>0.60599999999999998</v>
      </c>
    </row>
    <row r="35" spans="1:5" ht="15.75" x14ac:dyDescent="0.25">
      <c r="A35" s="103" t="s">
        <v>143</v>
      </c>
      <c r="B35" s="96" t="s">
        <v>43</v>
      </c>
      <c r="C35" s="97" t="s">
        <v>43</v>
      </c>
      <c r="D35" s="97" t="s">
        <v>43</v>
      </c>
      <c r="E35" s="98" t="s">
        <v>43</v>
      </c>
    </row>
    <row r="36" spans="1:5" ht="15" x14ac:dyDescent="0.2">
      <c r="A36" s="101" t="s">
        <v>80</v>
      </c>
      <c r="B36" s="105">
        <v>80.400000000000006</v>
      </c>
      <c r="C36" s="3">
        <v>86.9</v>
      </c>
      <c r="D36" s="3">
        <v>87.9</v>
      </c>
      <c r="E36" s="93">
        <f>AVERAGE(B36:D36)</f>
        <v>85.066666666666677</v>
      </c>
    </row>
    <row r="37" spans="1:5" ht="15" x14ac:dyDescent="0.2">
      <c r="A37" s="101" t="s">
        <v>39</v>
      </c>
      <c r="B37" s="105">
        <v>8.6999999999999993</v>
      </c>
      <c r="C37" s="3">
        <v>8.6</v>
      </c>
      <c r="D37" s="3">
        <v>8.9</v>
      </c>
      <c r="E37" s="93">
        <f>AVERAGE(B37:D37)</f>
        <v>8.7333333333333325</v>
      </c>
    </row>
    <row r="38" spans="1:5" ht="15" x14ac:dyDescent="0.2">
      <c r="A38" s="102" t="s">
        <v>59</v>
      </c>
      <c r="B38" s="106">
        <v>0.28000000000000003</v>
      </c>
      <c r="C38" s="94">
        <v>0.29299999999999998</v>
      </c>
      <c r="D38" s="94">
        <v>0.29199999999999998</v>
      </c>
      <c r="E38" s="95">
        <v>0.28799999999999998</v>
      </c>
    </row>
    <row r="39" spans="1:5" x14ac:dyDescent="0.2">
      <c r="A39" t="s">
        <v>144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topLeftCell="A33" workbookViewId="0"/>
  </sheetViews>
  <sheetFormatPr defaultRowHeight="12.75" x14ac:dyDescent="0.2"/>
  <cols>
    <col min="1" max="1" width="11.28515625" customWidth="1"/>
    <col min="2" max="2" width="10.5703125" customWidth="1"/>
    <col min="3" max="3" width="9.7109375" customWidth="1"/>
    <col min="7" max="7" width="9.5703125" customWidth="1"/>
    <col min="8" max="8" width="16.7109375" customWidth="1"/>
    <col min="10" max="10" width="10.28515625" customWidth="1"/>
    <col min="11" max="11" width="12.28515625" customWidth="1"/>
  </cols>
  <sheetData>
    <row r="1" spans="1:15" ht="18" x14ac:dyDescent="0.25">
      <c r="A1" s="12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8" x14ac:dyDescent="0.25">
      <c r="A2" s="12" t="s">
        <v>105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26" t="s">
        <v>106</v>
      </c>
      <c r="N2" s="26"/>
      <c r="O2" s="26"/>
    </row>
    <row r="3" spans="1:15" ht="18" x14ac:dyDescent="0.25">
      <c r="A3" s="12" t="s">
        <v>145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5.75" x14ac:dyDescent="0.25">
      <c r="A4" s="25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15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26" t="s">
        <v>106</v>
      </c>
      <c r="N5" s="26"/>
      <c r="O5" s="26"/>
    </row>
    <row r="6" spans="1:15" ht="15" x14ac:dyDescent="0.2">
      <c r="A6" s="26" t="s">
        <v>108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ht="15" x14ac:dyDescent="0.2">
      <c r="A7" s="26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5" x14ac:dyDescent="0.2">
      <c r="A8" s="26" t="s">
        <v>146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ht="15" x14ac:dyDescent="0.2">
      <c r="A9" s="27" t="s">
        <v>110</v>
      </c>
      <c r="B9" s="28" t="s">
        <v>98</v>
      </c>
      <c r="C9" s="29" t="s">
        <v>111</v>
      </c>
      <c r="D9" s="30" t="s">
        <v>147</v>
      </c>
      <c r="E9" s="31"/>
      <c r="F9" s="31"/>
      <c r="G9" s="31"/>
      <c r="H9" s="31"/>
      <c r="I9" s="30" t="s">
        <v>113</v>
      </c>
      <c r="J9" s="31"/>
      <c r="K9" s="31"/>
      <c r="L9" s="31"/>
      <c r="M9" s="32"/>
      <c r="N9" s="33" t="s">
        <v>114</v>
      </c>
      <c r="O9" s="8"/>
    </row>
    <row r="10" spans="1:15" ht="15" x14ac:dyDescent="0.2">
      <c r="A10" s="34" t="s">
        <v>115</v>
      </c>
      <c r="B10" s="35" t="s">
        <v>116</v>
      </c>
      <c r="C10" s="36" t="s">
        <v>117</v>
      </c>
      <c r="D10" s="37" t="s">
        <v>118</v>
      </c>
      <c r="E10" s="38"/>
      <c r="F10" s="38" t="s">
        <v>118</v>
      </c>
      <c r="G10" s="38" t="s">
        <v>120</v>
      </c>
      <c r="H10" s="39" t="s">
        <v>121</v>
      </c>
      <c r="I10" s="40"/>
      <c r="J10" s="41"/>
      <c r="K10" s="41"/>
      <c r="L10" s="41"/>
      <c r="M10" s="42" t="s">
        <v>106</v>
      </c>
      <c r="N10" s="33" t="s">
        <v>122</v>
      </c>
      <c r="O10" s="33" t="s">
        <v>123</v>
      </c>
    </row>
    <row r="11" spans="1:15" ht="15" x14ac:dyDescent="0.2">
      <c r="A11" s="43" t="s">
        <v>124</v>
      </c>
      <c r="B11" s="44" t="s">
        <v>125</v>
      </c>
      <c r="C11" s="45" t="s">
        <v>126</v>
      </c>
      <c r="D11" s="44" t="s">
        <v>51</v>
      </c>
      <c r="E11" s="45" t="s">
        <v>57</v>
      </c>
      <c r="F11" s="45" t="s">
        <v>39</v>
      </c>
      <c r="G11" s="45" t="s">
        <v>127</v>
      </c>
      <c r="H11" s="45" t="s">
        <v>128</v>
      </c>
      <c r="I11" s="44" t="s">
        <v>51</v>
      </c>
      <c r="J11" s="45" t="s">
        <v>57</v>
      </c>
      <c r="K11" s="45" t="s">
        <v>39</v>
      </c>
      <c r="L11" s="45" t="s">
        <v>127</v>
      </c>
      <c r="M11" s="46" t="s">
        <v>128</v>
      </c>
      <c r="N11" s="47" t="s">
        <v>129</v>
      </c>
      <c r="O11" s="47" t="s">
        <v>130</v>
      </c>
    </row>
    <row r="12" spans="1:15" ht="15" x14ac:dyDescent="0.2">
      <c r="A12" s="48"/>
      <c r="B12" s="49"/>
      <c r="C12" s="8"/>
      <c r="D12" s="50" t="s">
        <v>106</v>
      </c>
      <c r="E12" s="51" t="s">
        <v>106</v>
      </c>
      <c r="F12" s="51" t="s">
        <v>106</v>
      </c>
      <c r="G12" s="52" t="s">
        <v>106</v>
      </c>
      <c r="H12" s="8"/>
      <c r="I12" s="53"/>
      <c r="J12" s="54"/>
      <c r="K12" s="54"/>
      <c r="L12" s="54"/>
      <c r="M12" s="55"/>
      <c r="N12" s="8"/>
      <c r="O12" s="8"/>
    </row>
    <row r="13" spans="1:15" ht="15" x14ac:dyDescent="0.2">
      <c r="A13" s="56" t="s">
        <v>90</v>
      </c>
      <c r="B13" s="57">
        <v>2426.1666</v>
      </c>
      <c r="C13" s="58">
        <v>4000</v>
      </c>
      <c r="D13" s="59">
        <f>0.0022/453.592</f>
        <v>4.8501737244043106E-6</v>
      </c>
      <c r="E13" s="60">
        <f>E28</f>
        <v>81.966666666666654</v>
      </c>
      <c r="F13" s="60">
        <f>E29</f>
        <v>8.2999999999999989</v>
      </c>
      <c r="G13" s="60">
        <f>E30</f>
        <v>0.503</v>
      </c>
      <c r="H13" s="77">
        <v>9.4999999999999998E-3</v>
      </c>
      <c r="I13" s="53">
        <f>$B13*$C13*D13/2000</f>
        <v>2.3534658988694689E-2</v>
      </c>
      <c r="J13" s="54">
        <f>E13*B13/2000</f>
        <v>99.432394489999993</v>
      </c>
      <c r="K13" s="54">
        <f>F13*B13/2000</f>
        <v>10.06859139</v>
      </c>
      <c r="L13" s="54">
        <f>G13*D13/2000</f>
        <v>1.2198186916876842E-9</v>
      </c>
      <c r="M13" s="62">
        <f>H13*N13*1046/2000</f>
        <v>0.33750026799999999</v>
      </c>
      <c r="N13" s="63">
        <v>67.927999999999997</v>
      </c>
      <c r="O13" s="64">
        <f>B13/8760</f>
        <v>0.27695965753424656</v>
      </c>
    </row>
    <row r="14" spans="1:15" ht="15" x14ac:dyDescent="0.2">
      <c r="A14" s="56" t="s">
        <v>91</v>
      </c>
      <c r="B14" s="57">
        <v>2241.5</v>
      </c>
      <c r="C14" s="58">
        <v>4000</v>
      </c>
      <c r="D14" s="59">
        <f>0.0022/453.592</f>
        <v>4.8501737244043106E-6</v>
      </c>
      <c r="E14" s="60">
        <f>E32</f>
        <v>69.13333333333334</v>
      </c>
      <c r="F14" s="60">
        <f>E33</f>
        <v>11.533333333333333</v>
      </c>
      <c r="G14" s="60">
        <f>E34</f>
        <v>0.60599999999999998</v>
      </c>
      <c r="H14" s="77">
        <v>9.4999999999999998E-3</v>
      </c>
      <c r="I14" s="53">
        <f>$B14*$C14*D14/2000</f>
        <v>2.1743328806504526E-2</v>
      </c>
      <c r="J14" s="54">
        <f>E14*B14/2000</f>
        <v>77.481183333333334</v>
      </c>
      <c r="K14" s="54">
        <f>F14*B14/2000</f>
        <v>12.925983333333333</v>
      </c>
      <c r="L14" s="54">
        <f>G14*D14/2000</f>
        <v>1.469602638494506E-9</v>
      </c>
      <c r="M14" s="62">
        <f>H14*N14*1046/2000</f>
        <v>0.31176343799999995</v>
      </c>
      <c r="N14" s="63">
        <v>62.747999999999998</v>
      </c>
      <c r="O14" s="64">
        <f>B14/8760</f>
        <v>0.25587899543378995</v>
      </c>
    </row>
    <row r="15" spans="1:15" ht="15" x14ac:dyDescent="0.2">
      <c r="A15" s="65" t="s">
        <v>92</v>
      </c>
      <c r="B15" s="66">
        <v>2723.4666000000002</v>
      </c>
      <c r="C15" s="67">
        <v>4000</v>
      </c>
      <c r="D15" s="68">
        <f>0.0022/453.592</f>
        <v>4.8501737244043106E-6</v>
      </c>
      <c r="E15" s="69">
        <f>E36</f>
        <v>85.066666666666677</v>
      </c>
      <c r="F15" s="69">
        <f>E37</f>
        <v>8.7333333333333325</v>
      </c>
      <c r="G15" s="69">
        <f>E38</f>
        <v>0.28799999999999998</v>
      </c>
      <c r="H15" s="77">
        <v>9.4999999999999998E-3</v>
      </c>
      <c r="I15" s="71">
        <f>$B15*$C15*D15/2000</f>
        <v>2.641857228522549E-2</v>
      </c>
      <c r="J15" s="72">
        <f>E15*B15/2000</f>
        <v>115.83811272000001</v>
      </c>
      <c r="K15" s="54">
        <f>F15*B15/2000</f>
        <v>11.89247082</v>
      </c>
      <c r="L15" s="72">
        <f>G15*D15/2000</f>
        <v>6.9842501631422069E-10</v>
      </c>
      <c r="M15" s="62">
        <f>H15*N15*1046/2000</f>
        <v>0.37881831399999999</v>
      </c>
      <c r="N15" s="63">
        <v>76.244</v>
      </c>
      <c r="O15" s="64">
        <f>B15/8760</f>
        <v>0.31089801369863018</v>
      </c>
    </row>
    <row r="16" spans="1:15" ht="15.75" x14ac:dyDescent="0.25">
      <c r="A16" s="15" t="s">
        <v>98</v>
      </c>
      <c r="B16" s="16"/>
      <c r="C16" s="17"/>
      <c r="D16" s="18" t="s">
        <v>106</v>
      </c>
      <c r="E16" s="19" t="s">
        <v>106</v>
      </c>
      <c r="F16" s="19" t="s">
        <v>106</v>
      </c>
      <c r="G16" s="20" t="s">
        <v>106</v>
      </c>
      <c r="H16" s="21" t="s">
        <v>106</v>
      </c>
      <c r="I16" s="22">
        <f t="shared" ref="I16:N16" si="0">SUM(I13:I15)</f>
        <v>7.1696560080424715E-2</v>
      </c>
      <c r="J16" s="22">
        <f t="shared" si="0"/>
        <v>292.75169054333332</v>
      </c>
      <c r="K16" s="22">
        <f t="shared" si="0"/>
        <v>34.887045543333329</v>
      </c>
      <c r="L16" s="22">
        <f t="shared" si="0"/>
        <v>3.3878463464964109E-9</v>
      </c>
      <c r="M16" s="23">
        <f t="shared" si="0"/>
        <v>1.0280820199999998</v>
      </c>
      <c r="N16" s="24">
        <f t="shared" si="0"/>
        <v>206.92</v>
      </c>
      <c r="O16" s="8"/>
    </row>
    <row r="17" spans="1:17" ht="15" x14ac:dyDescent="0.2">
      <c r="A17" s="8"/>
      <c r="B17" s="8"/>
      <c r="C17" s="8"/>
      <c r="D17" s="8"/>
      <c r="E17" s="8"/>
      <c r="F17" s="8"/>
      <c r="G17" s="8"/>
      <c r="H17" s="8"/>
      <c r="I17" s="54"/>
      <c r="J17" s="73"/>
      <c r="K17" s="8"/>
      <c r="L17" s="8"/>
      <c r="M17" s="8"/>
      <c r="N17" s="8"/>
      <c r="O17" s="8"/>
    </row>
    <row r="18" spans="1:17" ht="15" x14ac:dyDescent="0.2">
      <c r="A18" s="14" t="s">
        <v>131</v>
      </c>
      <c r="B18" s="8"/>
      <c r="C18" s="8"/>
      <c r="D18" s="74"/>
      <c r="E18" s="75"/>
      <c r="F18" s="75"/>
      <c r="G18" s="75"/>
      <c r="H18" s="75"/>
      <c r="I18" s="76"/>
      <c r="J18" s="8"/>
      <c r="K18" s="8"/>
      <c r="L18" s="54"/>
      <c r="M18" s="54"/>
      <c r="N18" s="54"/>
      <c r="O18" s="54"/>
      <c r="P18" s="1"/>
      <c r="Q18" s="1"/>
    </row>
    <row r="19" spans="1:17" ht="15" x14ac:dyDescent="0.2">
      <c r="A19" s="14" t="s">
        <v>148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7" ht="15" x14ac:dyDescent="0.2">
      <c r="A20" s="14" t="s">
        <v>149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7" ht="15" x14ac:dyDescent="0.2">
      <c r="A21" s="14" t="s">
        <v>134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7" ht="15" x14ac:dyDescent="0.2">
      <c r="A22" s="14" t="s">
        <v>135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7" ht="15" x14ac:dyDescent="0.2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7" ht="15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7" ht="15.75" x14ac:dyDescent="0.25">
      <c r="A25" s="85" t="s">
        <v>136</v>
      </c>
      <c r="B25" s="86"/>
      <c r="C25" s="86"/>
      <c r="D25" s="86"/>
      <c r="E25" s="87"/>
    </row>
    <row r="26" spans="1:17" ht="15.75" x14ac:dyDescent="0.25">
      <c r="A26" s="99"/>
      <c r="B26" s="104" t="s">
        <v>137</v>
      </c>
      <c r="C26" s="88" t="s">
        <v>138</v>
      </c>
      <c r="D26" s="88" t="s">
        <v>139</v>
      </c>
      <c r="E26" s="89" t="s">
        <v>140</v>
      </c>
    </row>
    <row r="27" spans="1:17" ht="15.75" x14ac:dyDescent="0.25">
      <c r="A27" s="100" t="s">
        <v>141</v>
      </c>
      <c r="B27" s="90" t="s">
        <v>43</v>
      </c>
      <c r="C27" s="91" t="s">
        <v>43</v>
      </c>
      <c r="D27" s="91" t="s">
        <v>43</v>
      </c>
      <c r="E27" s="92" t="s">
        <v>43</v>
      </c>
    </row>
    <row r="28" spans="1:17" ht="15" x14ac:dyDescent="0.2">
      <c r="A28" s="101" t="s">
        <v>80</v>
      </c>
      <c r="B28" s="105">
        <v>90.3</v>
      </c>
      <c r="C28" s="3">
        <v>82.4</v>
      </c>
      <c r="D28" s="3">
        <v>73.2</v>
      </c>
      <c r="E28" s="93">
        <f>AVERAGE(B28:D28)</f>
        <v>81.966666666666654</v>
      </c>
    </row>
    <row r="29" spans="1:17" ht="15" x14ac:dyDescent="0.2">
      <c r="A29" s="101" t="s">
        <v>39</v>
      </c>
      <c r="B29" s="105">
        <v>8.1</v>
      </c>
      <c r="C29" s="3">
        <v>8.1999999999999993</v>
      </c>
      <c r="D29" s="3">
        <v>8.6</v>
      </c>
      <c r="E29" s="93">
        <f>AVERAGE(B29:D29)</f>
        <v>8.2999999999999989</v>
      </c>
    </row>
    <row r="30" spans="1:17" ht="15" x14ac:dyDescent="0.2">
      <c r="A30" s="102" t="s">
        <v>59</v>
      </c>
      <c r="B30" s="106">
        <v>0.53100000000000003</v>
      </c>
      <c r="C30" s="94">
        <v>0.51200000000000001</v>
      </c>
      <c r="D30" s="94">
        <v>0.46500000000000002</v>
      </c>
      <c r="E30" s="95">
        <v>0.503</v>
      </c>
    </row>
    <row r="31" spans="1:17" ht="15.75" x14ac:dyDescent="0.25">
      <c r="A31" s="100" t="s">
        <v>142</v>
      </c>
      <c r="B31" s="90" t="s">
        <v>43</v>
      </c>
      <c r="C31" s="91" t="s">
        <v>43</v>
      </c>
      <c r="D31" s="91" t="s">
        <v>43</v>
      </c>
      <c r="E31" s="92" t="s">
        <v>43</v>
      </c>
    </row>
    <row r="32" spans="1:17" ht="15" x14ac:dyDescent="0.2">
      <c r="A32" s="101" t="s">
        <v>80</v>
      </c>
      <c r="B32" s="105">
        <v>71.900000000000006</v>
      </c>
      <c r="C32" s="3">
        <v>68</v>
      </c>
      <c r="D32" s="3">
        <v>67.5</v>
      </c>
      <c r="E32" s="93">
        <f>AVERAGE(B32:D32)</f>
        <v>69.13333333333334</v>
      </c>
    </row>
    <row r="33" spans="1:5" ht="15" x14ac:dyDescent="0.2">
      <c r="A33" s="101" t="s">
        <v>39</v>
      </c>
      <c r="B33" s="105">
        <v>11.5</v>
      </c>
      <c r="C33" s="3">
        <v>11.5</v>
      </c>
      <c r="D33" s="3">
        <v>11.6</v>
      </c>
      <c r="E33" s="93">
        <f>AVERAGE(B33:D33)</f>
        <v>11.533333333333333</v>
      </c>
    </row>
    <row r="34" spans="1:5" ht="15" x14ac:dyDescent="0.2">
      <c r="A34" s="102" t="s">
        <v>59</v>
      </c>
      <c r="B34" s="106">
        <v>0.61799999999999999</v>
      </c>
      <c r="C34" s="94">
        <v>0.60899999999999999</v>
      </c>
      <c r="D34" s="94">
        <v>0.59299999999999997</v>
      </c>
      <c r="E34" s="95">
        <v>0.60599999999999998</v>
      </c>
    </row>
    <row r="35" spans="1:5" ht="15.75" x14ac:dyDescent="0.25">
      <c r="A35" s="103" t="s">
        <v>143</v>
      </c>
      <c r="B35" s="96" t="s">
        <v>43</v>
      </c>
      <c r="C35" s="97" t="s">
        <v>43</v>
      </c>
      <c r="D35" s="97" t="s">
        <v>43</v>
      </c>
      <c r="E35" s="98" t="s">
        <v>43</v>
      </c>
    </row>
    <row r="36" spans="1:5" ht="15" x14ac:dyDescent="0.2">
      <c r="A36" s="101" t="s">
        <v>80</v>
      </c>
      <c r="B36" s="105">
        <v>80.400000000000006</v>
      </c>
      <c r="C36" s="3">
        <v>86.9</v>
      </c>
      <c r="D36" s="3">
        <v>87.9</v>
      </c>
      <c r="E36" s="93">
        <f>AVERAGE(B36:D36)</f>
        <v>85.066666666666677</v>
      </c>
    </row>
    <row r="37" spans="1:5" ht="15" x14ac:dyDescent="0.2">
      <c r="A37" s="101" t="s">
        <v>39</v>
      </c>
      <c r="B37" s="105">
        <v>8.6999999999999993</v>
      </c>
      <c r="C37" s="3">
        <v>8.6</v>
      </c>
      <c r="D37" s="3">
        <v>8.9</v>
      </c>
      <c r="E37" s="93">
        <f>AVERAGE(B37:D37)</f>
        <v>8.7333333333333325</v>
      </c>
    </row>
    <row r="38" spans="1:5" ht="15" x14ac:dyDescent="0.2">
      <c r="A38" s="102" t="s">
        <v>59</v>
      </c>
      <c r="B38" s="106">
        <v>0.28000000000000003</v>
      </c>
      <c r="C38" s="94">
        <v>0.29299999999999998</v>
      </c>
      <c r="D38" s="94">
        <v>0.29199999999999998</v>
      </c>
      <c r="E38" s="95">
        <v>0.28799999999999998</v>
      </c>
    </row>
    <row r="39" spans="1:5" x14ac:dyDescent="0.2">
      <c r="A39" t="s">
        <v>144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6"/>
  <sheetViews>
    <sheetView topLeftCell="B25" workbookViewId="0"/>
  </sheetViews>
  <sheetFormatPr defaultRowHeight="12.75" x14ac:dyDescent="0.2"/>
  <cols>
    <col min="2" max="2" width="10.85546875" customWidth="1"/>
    <col min="3" max="3" width="9.85546875" customWidth="1"/>
    <col min="5" max="5" width="9.85546875" customWidth="1"/>
    <col min="6" max="6" width="11.140625" customWidth="1"/>
  </cols>
  <sheetData>
    <row r="1" spans="1:9" ht="23.25" x14ac:dyDescent="0.35">
      <c r="A1" s="61" t="s">
        <v>0</v>
      </c>
      <c r="B1" s="135"/>
      <c r="C1" s="135"/>
      <c r="D1" s="135"/>
      <c r="E1" s="135"/>
      <c r="F1" s="135"/>
      <c r="G1" s="135"/>
      <c r="H1" s="135"/>
      <c r="I1" s="135"/>
    </row>
    <row r="2" spans="1:9" ht="23.25" x14ac:dyDescent="0.35">
      <c r="A2" s="61" t="s">
        <v>1</v>
      </c>
      <c r="B2" s="135"/>
      <c r="C2" s="135"/>
      <c r="D2" s="135"/>
      <c r="E2" s="135"/>
      <c r="F2" s="135"/>
      <c r="G2" s="135"/>
      <c r="H2" s="135"/>
      <c r="I2" s="135"/>
    </row>
    <row r="3" spans="1:9" ht="23.25" x14ac:dyDescent="0.35">
      <c r="A3" s="61" t="s">
        <v>2</v>
      </c>
      <c r="B3" s="135"/>
      <c r="C3" s="135"/>
      <c r="D3" s="135"/>
      <c r="E3" s="135"/>
      <c r="F3" s="135"/>
      <c r="G3" s="135"/>
      <c r="H3" s="135"/>
      <c r="I3" s="135"/>
    </row>
    <row r="5" spans="1:9" ht="18" x14ac:dyDescent="0.25">
      <c r="A5" s="70" t="s">
        <v>150</v>
      </c>
    </row>
    <row r="7" spans="1:9" ht="18" x14ac:dyDescent="0.25">
      <c r="A7" s="131" t="s">
        <v>151</v>
      </c>
    </row>
    <row r="8" spans="1:9" ht="15" x14ac:dyDescent="0.2">
      <c r="A8" s="8"/>
      <c r="B8" s="8"/>
      <c r="C8" s="8"/>
      <c r="D8" s="8"/>
      <c r="E8" s="8"/>
      <c r="F8" s="8"/>
      <c r="G8" s="8"/>
      <c r="H8" s="8"/>
      <c r="I8" s="8"/>
    </row>
    <row r="9" spans="1:9" ht="15" x14ac:dyDescent="0.2">
      <c r="A9" s="8"/>
      <c r="B9" s="8"/>
      <c r="C9" s="8"/>
      <c r="D9" s="8"/>
      <c r="E9" s="8"/>
      <c r="F9" s="8"/>
      <c r="G9" s="8"/>
      <c r="H9" s="8"/>
      <c r="I9" s="8"/>
    </row>
    <row r="10" spans="1:9" ht="15" x14ac:dyDescent="0.2">
      <c r="A10" s="8" t="s">
        <v>152</v>
      </c>
      <c r="B10" s="8"/>
      <c r="C10" s="8"/>
      <c r="D10" s="8"/>
      <c r="E10" s="8"/>
      <c r="F10" s="8"/>
      <c r="G10" s="8"/>
      <c r="H10" s="8"/>
      <c r="I10" s="8"/>
    </row>
    <row r="11" spans="1:9" ht="15" x14ac:dyDescent="0.2">
      <c r="A11" s="8" t="s">
        <v>153</v>
      </c>
      <c r="B11" s="8"/>
      <c r="C11" s="8">
        <v>2000</v>
      </c>
      <c r="D11" s="8" t="s">
        <v>154</v>
      </c>
      <c r="E11" s="8"/>
      <c r="F11" s="8"/>
      <c r="G11" s="8"/>
      <c r="H11" s="8"/>
      <c r="I11" s="8"/>
    </row>
    <row r="12" spans="1:9" ht="15" x14ac:dyDescent="0.2">
      <c r="A12" s="8" t="s">
        <v>155</v>
      </c>
      <c r="B12" s="8"/>
      <c r="C12" s="8">
        <v>4000</v>
      </c>
      <c r="D12" s="8" t="s">
        <v>156</v>
      </c>
      <c r="E12" s="8"/>
      <c r="F12" s="8"/>
      <c r="G12" s="8"/>
      <c r="H12" s="8"/>
      <c r="I12" s="8"/>
    </row>
    <row r="13" spans="1:9" ht="15" x14ac:dyDescent="0.2">
      <c r="A13" s="8" t="s">
        <v>157</v>
      </c>
      <c r="B13" s="8"/>
      <c r="C13" s="8">
        <v>451</v>
      </c>
      <c r="D13" s="8"/>
      <c r="E13" s="8"/>
      <c r="F13" s="8"/>
      <c r="G13" s="8"/>
      <c r="H13" s="8"/>
      <c r="I13" s="8"/>
    </row>
    <row r="14" spans="1:9" ht="15" x14ac:dyDescent="0.2">
      <c r="A14" s="8" t="s">
        <v>72</v>
      </c>
      <c r="B14" s="8"/>
      <c r="C14" s="8">
        <v>7500</v>
      </c>
      <c r="D14" s="8" t="s">
        <v>73</v>
      </c>
      <c r="E14" s="8"/>
      <c r="F14" s="8"/>
      <c r="G14" s="8"/>
      <c r="H14" s="8"/>
      <c r="I14" s="8"/>
    </row>
    <row r="15" spans="1:9" ht="15" x14ac:dyDescent="0.2">
      <c r="A15" s="8" t="s">
        <v>158</v>
      </c>
      <c r="B15" s="8"/>
      <c r="C15" s="8"/>
      <c r="D15" s="8"/>
      <c r="E15" s="8"/>
      <c r="F15" s="8"/>
      <c r="G15" s="8"/>
      <c r="H15" s="8"/>
      <c r="I15" s="8"/>
    </row>
    <row r="16" spans="1:9" ht="15" x14ac:dyDescent="0.2">
      <c r="A16" s="9" t="s">
        <v>49</v>
      </c>
      <c r="B16" s="9">
        <v>1.9400000000000001E-2</v>
      </c>
      <c r="C16" s="9" t="s">
        <v>50</v>
      </c>
      <c r="D16" s="8"/>
      <c r="E16" s="8"/>
      <c r="F16" s="8"/>
      <c r="G16" s="8"/>
      <c r="H16" s="8"/>
      <c r="I16" s="8"/>
    </row>
    <row r="17" spans="1:256" ht="15" x14ac:dyDescent="0.2">
      <c r="A17" s="9" t="s">
        <v>51</v>
      </c>
      <c r="B17" s="120">
        <v>5.8799999999999998E-4</v>
      </c>
      <c r="C17" s="9" t="s">
        <v>50</v>
      </c>
      <c r="D17" s="8"/>
      <c r="E17" s="8"/>
      <c r="F17" s="8"/>
      <c r="G17" s="8"/>
      <c r="H17" s="8"/>
      <c r="I17" s="8"/>
    </row>
    <row r="18" spans="1:256" ht="15" x14ac:dyDescent="0.2">
      <c r="A18" s="8"/>
      <c r="B18" s="8"/>
      <c r="C18" s="8"/>
      <c r="D18" s="8"/>
      <c r="E18" s="8"/>
      <c r="F18" s="8"/>
      <c r="G18" s="8"/>
      <c r="H18" s="8"/>
      <c r="I18" s="8"/>
    </row>
    <row r="19" spans="1:256" ht="15" x14ac:dyDescent="0.2">
      <c r="A19" s="8"/>
      <c r="B19" s="8"/>
      <c r="C19" s="8"/>
      <c r="D19" s="8"/>
      <c r="E19" s="8"/>
      <c r="F19" s="8"/>
      <c r="G19" s="8"/>
      <c r="H19" s="8"/>
      <c r="I19" s="8"/>
    </row>
    <row r="20" spans="1:256" ht="15" x14ac:dyDescent="0.2">
      <c r="A20" s="132"/>
      <c r="B20" s="122" t="s">
        <v>159</v>
      </c>
      <c r="C20" s="123"/>
      <c r="D20" s="123"/>
      <c r="E20" s="123"/>
      <c r="F20" s="123"/>
      <c r="G20" s="8"/>
      <c r="H20" s="8"/>
      <c r="I20" s="8"/>
    </row>
    <row r="21" spans="1:256" ht="15" x14ac:dyDescent="0.2">
      <c r="A21" s="133" t="s">
        <v>86</v>
      </c>
      <c r="B21" s="136" t="s">
        <v>80</v>
      </c>
      <c r="C21" s="113" t="s">
        <v>39</v>
      </c>
      <c r="D21" s="113" t="s">
        <v>59</v>
      </c>
      <c r="E21" s="113" t="s">
        <v>49</v>
      </c>
      <c r="F21" s="141" t="s">
        <v>51</v>
      </c>
    </row>
    <row r="22" spans="1:256" ht="15" x14ac:dyDescent="0.2">
      <c r="A22" s="134">
        <v>101</v>
      </c>
      <c r="B22" s="7">
        <f>'2000 EIQ'!E28*$C$11/2000</f>
        <v>81.966666666666654</v>
      </c>
      <c r="C22" s="7">
        <f>'2000 EIQ'!E29*$C$11/2000</f>
        <v>8.2999999999999989</v>
      </c>
      <c r="D22" s="7">
        <f>'2000 EIQ'!E30*$C$11/2000</f>
        <v>0.503</v>
      </c>
      <c r="E22" s="139">
        <f>$C$14*$C$12*$C$11/1000000*B16/2000</f>
        <v>0.58199999999999996</v>
      </c>
      <c r="F22" s="142">
        <f>$C$14*$C$12*$C$11/1000000*B17/2000</f>
        <v>1.7639999999999999E-2</v>
      </c>
    </row>
    <row r="23" spans="1:256" ht="15" x14ac:dyDescent="0.2">
      <c r="A23" s="134">
        <v>102</v>
      </c>
      <c r="B23" s="7">
        <f>'2000 EIQ'!E32*$C$11/2000</f>
        <v>69.13333333333334</v>
      </c>
      <c r="C23" s="7">
        <f>'2000 EIQ'!E33*$C$11/2000</f>
        <v>11.533333333333333</v>
      </c>
      <c r="D23" s="7">
        <f>'2000 EIQ'!E34*$C$11/2000</f>
        <v>0.60599999999999998</v>
      </c>
      <c r="E23" s="139">
        <f>+E22</f>
        <v>0.58199999999999996</v>
      </c>
      <c r="F23" s="142">
        <f>+F22</f>
        <v>1.7639999999999999E-2</v>
      </c>
    </row>
    <row r="24" spans="1:256" ht="15" x14ac:dyDescent="0.2">
      <c r="A24" s="134">
        <v>103</v>
      </c>
      <c r="B24" s="7">
        <f>'2000 EIQ'!E36*$C$11/2000</f>
        <v>85.066666666666677</v>
      </c>
      <c r="C24" s="7">
        <f>'2000 EIQ'!E37*$C$11/2000</f>
        <v>8.7333333333333325</v>
      </c>
      <c r="D24" s="7">
        <f>'2000 EIQ'!E38*$C$11/2000</f>
        <v>0.28799999999999998</v>
      </c>
      <c r="E24" s="139">
        <f>+E23</f>
        <v>0.58199999999999996</v>
      </c>
      <c r="F24" s="142">
        <f>+F23</f>
        <v>1.7639999999999999E-2</v>
      </c>
    </row>
    <row r="25" spans="1:256" ht="15" x14ac:dyDescent="0.2">
      <c r="A25" s="134">
        <v>121</v>
      </c>
      <c r="B25" s="7">
        <v>0</v>
      </c>
      <c r="C25" s="139">
        <v>0</v>
      </c>
      <c r="D25" s="139">
        <v>0</v>
      </c>
      <c r="E25" s="139">
        <v>0</v>
      </c>
      <c r="F25" s="142">
        <v>0</v>
      </c>
    </row>
    <row r="26" spans="1:256" ht="15" x14ac:dyDescent="0.2">
      <c r="A26" s="133">
        <v>122</v>
      </c>
      <c r="B26" s="137">
        <v>0</v>
      </c>
      <c r="C26" s="140">
        <v>0</v>
      </c>
      <c r="D26" s="140">
        <v>0</v>
      </c>
      <c r="E26" s="140">
        <f>+E25</f>
        <v>0</v>
      </c>
      <c r="F26" s="143">
        <f>+F25</f>
        <v>0</v>
      </c>
    </row>
    <row r="27" spans="1:256" ht="15" x14ac:dyDescent="0.2">
      <c r="A27" s="114" t="s">
        <v>98</v>
      </c>
      <c r="B27" s="138">
        <f>SUM(B22:B26)</f>
        <v>236.16666666666669</v>
      </c>
      <c r="C27" s="126">
        <f>SUM(C22:C26)</f>
        <v>28.566666666666663</v>
      </c>
      <c r="D27" s="126">
        <f>SUM(D22:D26)</f>
        <v>1.397</v>
      </c>
      <c r="E27" s="126">
        <f>SUM(E22:E26)</f>
        <v>1.746</v>
      </c>
      <c r="F27" s="144">
        <f>SUM(F22:F26)</f>
        <v>5.2919999999999995E-2</v>
      </c>
    </row>
    <row r="28" spans="1:256" x14ac:dyDescent="0.2">
      <c r="A28" t="s">
        <v>160</v>
      </c>
    </row>
    <row r="29" spans="1:256" x14ac:dyDescent="0.2">
      <c r="A29" s="129"/>
    </row>
    <row r="30" spans="1:256" ht="15.75" x14ac:dyDescent="0.25">
      <c r="A30" s="2" t="s">
        <v>161</v>
      </c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256" ht="15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256" ht="15" x14ac:dyDescent="0.2">
      <c r="A32" s="8" t="s">
        <v>162</v>
      </c>
      <c r="B32" s="8"/>
      <c r="C32" s="8"/>
      <c r="D32" s="8"/>
      <c r="E32" s="8"/>
      <c r="F32" s="8"/>
      <c r="G32" s="8"/>
      <c r="H32" s="8"/>
      <c r="I32" s="8"/>
      <c r="J32" s="8">
        <f>'Netting Calcs'!B31+40</f>
        <v>626.21050360499999</v>
      </c>
      <c r="K32" s="8" t="s">
        <v>163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</row>
    <row r="33" spans="1:256" ht="15" x14ac:dyDescent="0.2">
      <c r="A33" s="8" t="s">
        <v>164</v>
      </c>
      <c r="B33" s="8"/>
      <c r="C33" s="8"/>
      <c r="D33" s="8"/>
      <c r="E33" s="8"/>
      <c r="F33" s="8">
        <f>J32/2</f>
        <v>313.10525180249999</v>
      </c>
      <c r="G33" s="8" t="s">
        <v>163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</row>
    <row r="34" spans="1:256" ht="15" x14ac:dyDescent="0.2">
      <c r="A34" s="8" t="s">
        <v>165</v>
      </c>
      <c r="B34" s="8"/>
      <c r="C34" s="8"/>
      <c r="D34" s="8"/>
      <c r="E34" s="8"/>
      <c r="F34" s="8">
        <f>'Netting Calcs'!B36/2</f>
        <v>74.629299999999986</v>
      </c>
      <c r="G34" s="8" t="s">
        <v>163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</row>
    <row r="35" spans="1:256" ht="15" x14ac:dyDescent="0.2">
      <c r="A35" s="8" t="s">
        <v>166</v>
      </c>
      <c r="B35" s="8"/>
      <c r="C35" s="8"/>
      <c r="D35" s="8"/>
      <c r="E35" s="8"/>
      <c r="F35" s="8"/>
      <c r="G35" s="8">
        <f>F33-F34</f>
        <v>238.47595180249999</v>
      </c>
      <c r="H35" s="8" t="s">
        <v>163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</row>
    <row r="36" spans="1:256" ht="15" x14ac:dyDescent="0.2">
      <c r="A36" s="8" t="s">
        <v>167</v>
      </c>
      <c r="B36" s="8"/>
      <c r="C36" s="8"/>
      <c r="D36" s="8">
        <f>C11</f>
        <v>2000</v>
      </c>
      <c r="E36" s="8" t="s">
        <v>154</v>
      </c>
      <c r="F36" s="8">
        <f>B27</f>
        <v>236.16666666666669</v>
      </c>
      <c r="G36" s="8" t="s">
        <v>168</v>
      </c>
      <c r="H36" s="8">
        <f>G35</f>
        <v>238.47595180249999</v>
      </c>
      <c r="I36" s="8" t="s">
        <v>163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topLeftCell="A24" workbookViewId="0"/>
  </sheetViews>
  <sheetFormatPr defaultRowHeight="12.75" x14ac:dyDescent="0.2"/>
  <sheetData>
    <row r="1" spans="1:14" ht="23.25" x14ac:dyDescent="0.35">
      <c r="A1" s="145" t="s">
        <v>0</v>
      </c>
    </row>
    <row r="2" spans="1:14" ht="23.25" x14ac:dyDescent="0.35">
      <c r="A2" s="145" t="s">
        <v>1</v>
      </c>
    </row>
    <row r="3" spans="1:14" ht="23.25" x14ac:dyDescent="0.35">
      <c r="A3" s="145" t="s">
        <v>2</v>
      </c>
    </row>
    <row r="4" spans="1:14" ht="15" x14ac:dyDescent="0.2">
      <c r="A4" s="8"/>
      <c r="B4" s="8"/>
    </row>
    <row r="5" spans="1:14" ht="18" x14ac:dyDescent="0.25">
      <c r="A5" s="70" t="s">
        <v>169</v>
      </c>
    </row>
    <row r="6" spans="1:14" ht="15" x14ac:dyDescent="0.2">
      <c r="A6" s="8"/>
      <c r="B6" s="8"/>
    </row>
    <row r="7" spans="1:14" ht="15" x14ac:dyDescent="0.2">
      <c r="A7" s="8"/>
      <c r="B7" s="8"/>
    </row>
    <row r="8" spans="1:14" ht="15.75" x14ac:dyDescent="0.25">
      <c r="A8" s="146" t="s">
        <v>170</v>
      </c>
    </row>
    <row r="9" spans="1:14" ht="15" x14ac:dyDescent="0.2">
      <c r="A9" s="8"/>
      <c r="B9" s="8"/>
    </row>
    <row r="10" spans="1:14" ht="15.75" x14ac:dyDescent="0.25">
      <c r="A10" s="2" t="s">
        <v>171</v>
      </c>
      <c r="B10" s="8"/>
    </row>
    <row r="11" spans="1:14" ht="15" x14ac:dyDescent="0.2">
      <c r="A11" s="147"/>
      <c r="B11" s="132"/>
      <c r="C11" s="151"/>
      <c r="D11" s="122" t="s">
        <v>80</v>
      </c>
      <c r="E11" s="123"/>
      <c r="F11" s="127" t="s">
        <v>39</v>
      </c>
      <c r="G11" s="123"/>
      <c r="H11" s="127" t="s">
        <v>59</v>
      </c>
      <c r="I11" s="123"/>
      <c r="J11" s="127" t="s">
        <v>49</v>
      </c>
      <c r="K11" s="123"/>
      <c r="L11" s="127" t="s">
        <v>51</v>
      </c>
      <c r="M11" s="123"/>
      <c r="N11" s="8"/>
    </row>
    <row r="12" spans="1:14" ht="15" x14ac:dyDescent="0.2">
      <c r="A12" s="148" t="s">
        <v>86</v>
      </c>
      <c r="B12" s="150" t="s">
        <v>172</v>
      </c>
      <c r="C12" s="150" t="s">
        <v>173</v>
      </c>
      <c r="D12" s="136" t="s">
        <v>81</v>
      </c>
      <c r="E12" s="113" t="s">
        <v>163</v>
      </c>
      <c r="F12" s="113" t="s">
        <v>81</v>
      </c>
      <c r="G12" s="113" t="s">
        <v>163</v>
      </c>
      <c r="H12" s="113" t="s">
        <v>81</v>
      </c>
      <c r="I12" s="113" t="s">
        <v>163</v>
      </c>
      <c r="J12" s="113" t="s">
        <v>81</v>
      </c>
      <c r="K12" s="113" t="s">
        <v>163</v>
      </c>
      <c r="L12" s="113" t="s">
        <v>81</v>
      </c>
      <c r="M12" s="113" t="s">
        <v>163</v>
      </c>
      <c r="N12" s="8"/>
    </row>
    <row r="13" spans="1:14" ht="15" x14ac:dyDescent="0.2">
      <c r="A13" s="48">
        <v>101</v>
      </c>
      <c r="B13" s="134" t="s">
        <v>174</v>
      </c>
      <c r="C13" s="134" t="s">
        <v>175</v>
      </c>
      <c r="D13" s="7">
        <v>0</v>
      </c>
      <c r="E13" s="139">
        <v>0</v>
      </c>
      <c r="F13" s="139">
        <v>0</v>
      </c>
      <c r="G13" s="139">
        <v>0</v>
      </c>
      <c r="H13" s="139">
        <v>0</v>
      </c>
      <c r="I13" s="139">
        <v>0</v>
      </c>
      <c r="J13" s="139">
        <v>0</v>
      </c>
      <c r="K13" s="139">
        <v>0</v>
      </c>
      <c r="L13" s="139">
        <v>0</v>
      </c>
      <c r="M13" s="139">
        <v>0</v>
      </c>
      <c r="N13" s="8"/>
    </row>
    <row r="14" spans="1:14" ht="15" x14ac:dyDescent="0.2">
      <c r="A14" s="48">
        <v>102</v>
      </c>
      <c r="B14" s="134" t="s">
        <v>176</v>
      </c>
      <c r="C14" s="134" t="s">
        <v>177</v>
      </c>
      <c r="D14" s="7">
        <v>0</v>
      </c>
      <c r="E14" s="139">
        <v>0</v>
      </c>
      <c r="F14" s="139">
        <v>0</v>
      </c>
      <c r="G14" s="139">
        <v>0</v>
      </c>
      <c r="H14" s="139">
        <v>0</v>
      </c>
      <c r="I14" s="139">
        <v>0</v>
      </c>
      <c r="J14" s="139">
        <v>0</v>
      </c>
      <c r="K14" s="139">
        <v>0</v>
      </c>
      <c r="L14" s="139">
        <v>0</v>
      </c>
      <c r="M14" s="139">
        <v>0</v>
      </c>
      <c r="N14" s="8"/>
    </row>
    <row r="15" spans="1:14" ht="15" x14ac:dyDescent="0.2">
      <c r="A15" s="48">
        <v>103</v>
      </c>
      <c r="B15" s="134" t="s">
        <v>178</v>
      </c>
      <c r="C15" s="134" t="s">
        <v>179</v>
      </c>
      <c r="D15" s="7">
        <v>0</v>
      </c>
      <c r="E15" s="139">
        <v>0</v>
      </c>
      <c r="F15" s="139">
        <v>0</v>
      </c>
      <c r="G15" s="139">
        <v>0</v>
      </c>
      <c r="H15" s="139">
        <v>0</v>
      </c>
      <c r="I15" s="139">
        <v>0</v>
      </c>
      <c r="J15" s="139">
        <v>0</v>
      </c>
      <c r="K15" s="139">
        <v>0</v>
      </c>
      <c r="L15" s="139">
        <v>0</v>
      </c>
      <c r="M15" s="139">
        <v>0</v>
      </c>
      <c r="N15" s="8"/>
    </row>
    <row r="16" spans="1:14" ht="15" x14ac:dyDescent="0.2">
      <c r="A16" s="48">
        <v>121</v>
      </c>
      <c r="B16" s="134" t="s">
        <v>180</v>
      </c>
      <c r="C16" s="134" t="s">
        <v>181</v>
      </c>
      <c r="D16" s="7">
        <v>0</v>
      </c>
      <c r="E16" s="139">
        <v>0</v>
      </c>
      <c r="F16" s="139">
        <v>0</v>
      </c>
      <c r="G16" s="139">
        <v>0</v>
      </c>
      <c r="H16" s="139">
        <v>0</v>
      </c>
      <c r="I16" s="139">
        <v>0</v>
      </c>
      <c r="J16" s="139">
        <v>0</v>
      </c>
      <c r="K16" s="139">
        <v>0</v>
      </c>
      <c r="L16" s="139">
        <v>0</v>
      </c>
      <c r="M16" s="139">
        <v>0</v>
      </c>
      <c r="N16" s="8"/>
    </row>
    <row r="17" spans="1:14" ht="15" x14ac:dyDescent="0.2">
      <c r="A17" s="48">
        <v>122</v>
      </c>
      <c r="B17" s="134" t="s">
        <v>182</v>
      </c>
      <c r="C17" s="134" t="s">
        <v>183</v>
      </c>
      <c r="D17" s="7">
        <v>0</v>
      </c>
      <c r="E17" s="139">
        <v>0</v>
      </c>
      <c r="F17" s="139">
        <v>0</v>
      </c>
      <c r="G17" s="139">
        <v>0</v>
      </c>
      <c r="H17" s="139">
        <v>0</v>
      </c>
      <c r="I17" s="139">
        <v>0</v>
      </c>
      <c r="J17" s="139">
        <v>0</v>
      </c>
      <c r="K17" s="139">
        <v>0</v>
      </c>
      <c r="L17" s="139">
        <v>0</v>
      </c>
      <c r="M17" s="139">
        <v>0</v>
      </c>
      <c r="N17" s="8"/>
    </row>
    <row r="18" spans="1:14" ht="15" x14ac:dyDescent="0.2">
      <c r="A18" s="48">
        <v>104</v>
      </c>
      <c r="B18" s="134" t="s">
        <v>184</v>
      </c>
      <c r="C18" s="134" t="s">
        <v>185</v>
      </c>
      <c r="D18" s="7">
        <f>+Turbine!B62</f>
        <v>31.97</v>
      </c>
      <c r="E18" s="139">
        <f>+Turbine!C62</f>
        <v>140.02859999999998</v>
      </c>
      <c r="F18" s="139">
        <f>+Turbine!B63</f>
        <v>19.434999999999995</v>
      </c>
      <c r="G18" s="139">
        <f>+Turbine!C63</f>
        <v>85.125299999999982</v>
      </c>
      <c r="H18" s="139">
        <f>+Turbine!B64</f>
        <v>0.67849999999999999</v>
      </c>
      <c r="I18" s="139">
        <f>+Turbine!C64</f>
        <v>2.9718300000000002</v>
      </c>
      <c r="J18" s="139">
        <f>+Turbine!B65</f>
        <v>2.9281989567600002</v>
      </c>
      <c r="K18" s="139">
        <f>+Turbine!C65</f>
        <v>12.825511430608799</v>
      </c>
      <c r="L18" s="139">
        <f>+Turbine!B66</f>
        <v>1.5084661292399997</v>
      </c>
      <c r="M18" s="139">
        <f>+Turbine!C66</f>
        <v>6.6070816460711992</v>
      </c>
      <c r="N18" s="8"/>
    </row>
    <row r="19" spans="1:14" ht="15" x14ac:dyDescent="0.2">
      <c r="A19" s="149">
        <v>123</v>
      </c>
      <c r="B19" s="133" t="s">
        <v>186</v>
      </c>
      <c r="C19" s="133" t="s">
        <v>187</v>
      </c>
      <c r="D19" s="137">
        <f>+'Gen Engines'!B35</f>
        <v>9.23</v>
      </c>
      <c r="E19" s="140">
        <f>+'Gen Engines'!C35</f>
        <v>9.23</v>
      </c>
      <c r="F19" s="140">
        <f>+'Gen Engines'!B36</f>
        <v>9.65</v>
      </c>
      <c r="G19" s="140">
        <f>+'Gen Engines'!C36</f>
        <v>9.65</v>
      </c>
      <c r="H19" s="140">
        <f>+'Gen Engines'!B37</f>
        <v>0.12</v>
      </c>
      <c r="I19" s="140">
        <f>+'Gen Engines'!C37</f>
        <v>0.12</v>
      </c>
      <c r="J19" s="140">
        <f>+'Gen Engines'!B38</f>
        <v>2.82</v>
      </c>
      <c r="K19" s="140">
        <f>+'Gen Engines'!C38</f>
        <v>2.82</v>
      </c>
      <c r="L19" s="140">
        <f>+'Gen Engines'!B39</f>
        <v>1.07212281264</v>
      </c>
      <c r="M19" s="140">
        <f>+'Gen Engines'!C39</f>
        <v>1.07212281264</v>
      </c>
      <c r="N19" s="8"/>
    </row>
    <row r="20" spans="1:14" ht="15" x14ac:dyDescent="0.2">
      <c r="A20" s="115"/>
      <c r="B20" s="114"/>
      <c r="C20" s="114" t="s">
        <v>98</v>
      </c>
      <c r="D20" s="138">
        <f t="shared" ref="D20:M20" si="0">SUM(D13:D19)</f>
        <v>41.2</v>
      </c>
      <c r="E20" s="138">
        <f t="shared" si="0"/>
        <v>149.25859999999997</v>
      </c>
      <c r="F20" s="138">
        <f t="shared" si="0"/>
        <v>29.084999999999994</v>
      </c>
      <c r="G20" s="138">
        <f t="shared" si="0"/>
        <v>94.775299999999987</v>
      </c>
      <c r="H20" s="138">
        <f t="shared" si="0"/>
        <v>0.79849999999999999</v>
      </c>
      <c r="I20" s="138">
        <f t="shared" si="0"/>
        <v>3.0918300000000003</v>
      </c>
      <c r="J20" s="138">
        <f t="shared" si="0"/>
        <v>5.7481989567599996</v>
      </c>
      <c r="K20" s="138">
        <f t="shared" si="0"/>
        <v>15.645511430608799</v>
      </c>
      <c r="L20" s="138">
        <f t="shared" si="0"/>
        <v>2.5805889418799994</v>
      </c>
      <c r="M20" s="144">
        <f t="shared" si="0"/>
        <v>7.6792044587111992</v>
      </c>
      <c r="N20" s="8"/>
    </row>
    <row r="21" spans="1:14" ht="15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ht="15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ht="15.75" x14ac:dyDescent="0.25">
      <c r="A23" s="2" t="s">
        <v>188</v>
      </c>
      <c r="B23" s="8"/>
      <c r="N23" s="8"/>
    </row>
    <row r="24" spans="1:14" ht="15" x14ac:dyDescent="0.2">
      <c r="A24" s="147"/>
      <c r="B24" s="132"/>
      <c r="C24" s="151"/>
      <c r="D24" s="122" t="s">
        <v>80</v>
      </c>
      <c r="E24" s="123"/>
      <c r="F24" s="127" t="s">
        <v>39</v>
      </c>
      <c r="G24" s="123"/>
      <c r="H24" s="127" t="s">
        <v>59</v>
      </c>
      <c r="I24" s="123"/>
      <c r="J24" s="127" t="s">
        <v>49</v>
      </c>
      <c r="K24" s="123"/>
      <c r="L24" s="127" t="s">
        <v>51</v>
      </c>
      <c r="M24" s="123"/>
      <c r="N24" s="8"/>
    </row>
    <row r="25" spans="1:14" ht="15" x14ac:dyDescent="0.2">
      <c r="A25" s="148" t="s">
        <v>86</v>
      </c>
      <c r="B25" s="150" t="s">
        <v>172</v>
      </c>
      <c r="C25" s="150" t="s">
        <v>173</v>
      </c>
      <c r="D25" s="136" t="s">
        <v>81</v>
      </c>
      <c r="E25" s="113" t="s">
        <v>163</v>
      </c>
      <c r="F25" s="113" t="s">
        <v>81</v>
      </c>
      <c r="G25" s="113" t="s">
        <v>163</v>
      </c>
      <c r="H25" s="113" t="s">
        <v>81</v>
      </c>
      <c r="I25" s="113" t="s">
        <v>163</v>
      </c>
      <c r="J25" s="113" t="s">
        <v>81</v>
      </c>
      <c r="K25" s="113" t="s">
        <v>163</v>
      </c>
      <c r="L25" s="113" t="s">
        <v>81</v>
      </c>
      <c r="M25" s="113" t="s">
        <v>163</v>
      </c>
      <c r="N25" s="8"/>
    </row>
    <row r="26" spans="1:14" ht="15" x14ac:dyDescent="0.2">
      <c r="A26" s="48">
        <v>101</v>
      </c>
      <c r="B26" s="134" t="s">
        <v>174</v>
      </c>
      <c r="C26" s="134" t="s">
        <v>175</v>
      </c>
      <c r="D26" s="7"/>
      <c r="E26" s="139">
        <f>Alternative!B22</f>
        <v>81.966666666666654</v>
      </c>
      <c r="F26" s="139"/>
      <c r="G26" s="139">
        <f>Alternative!C22</f>
        <v>8.2999999999999989</v>
      </c>
      <c r="H26" s="139"/>
      <c r="I26" s="139">
        <f>Alternative!D22</f>
        <v>0.503</v>
      </c>
      <c r="J26" s="139"/>
      <c r="K26" s="139">
        <f>Alternative!E22</f>
        <v>0.58199999999999996</v>
      </c>
      <c r="L26" s="139"/>
      <c r="M26" s="139">
        <f>Alternative!F22</f>
        <v>1.7639999999999999E-2</v>
      </c>
      <c r="N26" s="8"/>
    </row>
    <row r="27" spans="1:14" ht="15" x14ac:dyDescent="0.2">
      <c r="A27" s="48">
        <v>102</v>
      </c>
      <c r="B27" s="134" t="s">
        <v>176</v>
      </c>
      <c r="C27" s="134" t="s">
        <v>177</v>
      </c>
      <c r="D27" s="7"/>
      <c r="E27" s="139">
        <f>Alternative!B23</f>
        <v>69.13333333333334</v>
      </c>
      <c r="F27" s="139"/>
      <c r="G27" s="139">
        <f>Alternative!C23</f>
        <v>11.533333333333333</v>
      </c>
      <c r="H27" s="139"/>
      <c r="I27" s="139">
        <f>Alternative!D23</f>
        <v>0.60599999999999998</v>
      </c>
      <c r="J27" s="139"/>
      <c r="K27" s="139">
        <f>Alternative!E23</f>
        <v>0.58199999999999996</v>
      </c>
      <c r="L27" s="139"/>
      <c r="M27" s="139">
        <f>Alternative!F23</f>
        <v>1.7639999999999999E-2</v>
      </c>
      <c r="N27" s="8"/>
    </row>
    <row r="28" spans="1:14" ht="15" x14ac:dyDescent="0.2">
      <c r="A28" s="48">
        <v>103</v>
      </c>
      <c r="B28" s="134" t="s">
        <v>178</v>
      </c>
      <c r="C28" s="134" t="s">
        <v>179</v>
      </c>
      <c r="D28" s="7"/>
      <c r="E28" s="139">
        <f>Alternative!B24</f>
        <v>85.066666666666677</v>
      </c>
      <c r="F28" s="139"/>
      <c r="G28" s="139">
        <f>Alternative!C24</f>
        <v>8.7333333333333325</v>
      </c>
      <c r="H28" s="139"/>
      <c r="I28" s="139">
        <f>Alternative!D24</f>
        <v>0.28799999999999998</v>
      </c>
      <c r="J28" s="139"/>
      <c r="K28" s="139">
        <f>Alternative!E24</f>
        <v>0.58199999999999996</v>
      </c>
      <c r="L28" s="139"/>
      <c r="M28" s="139">
        <f>Alternative!F24</f>
        <v>1.7639999999999999E-2</v>
      </c>
      <c r="N28" s="8"/>
    </row>
    <row r="29" spans="1:14" ht="15" x14ac:dyDescent="0.2">
      <c r="A29" s="48">
        <v>121</v>
      </c>
      <c r="B29" s="134" t="s">
        <v>180</v>
      </c>
      <c r="C29" s="134" t="s">
        <v>181</v>
      </c>
      <c r="D29" s="7"/>
      <c r="E29" s="139">
        <v>0</v>
      </c>
      <c r="F29" s="139"/>
      <c r="G29" s="139">
        <v>0</v>
      </c>
      <c r="H29" s="139"/>
      <c r="I29" s="139">
        <v>0</v>
      </c>
      <c r="J29" s="139"/>
      <c r="K29" s="139">
        <v>0</v>
      </c>
      <c r="L29" s="139"/>
      <c r="M29" s="139">
        <f>+'2000 EIQ'!F28</f>
        <v>0</v>
      </c>
      <c r="N29" s="8"/>
    </row>
    <row r="30" spans="1:14" ht="15" x14ac:dyDescent="0.2">
      <c r="A30" s="48">
        <v>122</v>
      </c>
      <c r="B30" s="134" t="s">
        <v>182</v>
      </c>
      <c r="C30" s="134" t="s">
        <v>183</v>
      </c>
      <c r="D30" s="7"/>
      <c r="E30" s="139">
        <v>0</v>
      </c>
      <c r="F30" s="139"/>
      <c r="G30" s="139">
        <v>0</v>
      </c>
      <c r="H30" s="139"/>
      <c r="I30" s="139">
        <v>0</v>
      </c>
      <c r="J30" s="139"/>
      <c r="K30" s="139">
        <v>0</v>
      </c>
      <c r="L30" s="139"/>
      <c r="M30" s="139">
        <f>+'2000 EIQ'!F29</f>
        <v>0</v>
      </c>
      <c r="N30" s="8"/>
    </row>
    <row r="31" spans="1:14" ht="15" x14ac:dyDescent="0.2">
      <c r="A31" s="48">
        <v>104</v>
      </c>
      <c r="B31" s="134" t="s">
        <v>184</v>
      </c>
      <c r="C31" s="134" t="s">
        <v>185</v>
      </c>
      <c r="D31" s="7"/>
      <c r="E31" s="139">
        <v>0</v>
      </c>
      <c r="F31" s="139"/>
      <c r="G31" s="139">
        <v>0</v>
      </c>
      <c r="H31" s="139"/>
      <c r="I31" s="139">
        <v>0</v>
      </c>
      <c r="J31" s="139"/>
      <c r="K31" s="139">
        <v>0</v>
      </c>
      <c r="L31" s="139"/>
      <c r="M31" s="139">
        <v>0</v>
      </c>
      <c r="N31" s="8"/>
    </row>
    <row r="32" spans="1:14" ht="15" x14ac:dyDescent="0.2">
      <c r="A32" s="149">
        <v>123</v>
      </c>
      <c r="B32" s="133" t="s">
        <v>189</v>
      </c>
      <c r="C32" s="133" t="s">
        <v>187</v>
      </c>
      <c r="D32" s="137"/>
      <c r="E32" s="140">
        <f>+E19</f>
        <v>9.23</v>
      </c>
      <c r="F32" s="140"/>
      <c r="G32" s="140">
        <f>+G19</f>
        <v>9.65</v>
      </c>
      <c r="H32" s="140"/>
      <c r="I32" s="140">
        <f>+I19</f>
        <v>0.12</v>
      </c>
      <c r="J32" s="140"/>
      <c r="K32" s="140">
        <f>+K19</f>
        <v>2.82</v>
      </c>
      <c r="L32" s="140"/>
      <c r="M32" s="140">
        <f>+M19</f>
        <v>1.07212281264</v>
      </c>
      <c r="N32" s="8"/>
    </row>
    <row r="33" spans="1:14" ht="15" x14ac:dyDescent="0.2">
      <c r="A33" s="115"/>
      <c r="B33" s="114"/>
      <c r="C33" s="114" t="s">
        <v>98</v>
      </c>
      <c r="D33" s="138">
        <f t="shared" ref="D33:M33" si="1">SUM(D26:D32)</f>
        <v>0</v>
      </c>
      <c r="E33" s="138">
        <f t="shared" si="1"/>
        <v>245.39666666666668</v>
      </c>
      <c r="F33" s="138">
        <f t="shared" si="1"/>
        <v>0</v>
      </c>
      <c r="G33" s="138">
        <f t="shared" si="1"/>
        <v>38.216666666666661</v>
      </c>
      <c r="H33" s="138">
        <f t="shared" si="1"/>
        <v>0</v>
      </c>
      <c r="I33" s="138">
        <f t="shared" si="1"/>
        <v>1.5169999999999999</v>
      </c>
      <c r="J33" s="138">
        <f t="shared" si="1"/>
        <v>0</v>
      </c>
      <c r="K33" s="138">
        <f t="shared" si="1"/>
        <v>4.5659999999999998</v>
      </c>
      <c r="L33" s="138">
        <f t="shared" si="1"/>
        <v>0</v>
      </c>
      <c r="M33" s="144">
        <f t="shared" si="1"/>
        <v>1.1250428126400001</v>
      </c>
      <c r="N33" s="8"/>
    </row>
    <row r="34" spans="1:14" ht="1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ht="1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ht="1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workbookViewId="0"/>
  </sheetViews>
  <sheetFormatPr defaultRowHeight="12.75" x14ac:dyDescent="0.2"/>
  <sheetData>
    <row r="1" spans="1:8" ht="23.25" x14ac:dyDescent="0.35">
      <c r="A1" s="61" t="s">
        <v>0</v>
      </c>
      <c r="B1" s="61"/>
      <c r="C1" s="61"/>
      <c r="D1" s="61"/>
      <c r="E1" s="61"/>
      <c r="F1" s="61"/>
      <c r="G1" s="61"/>
      <c r="H1" s="61"/>
    </row>
    <row r="2" spans="1:8" ht="23.25" x14ac:dyDescent="0.35">
      <c r="A2" s="61" t="s">
        <v>1</v>
      </c>
      <c r="B2" s="61"/>
      <c r="C2" s="61"/>
      <c r="D2" s="61"/>
      <c r="E2" s="61"/>
      <c r="F2" s="61"/>
      <c r="G2" s="61"/>
      <c r="H2" s="61"/>
    </row>
    <row r="3" spans="1:8" ht="23.25" x14ac:dyDescent="0.35">
      <c r="A3" s="61" t="s">
        <v>2</v>
      </c>
      <c r="B3" s="61"/>
      <c r="C3" s="61"/>
      <c r="D3" s="61"/>
      <c r="E3" s="61"/>
      <c r="F3" s="61"/>
      <c r="G3" s="61"/>
      <c r="H3" s="61"/>
    </row>
    <row r="5" spans="1:8" ht="18" x14ac:dyDescent="0.25">
      <c r="A5" s="70" t="s">
        <v>190</v>
      </c>
    </row>
    <row r="8" spans="1:8" x14ac:dyDescent="0.2">
      <c r="A8" s="152" t="s">
        <v>191</v>
      </c>
    </row>
    <row r="9" spans="1:8" x14ac:dyDescent="0.2">
      <c r="A9" s="152" t="s">
        <v>192</v>
      </c>
    </row>
    <row r="11" spans="1:8" x14ac:dyDescent="0.2">
      <c r="A11" s="84" t="s">
        <v>193</v>
      </c>
    </row>
    <row r="12" spans="1:8" x14ac:dyDescent="0.2">
      <c r="A12" s="129" t="s">
        <v>194</v>
      </c>
    </row>
    <row r="13" spans="1:8" x14ac:dyDescent="0.2">
      <c r="A13" s="153">
        <f>+Turbine!B62</f>
        <v>31.97</v>
      </c>
      <c r="B13" s="154" t="s">
        <v>195</v>
      </c>
      <c r="C13" s="129" t="s">
        <v>196</v>
      </c>
    </row>
    <row r="14" spans="1:8" x14ac:dyDescent="0.2">
      <c r="A14" s="129" t="s">
        <v>197</v>
      </c>
    </row>
    <row r="15" spans="1:8" x14ac:dyDescent="0.2">
      <c r="A15" s="153">
        <f>+Turbine!C62</f>
        <v>140.02859999999998</v>
      </c>
      <c r="B15" s="154" t="s">
        <v>198</v>
      </c>
      <c r="C15" s="129" t="s">
        <v>199</v>
      </c>
    </row>
    <row r="17" spans="1:3" x14ac:dyDescent="0.2">
      <c r="A17" s="84" t="s">
        <v>200</v>
      </c>
    </row>
    <row r="18" spans="1:3" x14ac:dyDescent="0.2">
      <c r="A18" s="129" t="s">
        <v>194</v>
      </c>
    </row>
    <row r="19" spans="1:3" x14ac:dyDescent="0.2">
      <c r="A19" s="153">
        <f>+Turbine!B63</f>
        <v>19.434999999999995</v>
      </c>
      <c r="B19" s="154" t="s">
        <v>195</v>
      </c>
      <c r="C19" s="129" t="s">
        <v>196</v>
      </c>
    </row>
    <row r="20" spans="1:3" x14ac:dyDescent="0.2">
      <c r="A20" s="129" t="s">
        <v>197</v>
      </c>
    </row>
    <row r="21" spans="1:3" x14ac:dyDescent="0.2">
      <c r="A21" s="153">
        <f>+Turbine!C63</f>
        <v>85.125299999999982</v>
      </c>
      <c r="B21" s="154" t="s">
        <v>198</v>
      </c>
      <c r="C21" s="129" t="s">
        <v>199</v>
      </c>
    </row>
    <row r="22" spans="1:3" x14ac:dyDescent="0.2">
      <c r="C22" s="129"/>
    </row>
    <row r="24" spans="1:3" x14ac:dyDescent="0.2">
      <c r="A24" s="84" t="s">
        <v>201</v>
      </c>
    </row>
    <row r="25" spans="1:3" x14ac:dyDescent="0.2">
      <c r="A25" s="129" t="s">
        <v>194</v>
      </c>
    </row>
    <row r="26" spans="1:3" x14ac:dyDescent="0.2">
      <c r="A26" s="153">
        <f>+Turbine!B64</f>
        <v>0.67849999999999999</v>
      </c>
      <c r="B26" s="154" t="s">
        <v>195</v>
      </c>
      <c r="C26" s="129" t="s">
        <v>202</v>
      </c>
    </row>
    <row r="27" spans="1:3" x14ac:dyDescent="0.2">
      <c r="A27" s="129" t="s">
        <v>197</v>
      </c>
    </row>
    <row r="28" spans="1:3" x14ac:dyDescent="0.2">
      <c r="A28" s="153">
        <f>+Turbine!C64</f>
        <v>2.9718300000000002</v>
      </c>
      <c r="B28" s="154" t="s">
        <v>198</v>
      </c>
      <c r="C28" s="129" t="s">
        <v>199</v>
      </c>
    </row>
    <row r="29" spans="1:3" x14ac:dyDescent="0.2">
      <c r="C29" s="129"/>
    </row>
    <row r="31" spans="1:3" x14ac:dyDescent="0.2">
      <c r="A31" s="84" t="s">
        <v>203</v>
      </c>
    </row>
    <row r="32" spans="1:3" x14ac:dyDescent="0.2">
      <c r="A32" s="129" t="s">
        <v>194</v>
      </c>
    </row>
    <row r="33" spans="1:3" x14ac:dyDescent="0.2">
      <c r="A33" s="153">
        <f>+Turbine!B65</f>
        <v>2.9281989567600002</v>
      </c>
      <c r="B33" s="154" t="s">
        <v>195</v>
      </c>
      <c r="C33" s="129" t="s">
        <v>204</v>
      </c>
    </row>
    <row r="34" spans="1:3" x14ac:dyDescent="0.2">
      <c r="A34" s="153"/>
      <c r="B34" s="154"/>
      <c r="C34" s="129" t="s">
        <v>205</v>
      </c>
    </row>
    <row r="35" spans="1:3" x14ac:dyDescent="0.2">
      <c r="A35" s="129" t="s">
        <v>197</v>
      </c>
    </row>
    <row r="36" spans="1:3" x14ac:dyDescent="0.2">
      <c r="A36" s="153">
        <f>+Turbine!C65</f>
        <v>12.825511430608799</v>
      </c>
      <c r="B36" s="154" t="s">
        <v>198</v>
      </c>
      <c r="C36" s="129" t="s">
        <v>199</v>
      </c>
    </row>
    <row r="37" spans="1:3" x14ac:dyDescent="0.2">
      <c r="C37" s="129"/>
    </row>
    <row r="39" spans="1:3" x14ac:dyDescent="0.2">
      <c r="A39" s="84" t="s">
        <v>206</v>
      </c>
    </row>
    <row r="40" spans="1:3" x14ac:dyDescent="0.2">
      <c r="A40" s="129" t="s">
        <v>194</v>
      </c>
    </row>
    <row r="41" spans="1:3" x14ac:dyDescent="0.2">
      <c r="A41" s="153">
        <f>+Turbine!B66</f>
        <v>1.5084661292399997</v>
      </c>
      <c r="B41" s="154" t="s">
        <v>195</v>
      </c>
      <c r="C41" s="129" t="s">
        <v>204</v>
      </c>
    </row>
    <row r="42" spans="1:3" x14ac:dyDescent="0.2">
      <c r="A42" s="153"/>
      <c r="B42" s="154"/>
      <c r="C42" s="129" t="s">
        <v>207</v>
      </c>
    </row>
    <row r="43" spans="1:3" x14ac:dyDescent="0.2">
      <c r="A43" s="129" t="s">
        <v>197</v>
      </c>
    </row>
    <row r="44" spans="1:3" x14ac:dyDescent="0.2">
      <c r="A44" s="153">
        <f>+Turbine!C66</f>
        <v>6.6070816460711992</v>
      </c>
      <c r="B44" s="154" t="s">
        <v>198</v>
      </c>
      <c r="C44" s="129" t="s">
        <v>199</v>
      </c>
    </row>
    <row r="45" spans="1:3" x14ac:dyDescent="0.2">
      <c r="C45" s="129"/>
    </row>
    <row r="47" spans="1:3" x14ac:dyDescent="0.2">
      <c r="A47" s="84" t="s">
        <v>208</v>
      </c>
    </row>
    <row r="48" spans="1:3" x14ac:dyDescent="0.2">
      <c r="A48" s="129" t="s">
        <v>194</v>
      </c>
    </row>
    <row r="49" spans="1:3" x14ac:dyDescent="0.2">
      <c r="A49" s="153">
        <f>+Turbine!B67</f>
        <v>0.31500322110599999</v>
      </c>
      <c r="B49" s="154" t="s">
        <v>195</v>
      </c>
      <c r="C49" s="129" t="s">
        <v>204</v>
      </c>
    </row>
    <row r="50" spans="1:3" x14ac:dyDescent="0.2">
      <c r="A50" s="153"/>
      <c r="B50" s="154"/>
      <c r="C50" s="129" t="s">
        <v>209</v>
      </c>
    </row>
    <row r="51" spans="1:3" x14ac:dyDescent="0.2">
      <c r="A51" s="129" t="s">
        <v>197</v>
      </c>
    </row>
    <row r="52" spans="1:3" x14ac:dyDescent="0.2">
      <c r="A52" s="153">
        <f>+Turbine!C67</f>
        <v>1.3797141084442799</v>
      </c>
      <c r="B52" s="154" t="s">
        <v>198</v>
      </c>
      <c r="C52" s="129" t="s">
        <v>199</v>
      </c>
    </row>
    <row r="53" spans="1:3" x14ac:dyDescent="0.2">
      <c r="C53" s="129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G13" sqref="G13"/>
    </sheetView>
  </sheetViews>
  <sheetFormatPr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Turbine</vt:lpstr>
      <vt:lpstr>Gen Engines</vt:lpstr>
      <vt:lpstr>Netting Calcs</vt:lpstr>
      <vt:lpstr>2000 EIQ</vt:lpstr>
      <vt:lpstr>1999 EIQ</vt:lpstr>
      <vt:lpstr>Alternative</vt:lpstr>
      <vt:lpstr>Summary</vt:lpstr>
      <vt:lpstr>Example</vt:lpstr>
      <vt:lpstr>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2014-09-04T13:58:44Z</dcterms:created>
  <dcterms:modified xsi:type="dcterms:W3CDTF">2014-09-04T13:58:44Z</dcterms:modified>
</cp:coreProperties>
</file>