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857" activeTab="16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152511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H28" i="189" s="1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 s="1"/>
  <c r="H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C28" i="189"/>
  <c r="E28" i="189"/>
  <c r="F28" i="189"/>
  <c r="G28" i="189"/>
  <c r="J28" i="189"/>
  <c r="E36" i="189"/>
  <c r="F36" i="189" s="1"/>
  <c r="F39" i="189" s="1"/>
  <c r="E37" i="189"/>
  <c r="F37" i="189"/>
  <c r="E38" i="189"/>
  <c r="F38" i="189"/>
  <c r="B39" i="189"/>
  <c r="C39" i="189"/>
  <c r="D39" i="189"/>
  <c r="B8" i="154"/>
  <c r="D8" i="154"/>
  <c r="D28" i="154" s="1"/>
  <c r="F8" i="154"/>
  <c r="F28" i="154" s="1"/>
  <c r="H8" i="154"/>
  <c r="L8" i="154"/>
  <c r="B9" i="154"/>
  <c r="D9" i="154" s="1"/>
  <c r="F9" i="154"/>
  <c r="H9" i="154"/>
  <c r="L9" i="154"/>
  <c r="B10" i="154"/>
  <c r="L10" i="154" s="1"/>
  <c r="D10" i="154"/>
  <c r="F10" i="154"/>
  <c r="H10" i="154" s="1"/>
  <c r="B11" i="154"/>
  <c r="D11" i="154"/>
  <c r="F11" i="154"/>
  <c r="H11" i="154"/>
  <c r="L11" i="154"/>
  <c r="B12" i="154"/>
  <c r="D12" i="154" s="1"/>
  <c r="F12" i="154"/>
  <c r="H12" i="154"/>
  <c r="B13" i="154"/>
  <c r="L13" i="154" s="1"/>
  <c r="D13" i="154"/>
  <c r="F13" i="154"/>
  <c r="H13" i="154"/>
  <c r="B14" i="154"/>
  <c r="D14" i="154"/>
  <c r="E14" i="154"/>
  <c r="E28" i="154" s="1"/>
  <c r="F14" i="154"/>
  <c r="H14" i="154"/>
  <c r="L14" i="154"/>
  <c r="B15" i="154"/>
  <c r="D15" i="154" s="1"/>
  <c r="F15" i="154"/>
  <c r="G15" i="154"/>
  <c r="H15" i="154"/>
  <c r="J15" i="154"/>
  <c r="B16" i="154"/>
  <c r="L16" i="154" s="1"/>
  <c r="D16" i="154"/>
  <c r="F16" i="154"/>
  <c r="H16" i="154"/>
  <c r="D17" i="154"/>
  <c r="H17" i="154"/>
  <c r="L17" i="154"/>
  <c r="N17" i="154"/>
  <c r="N28" i="154" s="1"/>
  <c r="O17" i="154"/>
  <c r="O28" i="154" s="1"/>
  <c r="B18" i="154"/>
  <c r="D18" i="154" s="1"/>
  <c r="F18" i="154"/>
  <c r="H18" i="154"/>
  <c r="L18" i="154"/>
  <c r="B19" i="154"/>
  <c r="L19" i="154" s="1"/>
  <c r="D19" i="154"/>
  <c r="F19" i="154"/>
  <c r="H19" i="154" s="1"/>
  <c r="B20" i="154"/>
  <c r="D20" i="154"/>
  <c r="F20" i="154"/>
  <c r="H20" i="154"/>
  <c r="L20" i="154"/>
  <c r="B21" i="154"/>
  <c r="D21" i="154" s="1"/>
  <c r="F21" i="154"/>
  <c r="H21" i="154"/>
  <c r="B22" i="154"/>
  <c r="L22" i="154" s="1"/>
  <c r="D22" i="154"/>
  <c r="F22" i="154"/>
  <c r="H22" i="154"/>
  <c r="B23" i="154"/>
  <c r="D23" i="154"/>
  <c r="F23" i="154"/>
  <c r="H23" i="154"/>
  <c r="L23" i="154"/>
  <c r="B24" i="154"/>
  <c r="L24" i="154" s="1"/>
  <c r="D24" i="154"/>
  <c r="F24" i="154"/>
  <c r="H24" i="154"/>
  <c r="B25" i="154"/>
  <c r="L25" i="154" s="1"/>
  <c r="D25" i="154"/>
  <c r="F25" i="154"/>
  <c r="G25" i="154"/>
  <c r="G28" i="154" s="1"/>
  <c r="H25" i="154"/>
  <c r="J25" i="154"/>
  <c r="B26" i="154"/>
  <c r="D26" i="154"/>
  <c r="F26" i="154"/>
  <c r="H26" i="154"/>
  <c r="L26" i="154"/>
  <c r="B28" i="154"/>
  <c r="B32" i="154" s="1"/>
  <c r="C28" i="154"/>
  <c r="J28" i="154"/>
  <c r="L28" i="154"/>
  <c r="B39" i="154"/>
  <c r="C39" i="154"/>
  <c r="D28" i="189" l="1"/>
  <c r="H28" i="154"/>
  <c r="L15" i="154"/>
  <c r="D36" i="154"/>
  <c r="N33" i="154"/>
  <c r="N37" i="154" s="1"/>
  <c r="L21" i="154"/>
  <c r="L12" i="154"/>
  <c r="L14" i="189"/>
  <c r="L28" i="189" s="1"/>
  <c r="E39" i="189"/>
  <c r="B28" i="189"/>
  <c r="N33" i="189" s="1"/>
  <c r="D39" i="154" l="1"/>
  <c r="E36" i="154"/>
  <c r="E39" i="154" l="1"/>
  <c r="F36" i="154"/>
  <c r="F39" i="154" s="1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<sst xmlns="http://schemas.openxmlformats.org/spreadsheetml/2006/main" count="876" uniqueCount="67">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</sst>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  <definedName name="Requirements" refersTo="='Smith Barney'!$K$16" sheetId="21"/>
    </definedNames>
    <sheetDataSet>
      <sheetData sheetId="0" refreshError="1"/>
      <sheetData sheetId="1" refreshError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 refreshError="1"/>
      <sheetData sheetId="4" refreshError="1"/>
      <sheetData sheetId="5"/>
      <sheetData sheetId="6"/>
      <sheetData sheetId="7">
        <row r="17">
          <cell r="K17">
            <v>26000</v>
          </cell>
        </row>
      </sheetData>
      <sheetData sheetId="8">
        <row r="20">
          <cell r="J20">
            <v>-33648840</v>
          </cell>
        </row>
        <row r="22">
          <cell r="J22">
            <v>16017804</v>
          </cell>
        </row>
      </sheetData>
      <sheetData sheetId="9">
        <row r="12">
          <cell r="K12">
            <v>421300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1150120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10870644</v>
          </cell>
        </row>
        <row r="47">
          <cell r="G47">
            <v>0</v>
          </cell>
        </row>
      </sheetData>
      <sheetData sheetId="14">
        <row r="19">
          <cell r="J19">
            <v>160312634.80000001</v>
          </cell>
        </row>
      </sheetData>
      <sheetData sheetId="15"/>
      <sheetData sheetId="16"/>
      <sheetData sheetId="17" refreshError="1"/>
      <sheetData sheetId="18">
        <row r="12">
          <cell r="I12">
            <v>474613</v>
          </cell>
        </row>
      </sheetData>
      <sheetData sheetId="19"/>
      <sheetData sheetId="20">
        <row r="12">
          <cell r="I12">
            <v>4835935.17</v>
          </cell>
        </row>
      </sheetData>
      <sheetData sheetId="21">
        <row r="16">
          <cell r="K16">
            <v>4948402.5</v>
          </cell>
        </row>
        <row r="17">
          <cell r="K17">
            <v>4948402.5</v>
          </cell>
        </row>
        <row r="47">
          <cell r="I47">
            <v>4948403</v>
          </cell>
        </row>
      </sheetData>
      <sheetData sheetId="22">
        <row r="16">
          <cell r="K16">
            <v>347700</v>
          </cell>
        </row>
      </sheetData>
      <sheetData sheetId="23" refreshError="1"/>
      <sheetData sheetId="24" refreshError="1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-180.72000000003027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-180.72000000003027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-180.72000000003027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-180.72000000003027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-34161.87000000001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-34161.87000000001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-34161.87000000001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-34161.87000000001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-34161.87000000001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84599.759999996051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84599.759999996051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84599.759999996051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84599.759999996051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235248.71000000046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235248.71000000046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235248.71000000046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235248.71000000046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235248.71000000046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7">
          <cell r="FF1097">
            <v>0</v>
          </cell>
        </row>
        <row r="1098">
          <cell r="A1098">
            <v>37222</v>
          </cell>
        </row>
        <row r="1099">
          <cell r="FF1099" t="str">
            <v>Fut. Fees</v>
          </cell>
        </row>
        <row r="1100">
          <cell r="FF1100">
            <v>0</v>
          </cell>
        </row>
        <row r="1102">
          <cell r="FF1102" t="str">
            <v>OTE</v>
          </cell>
        </row>
        <row r="1103">
          <cell r="FF1103">
            <v>0</v>
          </cell>
        </row>
        <row r="1105">
          <cell r="FF1105" t="str">
            <v>OTE</v>
          </cell>
        </row>
        <row r="1106">
          <cell r="FF1106">
            <v>0</v>
          </cell>
        </row>
        <row r="1108">
          <cell r="FF1108" t="str">
            <v>Palo &amp; Cob Elec</v>
          </cell>
        </row>
        <row r="1109">
          <cell r="FF1109">
            <v>0</v>
          </cell>
        </row>
        <row r="1111">
          <cell r="FF1111">
            <v>0</v>
          </cell>
        </row>
        <row r="1139">
          <cell r="FF1139">
            <v>0</v>
          </cell>
        </row>
        <row r="1140">
          <cell r="A1140">
            <v>37223</v>
          </cell>
        </row>
        <row r="1141">
          <cell r="FF1141" t="str">
            <v>Fut. Fees</v>
          </cell>
        </row>
        <row r="1142">
          <cell r="FF1142">
            <v>0</v>
          </cell>
        </row>
        <row r="1144">
          <cell r="FF1144" t="str">
            <v>OTE</v>
          </cell>
        </row>
        <row r="1145">
          <cell r="FF1145">
            <v>0</v>
          </cell>
        </row>
        <row r="1147">
          <cell r="FF1147" t="str">
            <v>OTE</v>
          </cell>
        </row>
        <row r="1148">
          <cell r="FF1148">
            <v>0</v>
          </cell>
        </row>
        <row r="1150">
          <cell r="FF1150" t="str">
            <v>Palo &amp; Cob Elec</v>
          </cell>
        </row>
        <row r="1151">
          <cell r="FF1151">
            <v>0</v>
          </cell>
        </row>
        <row r="1153">
          <cell r="FF1153">
            <v>0</v>
          </cell>
        </row>
        <row r="1181">
          <cell r="FF1181">
            <v>0</v>
          </cell>
        </row>
        <row r="1182">
          <cell r="A1182">
            <v>37224</v>
          </cell>
        </row>
        <row r="1183">
          <cell r="FF1183" t="str">
            <v>Fut. Fees</v>
          </cell>
        </row>
        <row r="1184">
          <cell r="FF1184">
            <v>0</v>
          </cell>
        </row>
        <row r="1186">
          <cell r="FF1186" t="str">
            <v>OTE</v>
          </cell>
        </row>
        <row r="1187">
          <cell r="FF1187">
            <v>0</v>
          </cell>
        </row>
        <row r="1189">
          <cell r="FF1189" t="str">
            <v>OTE</v>
          </cell>
        </row>
        <row r="1190">
          <cell r="FF1190">
            <v>0</v>
          </cell>
        </row>
        <row r="1192">
          <cell r="FF1192" t="str">
            <v>Palo &amp; Cob Elec</v>
          </cell>
        </row>
        <row r="1193">
          <cell r="FF1193">
            <v>0</v>
          </cell>
        </row>
        <row r="1195">
          <cell r="FF1195">
            <v>0</v>
          </cell>
        </row>
        <row r="1206">
          <cell r="FF1206" t="str">
            <v>BP</v>
          </cell>
        </row>
        <row r="1207">
          <cell r="FF1207">
            <v>0.70751379651903212</v>
          </cell>
        </row>
        <row r="1223">
          <cell r="FF1223">
            <v>0</v>
          </cell>
        </row>
        <row r="1224">
          <cell r="A1224">
            <v>37225</v>
          </cell>
        </row>
        <row r="1225">
          <cell r="FF1225" t="str">
            <v>Fut. Fees</v>
          </cell>
        </row>
        <row r="1226">
          <cell r="FF1226">
            <v>0</v>
          </cell>
        </row>
        <row r="1228">
          <cell r="FF1228" t="str">
            <v>OTE</v>
          </cell>
        </row>
        <row r="1229">
          <cell r="FF1229">
            <v>0</v>
          </cell>
        </row>
        <row r="1231">
          <cell r="FF1231" t="str">
            <v>OTE</v>
          </cell>
        </row>
        <row r="1232">
          <cell r="FF1232">
            <v>0</v>
          </cell>
        </row>
        <row r="1234">
          <cell r="FF1234" t="str">
            <v>Palo &amp; Cob Elec</v>
          </cell>
        </row>
        <row r="1235">
          <cell r="FF1235">
            <v>0</v>
          </cell>
        </row>
        <row r="1237">
          <cell r="FF1237">
            <v>0</v>
          </cell>
        </row>
        <row r="1265">
          <cell r="FF1265">
            <v>0</v>
          </cell>
        </row>
        <row r="1267">
          <cell r="FF1267" t="str">
            <v>Fut. Fees</v>
          </cell>
        </row>
        <row r="1268">
          <cell r="FF1268">
            <v>0</v>
          </cell>
        </row>
        <row r="1270">
          <cell r="FF1270" t="str">
            <v>OTE</v>
          </cell>
        </row>
        <row r="1271">
          <cell r="FF1271">
            <v>0</v>
          </cell>
        </row>
        <row r="1273">
          <cell r="FF1273" t="str">
            <v>OTE</v>
          </cell>
        </row>
        <row r="1274">
          <cell r="FF1274">
            <v>0</v>
          </cell>
        </row>
        <row r="1276">
          <cell r="FF1276" t="str">
            <v>Palo &amp; Cob Elec</v>
          </cell>
        </row>
        <row r="1277">
          <cell r="FF1277">
            <v>0</v>
          </cell>
        </row>
        <row r="1279">
          <cell r="FF1279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78566266.565999806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37223</v>
          </cell>
          <cell r="CT1139">
            <v>78566266.565999806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78566266.565999806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78566266.565999806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78566266.565999806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171625281.38000005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171625281.38000005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171625281.38000005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171625281.38000005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-220285.97399997525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-220285.97399997525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-220285.97399997525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-220285.97399997525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-220285.97399997525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445724.09000000358</v>
          </cell>
        </row>
        <row r="1102">
          <cell r="CX1102" t="str">
            <v>OTE</v>
          </cell>
        </row>
        <row r="1103">
          <cell r="CX1103">
            <v>0</v>
          </cell>
        </row>
        <row r="1139">
          <cell r="A1139">
            <v>37223</v>
          </cell>
          <cell r="CX1139">
            <v>445724.09000000358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445724.09000000358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445724.09000000358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445724.09000000358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-25588449.800000004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-25588449.800000004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-25588449.800000004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-25588449.800000004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-25588449.800000004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2460099.318591</v>
          </cell>
          <cell r="CG1097">
            <v>90212</v>
          </cell>
          <cell r="CH1097">
            <v>0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2460099.318591</v>
          </cell>
          <cell r="CG1139">
            <v>90212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2460099.318591</v>
          </cell>
          <cell r="CG1181">
            <v>90212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2460099.318591</v>
          </cell>
          <cell r="CG1223">
            <v>90212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2460099.318591</v>
          </cell>
          <cell r="CG1265">
            <v>90212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1285632.5599999996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1285632.5599999996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1285632.5599999996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1285632.5599999996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23" sqref="L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 t="e">
        <f>SUMIF([2]Statements!$A$5:$A$1305,$A$3,[2]Statements!$BN$5:$BN$1305)-3</f>
        <v>#VALUE!</v>
      </c>
      <c r="C8" s="68"/>
      <c r="D8" s="68" t="e">
        <f t="shared" ref="D8:D26" si="0">B8-C8</f>
        <v>#VALUE!</v>
      </c>
      <c r="E8" s="68">
        <v>0</v>
      </c>
      <c r="F8" s="68">
        <f>'[1]ABN-AMRO'!$K$12</f>
        <v>421300</v>
      </c>
      <c r="G8" s="69"/>
      <c r="H8" s="68">
        <f t="shared" ref="H8:H26" si="1">F8-G8</f>
        <v>421300</v>
      </c>
      <c r="I8" s="68"/>
      <c r="J8" s="68"/>
      <c r="K8" s="68"/>
      <c r="L8" s="68" t="e">
        <f t="shared" ref="L8:L13" si="2">B8+E8-F8+J8</f>
        <v>#VALUE!</v>
      </c>
      <c r="M8" s="12"/>
      <c r="N8" s="46"/>
      <c r="O8" s="46"/>
      <c r="Q8" s="46"/>
    </row>
    <row r="9" spans="1:17" x14ac:dyDescent="0.2">
      <c r="A9" t="s">
        <v>6</v>
      </c>
      <c r="B9" s="68" t="e">
        <f>SUMIF([3]Statements!$A$5:$A$1305,$A$3,[3]Statements!$DB$5:$DB$1305)-1</f>
        <v>#VALUE!</v>
      </c>
      <c r="C9" s="70"/>
      <c r="D9" s="68" t="e">
        <f t="shared" si="0"/>
        <v>#VALUE!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 t="e">
        <f t="shared" si="2"/>
        <v>#VALUE!</v>
      </c>
      <c r="M9" s="12"/>
      <c r="N9" s="47"/>
      <c r="O9" s="47"/>
    </row>
    <row r="10" spans="1:17" x14ac:dyDescent="0.2">
      <c r="A10" t="s">
        <v>26</v>
      </c>
      <c r="B10" s="68" t="e">
        <f>SUMIF([14]Statements!$A$5:$A$1305,$A$3,[14]Statements!$DB$5:$DB$1305)+1461</f>
        <v>#VALUE!</v>
      </c>
      <c r="C10" s="70"/>
      <c r="D10" s="68" t="e">
        <f t="shared" si="0"/>
        <v>#VALUE!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 t="e">
        <f t="shared" si="2"/>
        <v>#VALUE!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 t="e">
        <f>SUMIF([15]Statements!$A$5:$A$1305,$A$3,[15]Statements!$FF$5:$FF$1305)+11236</f>
        <v>#VALUE!</v>
      </c>
      <c r="C12" s="68"/>
      <c r="D12" s="68" t="e">
        <f t="shared" si="0"/>
        <v>#VALUE!</v>
      </c>
      <c r="E12" s="68">
        <v>0</v>
      </c>
      <c r="F12" s="68">
        <f>'[1]CARR FUTURES'!$I$12</f>
        <v>4835935.17</v>
      </c>
      <c r="G12" s="68"/>
      <c r="H12" s="68">
        <f t="shared" si="1"/>
        <v>4835935.17</v>
      </c>
      <c r="I12" s="68"/>
      <c r="J12" s="68"/>
      <c r="K12" s="68"/>
      <c r="L12" s="68" t="e">
        <f t="shared" si="2"/>
        <v>#VALUE!</v>
      </c>
      <c r="M12" s="12"/>
      <c r="N12" s="46"/>
      <c r="O12" s="46"/>
    </row>
    <row r="13" spans="1:17" x14ac:dyDescent="0.2">
      <c r="A13" t="s">
        <v>29</v>
      </c>
      <c r="B13" s="68" t="e">
        <f>SUMIF([4]Statements!$A$5:$A$1305,$A$3,[4]Statements!$CX$5:$CX$1305)-8</f>
        <v>#VALUE!</v>
      </c>
      <c r="C13" s="68"/>
      <c r="D13" s="68" t="e">
        <f t="shared" si="0"/>
        <v>#VALUE!</v>
      </c>
      <c r="E13" s="68">
        <v>0</v>
      </c>
      <c r="F13" s="68">
        <f>'[1]CREDIT SUISSE FIRST BOSTON'!$I$12</f>
        <v>474613</v>
      </c>
      <c r="G13" s="68"/>
      <c r="H13" s="68">
        <f t="shared" si="1"/>
        <v>474613</v>
      </c>
      <c r="I13" s="68"/>
      <c r="J13" s="68"/>
      <c r="K13" s="68"/>
      <c r="L13" s="68" t="e">
        <f t="shared" si="2"/>
        <v>#VALUE!</v>
      </c>
      <c r="M13" s="12"/>
      <c r="N13" s="46"/>
      <c r="O13" s="46"/>
    </row>
    <row r="14" spans="1:17" x14ac:dyDescent="0.2">
      <c r="A14" t="s">
        <v>66</v>
      </c>
      <c r="B14" s="68" t="e">
        <f>SUMIF([16]Statements!$A$5:$A$1305,$A$3,[16]Statements!$CT$5:$CT$1305)-SUMIF([16]Statements!$A$5:$A$1305,$A$3,[16]Statements!$CX$5:$CX$1305)-5</f>
        <v>#VALUE!</v>
      </c>
      <c r="C14" s="68"/>
      <c r="D14" s="68" t="e">
        <f t="shared" si="0"/>
        <v>#VALUE!</v>
      </c>
      <c r="E14" s="68">
        <f>+'[1]EDF MANN'!$J$20</f>
        <v>-33648840</v>
      </c>
      <c r="F14" s="68">
        <f>'[1]EDF MANN'!$J$22</f>
        <v>16017804</v>
      </c>
      <c r="G14" s="69"/>
      <c r="H14" s="68">
        <f t="shared" si="1"/>
        <v>16017804</v>
      </c>
      <c r="I14" s="69"/>
      <c r="J14" s="69"/>
      <c r="K14" s="69"/>
      <c r="L14" s="68" t="e">
        <f t="shared" ref="L14:L20" si="3">B14+E14-F14+J14</f>
        <v>#VALUE!</v>
      </c>
      <c r="M14" s="12"/>
      <c r="N14" s="46"/>
      <c r="O14" s="46"/>
    </row>
    <row r="15" spans="1:17" x14ac:dyDescent="0.2">
      <c r="A15" t="s">
        <v>65</v>
      </c>
      <c r="B15" s="70" t="e">
        <f>SUMIF([5]Statements!$A$5:$A$1305,$A$3,[5]Statements!$BB$5:$BB$1305)-3</f>
        <v>#VALUE!</v>
      </c>
      <c r="C15" s="70"/>
      <c r="D15" s="68" t="e">
        <f t="shared" si="0"/>
        <v>#VALUE!</v>
      </c>
      <c r="E15" s="70">
        <v>0</v>
      </c>
      <c r="F15" s="70">
        <f>[1]Fimat!$K$12</f>
        <v>10870644</v>
      </c>
      <c r="G15" s="54">
        <f>[1]Fimat!$G$47</f>
        <v>0</v>
      </c>
      <c r="H15" s="54">
        <f t="shared" si="1"/>
        <v>10870644</v>
      </c>
      <c r="I15" s="54">
        <v>1</v>
      </c>
      <c r="J15" s="69" t="e">
        <f>SUMIF('[1]WIRE WORKSHEET'!$B$4:$B$36,A2,'[1]WIRE WORKSHEET'!$BB$4:$BB$36)</f>
        <v>#VALUE!</v>
      </c>
      <c r="K15" s="54"/>
      <c r="L15" s="68" t="e">
        <f t="shared" si="3"/>
        <v>#VALUE!</v>
      </c>
      <c r="M15" s="12"/>
      <c r="N15" s="47"/>
      <c r="O15" s="47"/>
      <c r="Q15" s="47"/>
    </row>
    <row r="16" spans="1:17" x14ac:dyDescent="0.2">
      <c r="A16" t="s">
        <v>10</v>
      </c>
      <c r="B16" s="70" t="e">
        <f>SUMIF([6]Statements!$A$5:$A$1305,$A$3,[6]Statements!$CA$5:$CA$1305)-851</f>
        <v>#VALUE!</v>
      </c>
      <c r="C16" s="68"/>
      <c r="D16" s="68" t="e">
        <f t="shared" si="0"/>
        <v>#VALUE!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 t="e">
        <f t="shared" si="3"/>
        <v>#VALUE!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 t="e">
        <f>SUMIF([6]Statements!$BX$5:$BX$1305,$A$3,[6]Statements!$CG$5:$CG$1305)</f>
        <v>#VALUE!</v>
      </c>
      <c r="O17" s="46" t="e">
        <f>SUMIF([6]Statements!$BX$5:$BX$1305,$A$3,[6]Statements!$CH$5:$CH$1305)</f>
        <v>#VALUE!</v>
      </c>
    </row>
    <row r="18" spans="1:15" x14ac:dyDescent="0.2">
      <c r="A18" t="s">
        <v>35</v>
      </c>
      <c r="B18" s="68" t="e">
        <f>SUMIF([7]Statements!$A$5:$A$1305,$A$3,[7]Statements!$BB$5:$BB$1305)-5</f>
        <v>#VALUE!</v>
      </c>
      <c r="C18" s="68"/>
      <c r="D18" s="68" t="e">
        <f t="shared" si="0"/>
        <v>#VALUE!</v>
      </c>
      <c r="E18" s="68">
        <v>0</v>
      </c>
      <c r="F18" s="68">
        <f>'[1]JP Morgan'!$I$13</f>
        <v>1150120</v>
      </c>
      <c r="G18" s="68"/>
      <c r="H18" s="68">
        <f t="shared" si="1"/>
        <v>1150120</v>
      </c>
      <c r="I18" s="68"/>
      <c r="J18" s="68"/>
      <c r="K18" s="68"/>
      <c r="L18" s="68" t="e">
        <f t="shared" si="3"/>
        <v>#VALUE!</v>
      </c>
      <c r="M18" s="12"/>
      <c r="N18" s="46"/>
      <c r="O18" s="46"/>
    </row>
    <row r="19" spans="1:15" x14ac:dyDescent="0.2">
      <c r="A19" t="s">
        <v>36</v>
      </c>
      <c r="B19" s="68" t="e">
        <f>SUMIF([8]Statements!$A$5:$A$1305,$A$3,[8]Statements!$BB$5:$BB$1305)</f>
        <v>#VALUE!</v>
      </c>
      <c r="C19" s="68"/>
      <c r="D19" s="68" t="e">
        <f t="shared" si="0"/>
        <v>#VALUE!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 t="e">
        <f t="shared" si="3"/>
        <v>#VALUE!</v>
      </c>
      <c r="M19" s="12"/>
      <c r="N19" s="46"/>
      <c r="O19" s="46"/>
    </row>
    <row r="20" spans="1:15" x14ac:dyDescent="0.2">
      <c r="A20" s="18" t="s">
        <v>13</v>
      </c>
      <c r="B20" s="68" t="e">
        <f>SUMIF([17]Statements!$A$5:$A$1305,$A$3,[17]Statements!$DB$5:$DB$1305)-67725</f>
        <v>#VALUE!</v>
      </c>
      <c r="C20" s="69"/>
      <c r="D20" s="68" t="e">
        <f t="shared" si="0"/>
        <v>#VALUE!</v>
      </c>
      <c r="E20" s="69">
        <v>0</v>
      </c>
      <c r="F20" s="69">
        <f>[1]PARIBAS!$J$19</f>
        <v>160312634.80000001</v>
      </c>
      <c r="G20" s="69"/>
      <c r="H20" s="68">
        <f t="shared" si="1"/>
        <v>160312634.80000001</v>
      </c>
      <c r="I20" s="69"/>
      <c r="J20" s="69"/>
      <c r="K20" s="69"/>
      <c r="L20" s="68" t="e">
        <f t="shared" si="3"/>
        <v>#VALUE!</v>
      </c>
      <c r="M20" s="12"/>
      <c r="N20" s="46"/>
      <c r="O20" s="46"/>
    </row>
    <row r="21" spans="1:15" x14ac:dyDescent="0.2">
      <c r="A21" t="s">
        <v>14</v>
      </c>
      <c r="B21" s="68" t="e">
        <f>SUMIF([18]Statements!$A$5:$A$1305,$A$3,[18]Statements!$EQ$5:$EQ$1305)+1112536</f>
        <v>#VALUE!</v>
      </c>
      <c r="C21" s="68"/>
      <c r="D21" s="68" t="e">
        <f t="shared" si="0"/>
        <v>#VALUE!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 t="e">
        <f t="shared" ref="L21:L26" si="4">B21+E21-F21+J21</f>
        <v>#VALUE!</v>
      </c>
      <c r="M21" s="12"/>
      <c r="N21" s="46"/>
      <c r="O21" s="46"/>
    </row>
    <row r="22" spans="1:15" x14ac:dyDescent="0.2">
      <c r="A22" t="s">
        <v>15</v>
      </c>
      <c r="B22" s="68" t="e">
        <f>SUMIF([9]Statements!$A$5:$A$1305,$A$3,[9]Statements!$BC$5:$BC$1305)-835.5</f>
        <v>#VALUE!</v>
      </c>
      <c r="C22" s="68"/>
      <c r="D22" s="68" t="e">
        <f t="shared" si="0"/>
        <v>#VALUE!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 t="e">
        <f t="shared" si="4"/>
        <v>#VALUE!</v>
      </c>
      <c r="M22" s="12"/>
      <c r="N22" s="46"/>
      <c r="O22" s="46"/>
    </row>
    <row r="23" spans="1:15" x14ac:dyDescent="0.2">
      <c r="A23" t="s">
        <v>27</v>
      </c>
      <c r="B23" s="68" t="e">
        <f>SUMIF([10]Statements!$A$5:$A$1305,$A$3,[10]Statements!$BN$5:$BN$1305)</f>
        <v>#VALUE!</v>
      </c>
      <c r="C23" s="68"/>
      <c r="D23" s="68" t="e">
        <f t="shared" si="0"/>
        <v>#VALUE!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 t="e">
        <f t="shared" si="4"/>
        <v>#VALUE!</v>
      </c>
      <c r="M23" s="12"/>
      <c r="N23" s="46"/>
      <c r="O23" s="46"/>
    </row>
    <row r="24" spans="1:15" x14ac:dyDescent="0.2">
      <c r="A24" t="s">
        <v>12</v>
      </c>
      <c r="B24" s="68" t="e">
        <f>SUMIF([11]Statements!$A$5:$A$1305,$A$3,[11]Statements!$CK$5:$CK$1305)+11383</f>
        <v>#VALUE!</v>
      </c>
      <c r="C24" s="68"/>
      <c r="D24" s="68" t="e">
        <f t="shared" si="0"/>
        <v>#VALUE!</v>
      </c>
      <c r="E24" s="68">
        <v>0</v>
      </c>
      <c r="F24" s="68">
        <f>[1]SAUL!$I$13</f>
        <v>58500</v>
      </c>
      <c r="G24" s="68"/>
      <c r="H24" s="68">
        <f t="shared" si="1"/>
        <v>58500</v>
      </c>
      <c r="I24" s="68"/>
      <c r="J24" s="68"/>
      <c r="K24" s="68"/>
      <c r="L24" s="68" t="e">
        <f t="shared" si="4"/>
        <v>#VALUE!</v>
      </c>
      <c r="M24" s="12"/>
      <c r="N24" s="46"/>
      <c r="O24" s="46"/>
    </row>
    <row r="25" spans="1:15" ht="12" customHeight="1" x14ac:dyDescent="0.2">
      <c r="A25" s="18" t="s">
        <v>62</v>
      </c>
      <c r="B25" s="68" t="e">
        <f>SUMIF([12]Statements!$A$5:$A$1305,$A$3,[12]Statements!$CP$5:$CP$1305)</f>
        <v>#VALUE!</v>
      </c>
      <c r="C25" s="68"/>
      <c r="D25" s="68" t="e">
        <f t="shared" si="0"/>
        <v>#VALUE!</v>
      </c>
      <c r="E25" s="69">
        <v>0</v>
      </c>
      <c r="F25" s="69">
        <f>'[1]Smith Barney'!ReqTotal</f>
        <v>4948402.5</v>
      </c>
      <c r="G25" s="69">
        <f>IF('[1]Smith Barney'!CurrentLoanValue&lt;50000000,IF('[1]Smith Barney'!CurrentLoanValue&gt;'[1]Smith Barney'!Requirements,'[1]Smith Barney'!Requirements,'[1]Smith Barney'!CurrentLoanValue),50000000)</f>
        <v>4948402.5</v>
      </c>
      <c r="H25" s="69">
        <f t="shared" si="1"/>
        <v>0</v>
      </c>
      <c r="I25" s="69"/>
      <c r="J25" s="69" t="e">
        <f>SUMIF('[1]WIRE WORKSHEET'!$B$4:$B$36,A2,'[1]WIRE WORKSHEET'!$BF$4:$BF$36)</f>
        <v>#VALUE!</v>
      </c>
      <c r="K25" s="69"/>
      <c r="L25" s="68" t="e">
        <f t="shared" si="4"/>
        <v>#VALUE!</v>
      </c>
      <c r="M25" s="12"/>
      <c r="N25" s="46"/>
      <c r="O25" s="46"/>
    </row>
    <row r="26" spans="1:15" ht="12" customHeight="1" x14ac:dyDescent="0.2">
      <c r="A26" s="18" t="s">
        <v>63</v>
      </c>
      <c r="B26" s="68" t="e">
        <f>SUMIF([13]Statements!$A$5:$A$1305,$A$3,[13]Statements!$CP$5:$CP$1305)</f>
        <v>#VALUE!</v>
      </c>
      <c r="C26" s="68"/>
      <c r="D26" s="68" t="e">
        <f t="shared" si="0"/>
        <v>#VALUE!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 t="e">
        <f t="shared" si="4"/>
        <v>#VALUE!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 t="e">
        <f>SUM(B7:B26)</f>
        <v>#VALUE!</v>
      </c>
      <c r="C28" s="72">
        <f>SUM(C7:C26)</f>
        <v>0</v>
      </c>
      <c r="D28" s="72" t="e">
        <f>SUM(D7:D26)</f>
        <v>#VALUE!</v>
      </c>
      <c r="E28" s="72">
        <f t="shared" ref="E28:L28" si="5">SUM(E7:E26)</f>
        <v>-33648840</v>
      </c>
      <c r="F28" s="72">
        <f t="shared" si="5"/>
        <v>199833964.47000003</v>
      </c>
      <c r="G28" s="72">
        <f t="shared" si="5"/>
        <v>4948402.5</v>
      </c>
      <c r="H28" s="72">
        <f t="shared" si="5"/>
        <v>194885561.97000003</v>
      </c>
      <c r="I28" s="72"/>
      <c r="J28" s="72" t="e">
        <f t="shared" si="5"/>
        <v>#VALUE!</v>
      </c>
      <c r="K28" s="72"/>
      <c r="L28" s="72" t="e">
        <f t="shared" si="5"/>
        <v>#VALUE!</v>
      </c>
      <c r="M28" s="40"/>
      <c r="N28" s="39" t="e">
        <f>SUM(N7:N27)</f>
        <v>#VALUE!</v>
      </c>
      <c r="O28" s="39" t="e">
        <f>SUM(O7:O27)</f>
        <v>#VALUE!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 t="e">
        <f>+B28+SUM(B30:B31)</f>
        <v>#VALUE!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 t="e">
        <f>B28+E28-F28+J28</f>
        <v>#VALUE!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f>G25</f>
        <v>4948402.5</v>
      </c>
      <c r="E36" s="68">
        <f>C36+D36</f>
        <v>4948402.5</v>
      </c>
      <c r="F36" s="70">
        <f>+B36-E36</f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 t="e">
        <f>SUM(N33:N36)</f>
        <v>#VALUE!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f>SUM(B36:B38)</f>
        <v>50000000</v>
      </c>
      <c r="C39" s="83">
        <f>SUM(C36:C38)</f>
        <v>0</v>
      </c>
      <c r="D39" s="83">
        <f>SUM(D36:D38)</f>
        <v>4948402.5</v>
      </c>
      <c r="E39" s="83">
        <f>SUM(E36:E38)</f>
        <v>4948402.5</v>
      </c>
      <c r="F39" s="84">
        <f>SUM(F36:F38)</f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2001-11-27T17:33:26Z</cp:lastPrinted>
  <dcterms:created xsi:type="dcterms:W3CDTF">2000-04-03T19:03:47Z</dcterms:created>
  <dcterms:modified xsi:type="dcterms:W3CDTF">2014-09-05T08:31:02Z</dcterms:modified>
</cp:coreProperties>
</file>