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45" windowWidth="9405" windowHeight="4875"/>
  </bookViews>
  <sheets>
    <sheet name="12 - 19 - '01" sheetId="13" r:id="rId1"/>
    <sheet name="12 - 22 - '00" sheetId="11" r:id="rId2"/>
    <sheet name="12-22-'99" sheetId="3" r:id="rId3"/>
    <sheet name="12-31-'98" sheetId="6" r:id="rId4"/>
    <sheet name="12-23-'97" sheetId="8" r:id="rId5"/>
  </sheets>
  <definedNames>
    <definedName name="_xlnm.Print_Area" localSheetId="0">'12 - 19 - ''01'!$A$1:$T$77</definedName>
    <definedName name="_xlnm.Print_Area" localSheetId="1">'12 - 22 - ''00'!$A$1:$T$80</definedName>
  </definedNames>
  <calcPr calcId="152511"/>
</workbook>
</file>

<file path=xl/calcChain.xml><?xml version="1.0" encoding="utf-8"?>
<calcChain xmlns="http://schemas.openxmlformats.org/spreadsheetml/2006/main">
  <c r="B9" i="13" l="1"/>
  <c r="H9" i="13"/>
  <c r="N9" i="13" s="1"/>
  <c r="B10" i="13"/>
  <c r="H10" i="13"/>
  <c r="N10" i="13"/>
  <c r="B11" i="13"/>
  <c r="B12" i="13" s="1"/>
  <c r="B13" i="13" s="1"/>
  <c r="B14" i="13" s="1"/>
  <c r="B15" i="13" s="1"/>
  <c r="B16" i="13" s="1"/>
  <c r="B17" i="13" s="1"/>
  <c r="H11" i="13"/>
  <c r="N11" i="13" s="1"/>
  <c r="V11" i="13"/>
  <c r="H12" i="13"/>
  <c r="N12" i="13" s="1"/>
  <c r="H13" i="13"/>
  <c r="N13" i="13" s="1"/>
  <c r="V13" i="13"/>
  <c r="H14" i="13"/>
  <c r="N14" i="13"/>
  <c r="H15" i="13"/>
  <c r="N15" i="13"/>
  <c r="V15" i="13"/>
  <c r="H16" i="13"/>
  <c r="N16" i="13" s="1"/>
  <c r="H17" i="13"/>
  <c r="N17" i="13"/>
  <c r="B18" i="13"/>
  <c r="B19" i="13" s="1"/>
  <c r="B20" i="13" s="1"/>
  <c r="B21" i="13" s="1"/>
  <c r="H18" i="13"/>
  <c r="N18" i="13" s="1"/>
  <c r="H19" i="13"/>
  <c r="N19" i="13"/>
  <c r="H20" i="13"/>
  <c r="N20" i="13"/>
  <c r="H21" i="13"/>
  <c r="N21" i="13" s="1"/>
  <c r="L23" i="13"/>
  <c r="L70" i="13" s="1"/>
  <c r="B27" i="13"/>
  <c r="B28" i="13" s="1"/>
  <c r="B29" i="13" s="1"/>
  <c r="E27" i="13"/>
  <c r="E68" i="13" s="1"/>
  <c r="I27" i="13"/>
  <c r="I28" i="13"/>
  <c r="N28" i="13"/>
  <c r="I29" i="13"/>
  <c r="N29" i="13"/>
  <c r="B30" i="13"/>
  <c r="B31" i="13" s="1"/>
  <c r="B32" i="13" s="1"/>
  <c r="B33" i="13" s="1"/>
  <c r="B34" i="13" s="1"/>
  <c r="B35" i="13" s="1"/>
  <c r="B38" i="13" s="1"/>
  <c r="B47" i="13" s="1"/>
  <c r="B70" i="13" s="1"/>
  <c r="I30" i="13"/>
  <c r="N30" i="13" s="1"/>
  <c r="I31" i="13"/>
  <c r="N31" i="13" s="1"/>
  <c r="I32" i="13"/>
  <c r="N32" i="13" s="1"/>
  <c r="I33" i="13"/>
  <c r="N33" i="13" s="1"/>
  <c r="E34" i="13"/>
  <c r="I34" i="13"/>
  <c r="N34" i="13"/>
  <c r="E35" i="13"/>
  <c r="I35" i="13"/>
  <c r="N35" i="13" s="1"/>
  <c r="B36" i="13"/>
  <c r="N36" i="13"/>
  <c r="B37" i="13"/>
  <c r="B39" i="13" s="1"/>
  <c r="B40" i="13" s="1"/>
  <c r="N37" i="13"/>
  <c r="I38" i="13"/>
  <c r="N38" i="13" s="1"/>
  <c r="N39" i="13"/>
  <c r="N40" i="13"/>
  <c r="B41" i="13"/>
  <c r="B42" i="13" s="1"/>
  <c r="B43" i="13" s="1"/>
  <c r="B44" i="13" s="1"/>
  <c r="N41" i="13"/>
  <c r="N42" i="13"/>
  <c r="N43" i="13"/>
  <c r="N44" i="13"/>
  <c r="N45" i="13"/>
  <c r="N46" i="13"/>
  <c r="I47" i="13"/>
  <c r="N47" i="13" s="1"/>
  <c r="N48" i="13"/>
  <c r="N49" i="13"/>
  <c r="L50" i="13"/>
  <c r="B54" i="13"/>
  <c r="J54" i="13"/>
  <c r="N54" i="13"/>
  <c r="B55" i="13"/>
  <c r="B56" i="13" s="1"/>
  <c r="B57" i="13" s="1"/>
  <c r="B58" i="13" s="1"/>
  <c r="B59" i="13" s="1"/>
  <c r="J55" i="13"/>
  <c r="N55" i="13"/>
  <c r="J56" i="13"/>
  <c r="N56" i="13" s="1"/>
  <c r="J57" i="13"/>
  <c r="N57" i="13" s="1"/>
  <c r="J58" i="13"/>
  <c r="N58" i="13" s="1"/>
  <c r="J59" i="13"/>
  <c r="N59" i="13"/>
  <c r="B60" i="13"/>
  <c r="B61" i="13" s="1"/>
  <c r="B62" i="13" s="1"/>
  <c r="J60" i="13"/>
  <c r="N60" i="13" s="1"/>
  <c r="J61" i="13"/>
  <c r="N61" i="13"/>
  <c r="J62" i="13"/>
  <c r="N62" i="13"/>
  <c r="B63" i="13"/>
  <c r="B64" i="13" s="1"/>
  <c r="B65" i="13" s="1"/>
  <c r="B66" i="13" s="1"/>
  <c r="B67" i="13" s="1"/>
  <c r="J63" i="13"/>
  <c r="N63" i="13"/>
  <c r="J64" i="13"/>
  <c r="N64" i="13" s="1"/>
  <c r="J65" i="13"/>
  <c r="N65" i="13"/>
  <c r="J66" i="13"/>
  <c r="N66" i="13" s="1"/>
  <c r="J67" i="13"/>
  <c r="N67" i="13"/>
  <c r="L68" i="13"/>
  <c r="L74" i="13"/>
  <c r="B9" i="11"/>
  <c r="B10" i="11" s="1"/>
  <c r="B11" i="11" s="1"/>
  <c r="B12" i="11" s="1"/>
  <c r="B14" i="11" s="1"/>
  <c r="B15" i="11" s="1"/>
  <c r="E9" i="11"/>
  <c r="H9" i="11" s="1"/>
  <c r="N9" i="11" s="1"/>
  <c r="H10" i="11"/>
  <c r="N10" i="11" s="1"/>
  <c r="H11" i="11"/>
  <c r="N11" i="11" s="1"/>
  <c r="V11" i="11"/>
  <c r="H12" i="11"/>
  <c r="N12" i="11"/>
  <c r="B13" i="11"/>
  <c r="H13" i="11"/>
  <c r="H21" i="11" s="1"/>
  <c r="H65" i="11" s="1"/>
  <c r="N13" i="11"/>
  <c r="V13" i="11"/>
  <c r="H14" i="11"/>
  <c r="N14" i="11" s="1"/>
  <c r="H15" i="11"/>
  <c r="N15" i="11"/>
  <c r="V15" i="11"/>
  <c r="B16" i="11"/>
  <c r="B17" i="11" s="1"/>
  <c r="B18" i="11" s="1"/>
  <c r="B19" i="11" s="1"/>
  <c r="H16" i="11"/>
  <c r="N16" i="11"/>
  <c r="H17" i="11"/>
  <c r="N17" i="11" s="1"/>
  <c r="H18" i="11"/>
  <c r="N18" i="11"/>
  <c r="H19" i="11"/>
  <c r="N19" i="11" s="1"/>
  <c r="L21" i="11"/>
  <c r="B24" i="11"/>
  <c r="B25" i="11" s="1"/>
  <c r="B26" i="11" s="1"/>
  <c r="B27" i="11" s="1"/>
  <c r="B28" i="11" s="1"/>
  <c r="B29" i="11" s="1"/>
  <c r="B30" i="11" s="1"/>
  <c r="B34" i="11" s="1"/>
  <c r="B44" i="11" s="1"/>
  <c r="E24" i="11"/>
  <c r="I25" i="11"/>
  <c r="N25" i="11" s="1"/>
  <c r="I26" i="11"/>
  <c r="N26" i="11"/>
  <c r="I27" i="11"/>
  <c r="N27" i="11" s="1"/>
  <c r="I28" i="11"/>
  <c r="N28" i="11"/>
  <c r="E29" i="11"/>
  <c r="I29" i="11" s="1"/>
  <c r="N29" i="11" s="1"/>
  <c r="E30" i="11"/>
  <c r="I30" i="11" s="1"/>
  <c r="N30" i="11" s="1"/>
  <c r="B31" i="11"/>
  <c r="B32" i="11" s="1"/>
  <c r="B35" i="11" s="1"/>
  <c r="B36" i="11" s="1"/>
  <c r="B37" i="11" s="1"/>
  <c r="N31" i="11"/>
  <c r="N32" i="11"/>
  <c r="B33" i="11"/>
  <c r="I33" i="11"/>
  <c r="N33" i="11" s="1"/>
  <c r="I34" i="11"/>
  <c r="N34" i="11" s="1"/>
  <c r="N35" i="11"/>
  <c r="N36" i="11"/>
  <c r="N37" i="11"/>
  <c r="B38" i="11"/>
  <c r="B39" i="11" s="1"/>
  <c r="B40" i="11" s="1"/>
  <c r="B41" i="11" s="1"/>
  <c r="B42" i="11" s="1"/>
  <c r="B43" i="11" s="1"/>
  <c r="B45" i="11" s="1"/>
  <c r="B46" i="11" s="1"/>
  <c r="N38" i="11"/>
  <c r="N39" i="11"/>
  <c r="N40" i="11"/>
  <c r="N41" i="11"/>
  <c r="N42" i="11"/>
  <c r="N43" i="11"/>
  <c r="I44" i="11"/>
  <c r="N44" i="11" s="1"/>
  <c r="N45" i="11"/>
  <c r="N46" i="11"/>
  <c r="L47" i="11"/>
  <c r="B50" i="11"/>
  <c r="J50" i="11"/>
  <c r="N50" i="11"/>
  <c r="B51" i="11"/>
  <c r="B53" i="11" s="1"/>
  <c r="B54" i="11" s="1"/>
  <c r="B55" i="11" s="1"/>
  <c r="B57" i="11" s="1"/>
  <c r="B58" i="11" s="1"/>
  <c r="B59" i="11" s="1"/>
  <c r="B60" i="11" s="1"/>
  <c r="B61" i="11" s="1"/>
  <c r="B62" i="11" s="1"/>
  <c r="B63" i="11" s="1"/>
  <c r="B64" i="11" s="1"/>
  <c r="J51" i="11"/>
  <c r="N51" i="11"/>
  <c r="B52" i="11"/>
  <c r="B56" i="11" s="1"/>
  <c r="J52" i="11"/>
  <c r="N52" i="11" s="1"/>
  <c r="J53" i="11"/>
  <c r="N53" i="11"/>
  <c r="E54" i="11"/>
  <c r="J54" i="11" s="1"/>
  <c r="N54" i="11" s="1"/>
  <c r="E55" i="11"/>
  <c r="J55" i="11"/>
  <c r="N55" i="11" s="1"/>
  <c r="J56" i="11"/>
  <c r="N56" i="11" s="1"/>
  <c r="J57" i="11"/>
  <c r="N57" i="11"/>
  <c r="J58" i="11"/>
  <c r="N58" i="11" s="1"/>
  <c r="J59" i="11"/>
  <c r="N59" i="11"/>
  <c r="J60" i="11"/>
  <c r="N60" i="11"/>
  <c r="J61" i="11"/>
  <c r="N61" i="11"/>
  <c r="J62" i="11"/>
  <c r="N62" i="11" s="1"/>
  <c r="J63" i="11"/>
  <c r="N63" i="11" s="1"/>
  <c r="J64" i="11"/>
  <c r="N64" i="11" s="1"/>
  <c r="L65" i="11"/>
  <c r="B9" i="3"/>
  <c r="B10" i="3" s="1"/>
  <c r="B11" i="3" s="1"/>
  <c r="B12" i="3" s="1"/>
  <c r="H9" i="3"/>
  <c r="H19" i="3" s="1"/>
  <c r="N9" i="3"/>
  <c r="V9" i="3"/>
  <c r="H10" i="3"/>
  <c r="N10" i="3"/>
  <c r="H11" i="3"/>
  <c r="N11" i="3"/>
  <c r="V11" i="3"/>
  <c r="H12" i="3"/>
  <c r="L12" i="3"/>
  <c r="L19" i="3" s="1"/>
  <c r="N12" i="3"/>
  <c r="H13" i="3"/>
  <c r="N13" i="3"/>
  <c r="V13" i="3"/>
  <c r="H14" i="3"/>
  <c r="N14" i="3" s="1"/>
  <c r="H15" i="3"/>
  <c r="N15" i="3"/>
  <c r="H16" i="3"/>
  <c r="N16" i="3" s="1"/>
  <c r="H17" i="3"/>
  <c r="N17" i="3"/>
  <c r="H18" i="3"/>
  <c r="N18" i="3"/>
  <c r="B22" i="3"/>
  <c r="I22" i="3"/>
  <c r="L22" i="3"/>
  <c r="N22" i="3"/>
  <c r="B23" i="3"/>
  <c r="B24" i="3" s="1"/>
  <c r="B26" i="3" s="1"/>
  <c r="E23" i="3"/>
  <c r="I23" i="3" s="1"/>
  <c r="L23" i="3"/>
  <c r="N23" i="3" s="1"/>
  <c r="I24" i="3"/>
  <c r="N24" i="3"/>
  <c r="B25" i="3"/>
  <c r="I25" i="3"/>
  <c r="N25" i="3" s="1"/>
  <c r="I26" i="3"/>
  <c r="N26" i="3"/>
  <c r="I27" i="3"/>
  <c r="N27" i="3"/>
  <c r="I28" i="3"/>
  <c r="N28" i="3"/>
  <c r="I29" i="3"/>
  <c r="N29" i="3" s="1"/>
  <c r="I30" i="3"/>
  <c r="N30" i="3" s="1"/>
  <c r="E31" i="3"/>
  <c r="I31" i="3" s="1"/>
  <c r="N31" i="3" s="1"/>
  <c r="B32" i="3"/>
  <c r="B34" i="3"/>
  <c r="B35" i="3" s="1"/>
  <c r="B37" i="3" s="1"/>
  <c r="B38" i="3" s="1"/>
  <c r="B39" i="3" s="1"/>
  <c r="B40" i="3" s="1"/>
  <c r="B41" i="3" s="1"/>
  <c r="B42" i="3" s="1"/>
  <c r="B43" i="3" s="1"/>
  <c r="B44" i="3" s="1"/>
  <c r="B45" i="3" s="1"/>
  <c r="B47" i="3" s="1"/>
  <c r="B48" i="3" s="1"/>
  <c r="I36" i="3"/>
  <c r="N36" i="3" s="1"/>
  <c r="I46" i="3"/>
  <c r="N46" i="3"/>
  <c r="B52" i="3"/>
  <c r="J52" i="3"/>
  <c r="J68" i="3" s="1"/>
  <c r="B53" i="3"/>
  <c r="J53" i="3"/>
  <c r="N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H68" i="3"/>
  <c r="L68" i="3"/>
  <c r="Q76" i="3"/>
  <c r="B9" i="8"/>
  <c r="H9" i="8"/>
  <c r="N9" i="8" s="1"/>
  <c r="B10" i="8"/>
  <c r="H10" i="8"/>
  <c r="N10" i="8"/>
  <c r="B11" i="8"/>
  <c r="B12" i="8" s="1"/>
  <c r="H11" i="8"/>
  <c r="L11" i="8"/>
  <c r="H12" i="8"/>
  <c r="N12" i="8" s="1"/>
  <c r="B13" i="8"/>
  <c r="B14" i="8" s="1"/>
  <c r="B15" i="8" s="1"/>
  <c r="B16" i="8" s="1"/>
  <c r="B17" i="8" s="1"/>
  <c r="B18" i="8" s="1"/>
  <c r="B19" i="8" s="1"/>
  <c r="H13" i="8"/>
  <c r="N13" i="8"/>
  <c r="H14" i="8"/>
  <c r="N14" i="8" s="1"/>
  <c r="H15" i="8"/>
  <c r="N15" i="8"/>
  <c r="H16" i="8"/>
  <c r="N16" i="8" s="1"/>
  <c r="H17" i="8"/>
  <c r="N17" i="8"/>
  <c r="H18" i="8"/>
  <c r="N18" i="8" s="1"/>
  <c r="H19" i="8"/>
  <c r="N19" i="8"/>
  <c r="L21" i="8"/>
  <c r="B24" i="8"/>
  <c r="B25" i="8" s="1"/>
  <c r="B26" i="8" s="1"/>
  <c r="E24" i="8"/>
  <c r="E73" i="8" s="1"/>
  <c r="I24" i="8"/>
  <c r="N24" i="8" s="1"/>
  <c r="I25" i="8"/>
  <c r="N25" i="8"/>
  <c r="I26" i="8"/>
  <c r="N26" i="8" s="1"/>
  <c r="B27" i="8"/>
  <c r="B28" i="8" s="1"/>
  <c r="B29" i="8" s="1"/>
  <c r="B31" i="8" s="1"/>
  <c r="B32" i="8" s="1"/>
  <c r="B35" i="8" s="1"/>
  <c r="B36" i="8" s="1"/>
  <c r="B45" i="8" s="1"/>
  <c r="I27" i="8"/>
  <c r="N27" i="8"/>
  <c r="I28" i="8"/>
  <c r="N28" i="8" s="1"/>
  <c r="I29" i="8"/>
  <c r="N29" i="8"/>
  <c r="B30" i="8"/>
  <c r="I30" i="8"/>
  <c r="N30" i="8" s="1"/>
  <c r="I31" i="8"/>
  <c r="N31" i="8"/>
  <c r="I32" i="8"/>
  <c r="N32" i="8" s="1"/>
  <c r="B33" i="8"/>
  <c r="B34" i="8" s="1"/>
  <c r="B37" i="8" s="1"/>
  <c r="B38" i="8" s="1"/>
  <c r="B39" i="8" s="1"/>
  <c r="B40" i="8" s="1"/>
  <c r="B41" i="8" s="1"/>
  <c r="B42" i="8" s="1"/>
  <c r="B43" i="8" s="1"/>
  <c r="B44" i="8" s="1"/>
  <c r="B46" i="8" s="1"/>
  <c r="B47" i="8" s="1"/>
  <c r="I33" i="8"/>
  <c r="N33" i="8"/>
  <c r="I34" i="8"/>
  <c r="N34" i="8"/>
  <c r="I35" i="8"/>
  <c r="N35" i="8"/>
  <c r="I36" i="8"/>
  <c r="N36" i="8" s="1"/>
  <c r="I37" i="8"/>
  <c r="N37" i="8" s="1"/>
  <c r="I38" i="8"/>
  <c r="N38" i="8" s="1"/>
  <c r="I39" i="8"/>
  <c r="N39" i="8"/>
  <c r="I40" i="8"/>
  <c r="N40" i="8" s="1"/>
  <c r="I41" i="8"/>
  <c r="N41" i="8"/>
  <c r="I42" i="8"/>
  <c r="N42" i="8"/>
  <c r="I43" i="8"/>
  <c r="N43" i="8"/>
  <c r="I44" i="8"/>
  <c r="N44" i="8" s="1"/>
  <c r="I45" i="8"/>
  <c r="N45" i="8"/>
  <c r="I46" i="8"/>
  <c r="N46" i="8" s="1"/>
  <c r="I47" i="8"/>
  <c r="N47" i="8"/>
  <c r="L48" i="8"/>
  <c r="B51" i="8"/>
  <c r="B52" i="8" s="1"/>
  <c r="J51" i="8"/>
  <c r="N51" i="8"/>
  <c r="J52" i="8"/>
  <c r="N52" i="8"/>
  <c r="B53" i="8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J53" i="8"/>
  <c r="N53" i="8"/>
  <c r="J54" i="8"/>
  <c r="N54" i="8" s="1"/>
  <c r="J55" i="8"/>
  <c r="J73" i="8" s="1"/>
  <c r="J56" i="8"/>
  <c r="N56" i="8" s="1"/>
  <c r="J57" i="8"/>
  <c r="N57" i="8"/>
  <c r="J58" i="8"/>
  <c r="N58" i="8" s="1"/>
  <c r="J59" i="8"/>
  <c r="N59" i="8"/>
  <c r="J60" i="8"/>
  <c r="N60" i="8"/>
  <c r="J61" i="8"/>
  <c r="N61" i="8"/>
  <c r="J62" i="8"/>
  <c r="N62" i="8" s="1"/>
  <c r="J63" i="8"/>
  <c r="N63" i="8"/>
  <c r="J64" i="8"/>
  <c r="N64" i="8" s="1"/>
  <c r="J65" i="8"/>
  <c r="N65" i="8"/>
  <c r="J66" i="8"/>
  <c r="N66" i="8" s="1"/>
  <c r="J67" i="8"/>
  <c r="N67" i="8"/>
  <c r="J68" i="8"/>
  <c r="N68" i="8" s="1"/>
  <c r="J69" i="8"/>
  <c r="N69" i="8"/>
  <c r="J70" i="8"/>
  <c r="N70" i="8" s="1"/>
  <c r="J71" i="8"/>
  <c r="N71" i="8"/>
  <c r="J72" i="8"/>
  <c r="N72" i="8" s="1"/>
  <c r="L73" i="8"/>
  <c r="L75" i="8"/>
  <c r="Q81" i="8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H9" i="6"/>
  <c r="H25" i="6" s="1"/>
  <c r="H10" i="6"/>
  <c r="N10" i="6"/>
  <c r="H11" i="6"/>
  <c r="N11" i="6" s="1"/>
  <c r="L11" i="6"/>
  <c r="H12" i="6"/>
  <c r="N12" i="6" s="1"/>
  <c r="H13" i="6"/>
  <c r="N13" i="6"/>
  <c r="H14" i="6"/>
  <c r="N14" i="6" s="1"/>
  <c r="H15" i="6"/>
  <c r="N15" i="6"/>
  <c r="H16" i="6"/>
  <c r="N16" i="6"/>
  <c r="U16" i="6"/>
  <c r="H17" i="6"/>
  <c r="N17" i="6" s="1"/>
  <c r="H18" i="6"/>
  <c r="N18" i="6"/>
  <c r="H19" i="6"/>
  <c r="N19" i="6" s="1"/>
  <c r="H20" i="6"/>
  <c r="N20" i="6"/>
  <c r="U20" i="6"/>
  <c r="H21" i="6"/>
  <c r="N21" i="6" s="1"/>
  <c r="H22" i="6"/>
  <c r="N22" i="6" s="1"/>
  <c r="H23" i="6"/>
  <c r="N23" i="6"/>
  <c r="L25" i="6"/>
  <c r="B28" i="6"/>
  <c r="B29" i="6" s="1"/>
  <c r="B30" i="6" s="1"/>
  <c r="B31" i="6" s="1"/>
  <c r="B32" i="6" s="1"/>
  <c r="B33" i="6" s="1"/>
  <c r="B34" i="6" s="1"/>
  <c r="B35" i="6" s="1"/>
  <c r="I28" i="6"/>
  <c r="N28" i="6"/>
  <c r="E29" i="6"/>
  <c r="E79" i="6" s="1"/>
  <c r="I29" i="6"/>
  <c r="N29" i="6"/>
  <c r="E30" i="6"/>
  <c r="I30" i="6" s="1"/>
  <c r="N30" i="6"/>
  <c r="I31" i="6"/>
  <c r="N31" i="6" s="1"/>
  <c r="I32" i="6"/>
  <c r="N32" i="6"/>
  <c r="I33" i="6"/>
  <c r="N33" i="6" s="1"/>
  <c r="I34" i="6"/>
  <c r="N34" i="6"/>
  <c r="E35" i="6"/>
  <c r="I35" i="6" s="1"/>
  <c r="N35" i="6"/>
  <c r="B36" i="6"/>
  <c r="B38" i="6"/>
  <c r="B39" i="6" s="1"/>
  <c r="B42" i="6" s="1"/>
  <c r="B43" i="6" s="1"/>
  <c r="B44" i="6" s="1"/>
  <c r="B45" i="6" s="1"/>
  <c r="B46" i="6" s="1"/>
  <c r="B47" i="6" s="1"/>
  <c r="B48" i="6" s="1"/>
  <c r="B49" i="6" s="1"/>
  <c r="B51" i="6" s="1"/>
  <c r="B52" i="6" s="1"/>
  <c r="I40" i="6"/>
  <c r="N40" i="6" s="1"/>
  <c r="I41" i="6"/>
  <c r="N41" i="6"/>
  <c r="I50" i="6"/>
  <c r="L53" i="6"/>
  <c r="B56" i="6"/>
  <c r="B57" i="6" s="1"/>
  <c r="B58" i="6" s="1"/>
  <c r="J56" i="6"/>
  <c r="N56" i="6"/>
  <c r="J57" i="6"/>
  <c r="N57" i="6" s="1"/>
  <c r="J58" i="6"/>
  <c r="B59" i="6"/>
  <c r="B60" i="6" s="1"/>
  <c r="B61" i="6" s="1"/>
  <c r="B62" i="6" s="1"/>
  <c r="J59" i="6"/>
  <c r="J79" i="6" s="1"/>
  <c r="N59" i="6"/>
  <c r="J60" i="6"/>
  <c r="N60" i="6" s="1"/>
  <c r="J61" i="6"/>
  <c r="N61" i="6"/>
  <c r="J62" i="6"/>
  <c r="N62" i="6" s="1"/>
  <c r="J63" i="6"/>
  <c r="J64" i="6"/>
  <c r="N64" i="6"/>
  <c r="J65" i="6"/>
  <c r="N65" i="6" s="1"/>
  <c r="J66" i="6"/>
  <c r="N66" i="6"/>
  <c r="J67" i="6"/>
  <c r="N67" i="6"/>
  <c r="J68" i="6"/>
  <c r="N68" i="6"/>
  <c r="J69" i="6"/>
  <c r="N69" i="6" s="1"/>
  <c r="J70" i="6"/>
  <c r="N70" i="6" s="1"/>
  <c r="J71" i="6"/>
  <c r="N71" i="6" s="1"/>
  <c r="J72" i="6"/>
  <c r="N72" i="6"/>
  <c r="J73" i="6"/>
  <c r="N73" i="6" s="1"/>
  <c r="J74" i="6"/>
  <c r="N74" i="6"/>
  <c r="J75" i="6"/>
  <c r="N75" i="6" s="1"/>
  <c r="J76" i="6"/>
  <c r="N76" i="6"/>
  <c r="J77" i="6"/>
  <c r="N77" i="6" s="1"/>
  <c r="J78" i="6"/>
  <c r="N78" i="6"/>
  <c r="L79" i="6"/>
  <c r="L81" i="6"/>
  <c r="Q87" i="6"/>
  <c r="B63" i="6" l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64" i="6"/>
  <c r="B40" i="6"/>
  <c r="B41" i="6" s="1"/>
  <c r="B50" i="6" s="1"/>
  <c r="B81" i="6" s="1"/>
  <c r="B37" i="6"/>
  <c r="B75" i="8"/>
  <c r="N79" i="6"/>
  <c r="B23" i="6"/>
  <c r="I24" i="11"/>
  <c r="N24" i="11" s="1"/>
  <c r="E65" i="11"/>
  <c r="N21" i="11"/>
  <c r="N27" i="13"/>
  <c r="I50" i="13"/>
  <c r="I68" i="13" s="1"/>
  <c r="N11" i="8"/>
  <c r="H73" i="8"/>
  <c r="N65" i="11"/>
  <c r="B67" i="11"/>
  <c r="J68" i="13"/>
  <c r="N55" i="8"/>
  <c r="E68" i="3"/>
  <c r="J65" i="11"/>
  <c r="B45" i="13"/>
  <c r="B46" i="13" s="1"/>
  <c r="B48" i="13" s="1"/>
  <c r="B49" i="13" s="1"/>
  <c r="N9" i="6"/>
  <c r="H79" i="6"/>
  <c r="N25" i="6" s="1"/>
  <c r="I53" i="6"/>
  <c r="I79" i="6"/>
  <c r="H23" i="13"/>
  <c r="B13" i="3"/>
  <c r="B14" i="3" s="1"/>
  <c r="B15" i="3" s="1"/>
  <c r="B16" i="3" s="1"/>
  <c r="B17" i="3" s="1"/>
  <c r="B18" i="3" s="1"/>
  <c r="B27" i="3"/>
  <c r="B28" i="3" s="1"/>
  <c r="B29" i="3" s="1"/>
  <c r="B30" i="3" s="1"/>
  <c r="B31" i="3" s="1"/>
  <c r="L86" i="6"/>
  <c r="L70" i="3"/>
  <c r="N19" i="3"/>
  <c r="N21" i="8"/>
  <c r="B54" i="3"/>
  <c r="B55" i="3"/>
  <c r="B56" i="3" s="1"/>
  <c r="I47" i="11"/>
  <c r="I65" i="11" s="1"/>
  <c r="H68" i="13"/>
  <c r="N73" i="8"/>
  <c r="I49" i="3"/>
  <c r="I68" i="3" s="1"/>
  <c r="I70" i="3" s="1"/>
  <c r="L84" i="6"/>
  <c r="L80" i="8"/>
  <c r="N53" i="6"/>
  <c r="I48" i="8"/>
  <c r="I73" i="8" s="1"/>
  <c r="N52" i="3"/>
  <c r="L67" i="11"/>
  <c r="H21" i="8"/>
  <c r="L49" i="3"/>
  <c r="I73" i="3" l="1"/>
  <c r="H69" i="3"/>
  <c r="J69" i="3"/>
  <c r="L72" i="11"/>
  <c r="N67" i="11"/>
  <c r="B57" i="3"/>
  <c r="B59" i="3" s="1"/>
  <c r="B60" i="3" s="1"/>
  <c r="B61" i="3" s="1"/>
  <c r="B62" i="3" s="1"/>
  <c r="B63" i="3" s="1"/>
  <c r="B64" i="3" s="1"/>
  <c r="B65" i="3" s="1"/>
  <c r="B66" i="3" s="1"/>
  <c r="B67" i="3" s="1"/>
  <c r="B58" i="3"/>
  <c r="J66" i="11"/>
  <c r="N49" i="3"/>
  <c r="N48" i="8"/>
  <c r="N50" i="13"/>
  <c r="I81" i="6"/>
  <c r="H80" i="6"/>
  <c r="B36" i="3"/>
  <c r="B46" i="3" s="1"/>
  <c r="B70" i="3" s="1"/>
  <c r="B33" i="3"/>
  <c r="I75" i="8"/>
  <c r="I69" i="3"/>
  <c r="I70" i="13"/>
  <c r="H69" i="13"/>
  <c r="I66" i="11"/>
  <c r="N47" i="11"/>
  <c r="I67" i="11"/>
  <c r="I74" i="8"/>
  <c r="N23" i="13"/>
  <c r="N70" i="3"/>
  <c r="L75" i="3"/>
  <c r="N68" i="13"/>
  <c r="J69" i="13"/>
  <c r="L74" i="3" l="1"/>
  <c r="L76" i="3" s="1"/>
  <c r="L73" i="3"/>
  <c r="L75" i="13"/>
  <c r="L76" i="13" s="1"/>
  <c r="N70" i="13"/>
  <c r="I84" i="6"/>
  <c r="L85" i="6" s="1"/>
  <c r="L87" i="6" s="1"/>
  <c r="J80" i="6"/>
  <c r="N81" i="6"/>
  <c r="I80" i="6"/>
  <c r="I69" i="13"/>
  <c r="I78" i="8"/>
  <c r="J74" i="8"/>
  <c r="N75" i="8"/>
  <c r="L81" i="8" s="1"/>
  <c r="I70" i="11"/>
  <c r="H66" i="11"/>
  <c r="H74" i="8"/>
  <c r="L70" i="11" l="1"/>
  <c r="L71" i="11"/>
  <c r="L73" i="11" s="1"/>
  <c r="L78" i="8"/>
  <c r="L79" i="8"/>
</calcChain>
</file>

<file path=xl/sharedStrings.xml><?xml version="1.0" encoding="utf-8"?>
<sst xmlns="http://schemas.openxmlformats.org/spreadsheetml/2006/main" count="930" uniqueCount="183">
  <si>
    <t>1999/2000  FDD Information</t>
  </si>
  <si>
    <t>Today's  Date</t>
  </si>
  <si>
    <t xml:space="preserve">% of </t>
  </si>
  <si>
    <t>Tarriff  Required</t>
  </si>
  <si>
    <t>GIP</t>
  </si>
  <si>
    <t>Contract</t>
  </si>
  <si>
    <t>% of Contract by Month End</t>
  </si>
  <si>
    <t>Customer</t>
  </si>
  <si>
    <t>Contract  #</t>
  </si>
  <si>
    <t>Quantity in MMCF</t>
  </si>
  <si>
    <t>Office</t>
  </si>
  <si>
    <t>Election</t>
  </si>
  <si>
    <t>Gas-In-Place</t>
  </si>
  <si>
    <t>4-Step</t>
  </si>
  <si>
    <t>3-Step</t>
  </si>
  <si>
    <t>IN  MMCF</t>
  </si>
  <si>
    <t>Filled</t>
  </si>
  <si>
    <t>Coral Energy Rwesources</t>
  </si>
  <si>
    <t>EndUser</t>
  </si>
  <si>
    <t xml:space="preserve">Nov.   </t>
  </si>
  <si>
    <t>No  &gt;  100%,  Nor  &lt;  74%</t>
  </si>
  <si>
    <t>IES Industries</t>
  </si>
  <si>
    <t>DM</t>
  </si>
  <si>
    <t>Dec.</t>
  </si>
  <si>
    <t>No  &gt;  83.5%,  Nor  &lt;  33.5%</t>
  </si>
  <si>
    <t>MUD</t>
  </si>
  <si>
    <t>Oma</t>
  </si>
  <si>
    <t>Jan.</t>
  </si>
  <si>
    <t>No  &gt;  64.6%,  Nor  &lt;  14.4%</t>
  </si>
  <si>
    <t>Koch Gas Services</t>
  </si>
  <si>
    <t>Feb.</t>
  </si>
  <si>
    <t>No  &gt;  53.0%,  Nor  &lt;  3.9%</t>
  </si>
  <si>
    <t>LS Power</t>
  </si>
  <si>
    <t xml:space="preserve">March </t>
  </si>
  <si>
    <t>No  &gt;  16.1%,  Nor  &lt;  0%</t>
  </si>
  <si>
    <t>April</t>
  </si>
  <si>
    <t>No  &gt;  0%,  Nor  &lt;  0%</t>
  </si>
  <si>
    <t>Great Plains Natural Gas</t>
  </si>
  <si>
    <t>Mpls</t>
  </si>
  <si>
    <t>Cap. Rel.</t>
  </si>
  <si>
    <t>Duluth, City of</t>
  </si>
  <si>
    <t>Semco Ener./Mich.Gas Company</t>
  </si>
  <si>
    <t>Semco Ener./Mich.Gas Company</t>
  </si>
  <si>
    <t>1  =  GIP</t>
  </si>
  <si>
    <t>NSP-Mn</t>
  </si>
  <si>
    <t>In Line with Jan. 31st Reqrmt's</t>
  </si>
  <si>
    <t>Utilicorp United Inc.</t>
  </si>
  <si>
    <t>PanAlberta  -                     DMark</t>
  </si>
  <si>
    <t>No  &lt;  40%</t>
  </si>
  <si>
    <t>Cibola -                              DMark</t>
  </si>
  <si>
    <t>For Inf. Only</t>
  </si>
  <si>
    <t>No  &gt;  25%</t>
  </si>
  <si>
    <t>Austin Utilities</t>
  </si>
  <si>
    <t>NSP-Wi</t>
  </si>
  <si>
    <t>Williams Energy       (103970  ????)</t>
  </si>
  <si>
    <t>Hou.</t>
  </si>
  <si>
    <t>U. S. Energy Services as AGENT</t>
  </si>
  <si>
    <t>Superior W/L&amp;P Co.</t>
  </si>
  <si>
    <t>Fremont Dept. of Utilities</t>
  </si>
  <si>
    <t>Super. W/L&amp;P Co.  (114 mm comb.)</t>
  </si>
  <si>
    <t>Midwest Natural Gas Inc.</t>
  </si>
  <si>
    <t>Western Gas Utilities</t>
  </si>
  <si>
    <t>Wisconsin Electric Power Co.</t>
  </si>
  <si>
    <t>Osage Municipal Utilities</t>
  </si>
  <si>
    <t>Sac City, City of</t>
  </si>
  <si>
    <t>MidWest Natural Inc.</t>
  </si>
  <si>
    <t>Two Harbors, City of</t>
  </si>
  <si>
    <t>Waukee, City of</t>
  </si>
  <si>
    <t>Sheehan's Gas Co.</t>
  </si>
  <si>
    <t>Brooklyn Municipal Utilities</t>
  </si>
  <si>
    <t>Lake Park Municipal Utility</t>
  </si>
  <si>
    <t>Ponca, City of</t>
  </si>
  <si>
    <t>Sioux Center, City of</t>
  </si>
  <si>
    <t>Northwest Natural Gas</t>
  </si>
  <si>
    <t>Sabula, City of</t>
  </si>
  <si>
    <t>4  =  4-STEP</t>
  </si>
  <si>
    <t>MidAmerican Energy Co.</t>
  </si>
  <si>
    <t>Interstate Power Company</t>
  </si>
  <si>
    <t>NiGas      (Terminated in 1998)</t>
  </si>
  <si>
    <t>Wisconsin P&amp;L</t>
  </si>
  <si>
    <t>NWPS Co.</t>
  </si>
  <si>
    <t>Cibola -                             Ogden</t>
  </si>
  <si>
    <t>NW Energy Corp.</t>
  </si>
  <si>
    <t>Circle Pines, City of</t>
  </si>
  <si>
    <t>Remsen, City of</t>
  </si>
  <si>
    <t>Coon Rapids Municipal Utilities</t>
  </si>
  <si>
    <t>Manning Municipal Gas</t>
  </si>
  <si>
    <t>Sanborn, City of</t>
  </si>
  <si>
    <t>Hartley       (102830  ????)</t>
  </si>
  <si>
    <t>Manilla Municipal Gas Dept.</t>
  </si>
  <si>
    <t>Rolfe, City of</t>
  </si>
  <si>
    <t>3  =  3-STEP</t>
  </si>
  <si>
    <t>Contracts  (active)</t>
  </si>
  <si>
    <t>less</t>
  </si>
  <si>
    <t>Filled as of 10/31/'99</t>
  </si>
  <si>
    <t>Month todate</t>
  </si>
  <si>
    <t>12-31-1998 FDD Stats.</t>
  </si>
  <si>
    <t>W/D Month ToDate</t>
  </si>
  <si>
    <t>8.7% WTN</t>
  </si>
  <si>
    <t>W/D Season ToDate</t>
  </si>
  <si>
    <t>NOTE:</t>
  </si>
  <si>
    <t>Items  with an  *  should be reviewed by the</t>
  </si>
  <si>
    <t>Balance ReMaining</t>
  </si>
  <si>
    <t>Remained on 12/31/'98</t>
  </si>
  <si>
    <t xml:space="preserve">appropriate Marketing and/or Market Serv. Rep. </t>
  </si>
  <si>
    <t>12/22/'99</t>
  </si>
  <si>
    <t>10% WTN</t>
  </si>
  <si>
    <t>9.1% WTN</t>
  </si>
  <si>
    <t>Cibola -                              DMark</t>
  </si>
  <si>
    <t>On 12/8/'98, between</t>
  </si>
  <si>
    <t>Kimball</t>
  </si>
  <si>
    <t>Hou</t>
  </si>
  <si>
    <t>Cedar Falls Utilities</t>
  </si>
  <si>
    <t>Owatonna Public Utility</t>
  </si>
  <si>
    <t>Farmland Industries    (102815 Term.)</t>
  </si>
  <si>
    <t>St Croix Valley Natural Gas</t>
  </si>
  <si>
    <t>NSP/Natural Gas, Inc.</t>
  </si>
  <si>
    <t>Combined w/ NSP Wisc.</t>
  </si>
  <si>
    <t>Neb. Pub. Gas Agency  (102942  ????)</t>
  </si>
  <si>
    <t>Wisconsin Gas Co.</t>
  </si>
  <si>
    <t>Producers Energy</t>
  </si>
  <si>
    <t>Aquila Energy</t>
  </si>
  <si>
    <t>Twister</t>
  </si>
  <si>
    <t>Hutchinson Utility Commission</t>
  </si>
  <si>
    <t>Ag Processing</t>
  </si>
  <si>
    <t>Hibbing Public Utilities Commission</t>
  </si>
  <si>
    <t>Filled as of 10/31/'98</t>
  </si>
  <si>
    <t>12-31-1997 FDD Stats.</t>
  </si>
  <si>
    <t>Remained on 11/30/'98</t>
  </si>
  <si>
    <t>12/31/'98</t>
  </si>
  <si>
    <t>*</t>
  </si>
  <si>
    <t>1997/1998 Heating Season FDD Information</t>
  </si>
  <si>
    <t>Remaining</t>
  </si>
  <si>
    <t>Cibola -   (1200 became 1500)   DMark</t>
  </si>
  <si>
    <t>Mich.Gas Company/Semco Ener.</t>
  </si>
  <si>
    <t>Farmland Industries</t>
  </si>
  <si>
    <t>Natural Gas, Inc.</t>
  </si>
  <si>
    <t>?????</t>
  </si>
  <si>
    <t>Neb. Pub. Gas Agency</t>
  </si>
  <si>
    <t>NiGas</t>
  </si>
  <si>
    <t>Hartley</t>
  </si>
  <si>
    <t>Contracts</t>
  </si>
  <si>
    <t>Filled as of 10/31/'97</t>
  </si>
  <si>
    <t>12-31-1996 FDD Stats.</t>
  </si>
  <si>
    <t xml:space="preserve">Items  with an  *  should be reviewed by the appropriate </t>
  </si>
  <si>
    <t xml:space="preserve">Marketing and/or Market Services Rep. </t>
  </si>
  <si>
    <t>Remained on 12/31/'96</t>
  </si>
  <si>
    <t>12/23/'97</t>
  </si>
  <si>
    <t>2000/2001  FDD Information</t>
  </si>
  <si>
    <t>Filled as of 10/31/'00</t>
  </si>
  <si>
    <t>12-31-1999 FDD Stats.</t>
  </si>
  <si>
    <t>Remained on 12/31/'99</t>
  </si>
  <si>
    <t>12/22/'00</t>
  </si>
  <si>
    <r>
      <t>U. S. Energy</t>
    </r>
    <r>
      <rPr>
        <sz val="10"/>
        <rFont val="Arial"/>
      </rPr>
      <t>/LS Power</t>
    </r>
  </si>
  <si>
    <t>32% CTN</t>
  </si>
  <si>
    <r>
      <t xml:space="preserve">% of Contract </t>
    </r>
    <r>
      <rPr>
        <b/>
        <u/>
        <sz val="10"/>
        <color indexed="10"/>
        <rFont val="Arial"/>
        <family val="2"/>
      </rPr>
      <t>by</t>
    </r>
    <r>
      <rPr>
        <b/>
        <u/>
        <sz val="10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Month End</t>
    </r>
  </si>
  <si>
    <r>
      <t>Trans Canada Energy/</t>
    </r>
    <r>
      <rPr>
        <strike/>
        <sz val="10"/>
        <rFont val="Arial"/>
        <family val="2"/>
      </rPr>
      <t xml:space="preserve">Cibola </t>
    </r>
  </si>
  <si>
    <r>
      <t>Semco Ener.</t>
    </r>
    <r>
      <rPr>
        <sz val="10"/>
        <rFont val="Univers"/>
      </rPr>
      <t>/Mich.Gas Company</t>
    </r>
  </si>
  <si>
    <r>
      <t>Southern Company Energy</t>
    </r>
    <r>
      <rPr>
        <sz val="10"/>
        <rFont val="Arial"/>
      </rPr>
      <t>/</t>
    </r>
    <r>
      <rPr>
        <strike/>
        <sz val="10"/>
        <rFont val="Arial"/>
        <family val="2"/>
      </rPr>
      <t xml:space="preserve">PanAlberta </t>
    </r>
  </si>
  <si>
    <r>
      <t xml:space="preserve">Williams Energy       </t>
    </r>
    <r>
      <rPr>
        <strike/>
        <sz val="10"/>
        <rFont val="Univers"/>
        <family val="2"/>
      </rPr>
      <t>(103970  ????)</t>
    </r>
  </si>
  <si>
    <r>
      <t>NSP MINN</t>
    </r>
    <r>
      <rPr>
        <strike/>
        <sz val="10"/>
        <rFont val="Univers"/>
        <family val="2"/>
      </rPr>
      <t>/Western Gas Utilities</t>
    </r>
  </si>
  <si>
    <r>
      <t>NWPS Co,/</t>
    </r>
    <r>
      <rPr>
        <strike/>
        <sz val="10"/>
        <rFont val="Arial"/>
        <family val="2"/>
      </rPr>
      <t>NW Energy Corp.</t>
    </r>
  </si>
  <si>
    <r>
      <t xml:space="preserve">Hartley       </t>
    </r>
    <r>
      <rPr>
        <strike/>
        <sz val="10"/>
        <rFont val="Arial"/>
        <family val="2"/>
      </rPr>
      <t>(102830  ????)</t>
    </r>
  </si>
  <si>
    <r>
      <t xml:space="preserve">Contracts  </t>
    </r>
    <r>
      <rPr>
        <b/>
        <sz val="10"/>
        <color indexed="10"/>
        <rFont val="Arial"/>
        <family val="2"/>
      </rPr>
      <t>(active)</t>
    </r>
  </si>
  <si>
    <r>
      <t xml:space="preserve">Items  with an  </t>
    </r>
    <r>
      <rPr>
        <b/>
        <sz val="14"/>
        <color indexed="16"/>
        <rFont val="Arial"/>
      </rPr>
      <t>*</t>
    </r>
    <r>
      <rPr>
        <b/>
        <sz val="10"/>
        <color indexed="16"/>
        <rFont val="Arial"/>
      </rPr>
      <t xml:space="preserve">  should be reviewed by the</t>
    </r>
  </si>
  <si>
    <t>2001/2002  FDD Information</t>
  </si>
  <si>
    <t>LS Power/Utilcorp United Inc.</t>
  </si>
  <si>
    <t>min. month to min. month</t>
  </si>
  <si>
    <t>NSP-Minn.</t>
  </si>
  <si>
    <t>NSP-Wisc.</t>
  </si>
  <si>
    <r>
      <t xml:space="preserve">Williams Energy       </t>
    </r>
    <r>
      <rPr>
        <strike/>
        <sz val="9"/>
        <rFont val="Univers"/>
        <family val="2"/>
      </rPr>
      <t>(103970  ????)</t>
    </r>
  </si>
  <si>
    <t>Tenaska Gas Storage, LLC</t>
  </si>
  <si>
    <t>Hutchinson Util. Comm.</t>
  </si>
  <si>
    <r>
      <t xml:space="preserve">Hartley       </t>
    </r>
    <r>
      <rPr>
        <strike/>
        <sz val="9"/>
        <rFont val="Arial"/>
        <family val="2"/>
      </rPr>
      <t>(102830  ????)</t>
    </r>
  </si>
  <si>
    <t>Filled Season ToDate</t>
  </si>
  <si>
    <r>
      <t>Semco Ener</t>
    </r>
    <r>
      <rPr>
        <sz val="9"/>
        <rFont val="Univers"/>
        <family val="2"/>
      </rPr>
      <t>./Mich.Gas Company</t>
    </r>
  </si>
  <si>
    <r>
      <t>BP Canada Energy Mk</t>
    </r>
    <r>
      <rPr>
        <sz val="9"/>
        <rFont val="Arial"/>
        <family val="2"/>
      </rPr>
      <t>t/Trans Canada Energy</t>
    </r>
    <r>
      <rPr>
        <strike/>
        <sz val="9"/>
        <rFont val="Arial"/>
        <family val="2"/>
      </rPr>
      <t xml:space="preserve">/Cibola </t>
    </r>
  </si>
  <si>
    <r>
      <t>Entergy</t>
    </r>
    <r>
      <rPr>
        <sz val="9"/>
        <rFont val="Univers"/>
        <family val="2"/>
      </rPr>
      <t>/Axia Energy, LP/</t>
    </r>
    <r>
      <rPr>
        <strike/>
        <sz val="8"/>
        <rFont val="Univers"/>
        <family val="2"/>
      </rPr>
      <t>Koch Gas Services</t>
    </r>
  </si>
  <si>
    <r>
      <t>Mirant Amer. Ener.</t>
    </r>
    <r>
      <rPr>
        <b/>
        <sz val="9"/>
        <color indexed="16"/>
        <rFont val="Arial"/>
        <family val="2"/>
      </rPr>
      <t>/</t>
    </r>
    <r>
      <rPr>
        <b/>
        <sz val="8"/>
        <rFont val="Arial"/>
        <family val="2"/>
      </rPr>
      <t>Southern Company Energy</t>
    </r>
    <r>
      <rPr>
        <sz val="8"/>
        <rFont val="Arial"/>
        <family val="2"/>
      </rPr>
      <t>/</t>
    </r>
    <r>
      <rPr>
        <strike/>
        <sz val="8"/>
        <rFont val="Arial"/>
        <family val="2"/>
      </rPr>
      <t xml:space="preserve">PanAlberta </t>
    </r>
  </si>
  <si>
    <t>max. to max. w/in the month</t>
  </si>
  <si>
    <t>12/19/'01</t>
  </si>
  <si>
    <t>max. month to min. month</t>
  </si>
  <si>
    <t>No  &gt;  100%,  Nor  &lt;  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</si>
</sst>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164" formatCode="#,##0.000_);\(#,##0.000\)"/>
    <numFmt numFmtId="165" formatCode="0.000"/>
    <numFmt numFmtId="166" formatCode="#,##0.000"/>
    <numFmt numFmtId="167" formatCode="0.0%"/>
    <numFmt numFmtId="168" formatCode="0_);[Red]\(0\)"/>
    <numFmt numFmtId="169" formatCode="#,##0.000_);[Red]\(#,##0.000\)"/>
    <numFmt numFmtId="170" formatCode="0.000%"/>
    <numFmt numFmtId="171" formatCode="0.0"/>
    <numFmt numFmtId="172" formatCode="0.000_);[Red]\(0.000\)"/>
  </numFmts>
  <fonts count="115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MS Sans Serif"/>
    </font>
    <font>
      <b/>
      <u/>
      <sz val="10"/>
      <name val="Arial"/>
    </font>
    <font>
      <b/>
      <u/>
      <sz val="9"/>
      <name val="Univers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9"/>
      <name val="Univers"/>
    </font>
    <font>
      <b/>
      <sz val="10"/>
      <color indexed="12"/>
      <name val="Arial"/>
    </font>
    <font>
      <sz val="9"/>
      <name val="Arial"/>
      <family val="2"/>
    </font>
    <font>
      <b/>
      <sz val="16"/>
      <name val="Arial"/>
    </font>
    <font>
      <sz val="9"/>
      <name val="Arial"/>
    </font>
    <font>
      <b/>
      <sz val="10"/>
      <color indexed="12"/>
      <name val="Arial"/>
      <family val="2"/>
    </font>
    <font>
      <sz val="9"/>
      <name val="Arial Rounded MT Bold"/>
    </font>
    <font>
      <b/>
      <sz val="10"/>
      <color indexed="16"/>
      <name val="Arial"/>
      <family val="2"/>
    </font>
    <font>
      <b/>
      <sz val="10"/>
      <color indexed="17"/>
      <name val="Arial"/>
    </font>
    <font>
      <b/>
      <sz val="9"/>
      <color indexed="17"/>
      <name val="Univers"/>
    </font>
    <font>
      <b/>
      <strike/>
      <sz val="10"/>
      <color indexed="17"/>
      <name val="Arial"/>
      <family val="2"/>
    </font>
    <font>
      <strike/>
      <sz val="9"/>
      <color indexed="17"/>
      <name val="Univers"/>
    </font>
    <font>
      <strike/>
      <sz val="10"/>
      <color indexed="17"/>
      <name val="Arial"/>
    </font>
    <font>
      <sz val="14"/>
      <color indexed="16"/>
      <name val="Arial"/>
      <family val="2"/>
    </font>
    <font>
      <strike/>
      <sz val="10"/>
      <color indexed="17"/>
      <name val="Arial"/>
      <family val="2"/>
    </font>
    <font>
      <strike/>
      <sz val="9"/>
      <color indexed="17"/>
      <name val="Arial"/>
      <family val="2"/>
    </font>
    <font>
      <strike/>
      <sz val="9"/>
      <color indexed="17"/>
      <name val="Arial Rounded MT Bold"/>
    </font>
    <font>
      <b/>
      <sz val="9"/>
      <color indexed="16"/>
      <name val="Arial"/>
      <family val="2"/>
    </font>
    <font>
      <b/>
      <sz val="10"/>
      <color indexed="18"/>
      <name val="Arial"/>
      <family val="2"/>
    </font>
    <font>
      <b/>
      <sz val="9"/>
      <name val="Arial"/>
      <family val="2"/>
    </font>
    <font>
      <b/>
      <sz val="8"/>
      <name val="Arial"/>
    </font>
    <font>
      <b/>
      <sz val="14"/>
      <color indexed="16"/>
      <name val="Arial"/>
      <family val="2"/>
    </font>
    <font>
      <sz val="9"/>
      <color indexed="16"/>
      <name val="Univers"/>
    </font>
    <font>
      <sz val="10"/>
      <color indexed="16"/>
      <name val="Arial"/>
    </font>
    <font>
      <sz val="9"/>
      <name val="Univers"/>
      <family val="2"/>
    </font>
    <font>
      <b/>
      <sz val="12"/>
      <color indexed="10"/>
      <name val="Univers"/>
      <family val="2"/>
    </font>
    <font>
      <b/>
      <sz val="9"/>
      <color indexed="16"/>
      <name val="Univers"/>
      <family val="2"/>
    </font>
    <font>
      <b/>
      <sz val="10"/>
      <color indexed="16"/>
      <name val="Univers"/>
      <family val="2"/>
    </font>
    <font>
      <b/>
      <sz val="9"/>
      <color indexed="10"/>
      <name val="Univers"/>
      <family val="2"/>
    </font>
    <font>
      <sz val="10"/>
      <color indexed="16"/>
      <name val="Univers"/>
      <family val="2"/>
    </font>
    <font>
      <sz val="14"/>
      <color indexed="10"/>
      <name val="Univers"/>
      <family val="2"/>
    </font>
    <font>
      <strike/>
      <sz val="9"/>
      <name val="Univers"/>
      <family val="2"/>
    </font>
    <font>
      <strike/>
      <sz val="10"/>
      <name val="Arial"/>
    </font>
    <font>
      <b/>
      <strike/>
      <sz val="10"/>
      <name val="Arial"/>
    </font>
    <font>
      <b/>
      <strike/>
      <sz val="10"/>
      <color indexed="10"/>
      <name val="Arial"/>
    </font>
    <font>
      <strike/>
      <sz val="9"/>
      <name val="Univers"/>
    </font>
    <font>
      <b/>
      <strike/>
      <sz val="10"/>
      <color indexed="10"/>
      <name val="Arial"/>
      <family val="2"/>
    </font>
    <font>
      <strike/>
      <sz val="9"/>
      <name val="Arial"/>
      <family val="2"/>
    </font>
    <font>
      <b/>
      <sz val="10"/>
      <color indexed="10"/>
      <name val="Univers"/>
    </font>
    <font>
      <b/>
      <sz val="10"/>
      <color indexed="10"/>
      <name val="Arial"/>
      <family val="2"/>
    </font>
    <font>
      <sz val="9"/>
      <color indexed="16"/>
      <name val="Arial"/>
      <family val="2"/>
    </font>
    <font>
      <sz val="9"/>
      <color indexed="17"/>
      <name val="Univers"/>
    </font>
    <font>
      <sz val="9"/>
      <color indexed="17"/>
      <name val="Univers"/>
      <family val="2"/>
    </font>
    <font>
      <b/>
      <sz val="10"/>
      <name val="Arial"/>
      <family val="2"/>
    </font>
    <font>
      <b/>
      <sz val="10"/>
      <color indexed="16"/>
      <name val="Arial"/>
    </font>
    <font>
      <b/>
      <strike/>
      <sz val="10"/>
      <color indexed="17"/>
      <name val="Arial"/>
    </font>
    <font>
      <strike/>
      <sz val="9"/>
      <color indexed="17"/>
      <name val="Univers"/>
      <family val="2"/>
    </font>
    <font>
      <b/>
      <strike/>
      <sz val="10"/>
      <color indexed="18"/>
      <name val="Arial"/>
    </font>
    <font>
      <strike/>
      <sz val="9"/>
      <color indexed="18"/>
      <name val="Univers"/>
    </font>
    <font>
      <strike/>
      <sz val="9"/>
      <color indexed="18"/>
      <name val="Univers"/>
      <family val="2"/>
    </font>
    <font>
      <strike/>
      <sz val="9"/>
      <color indexed="18"/>
      <name val="Arial"/>
      <family val="2"/>
    </font>
    <font>
      <sz val="9"/>
      <color indexed="12"/>
      <name val="Univers"/>
      <family val="2"/>
    </font>
    <font>
      <sz val="10"/>
      <color indexed="10"/>
      <name val="Arial"/>
      <family val="2"/>
    </font>
    <font>
      <strike/>
      <sz val="9"/>
      <color indexed="18"/>
      <name val="Arial"/>
    </font>
    <font>
      <sz val="12"/>
      <color indexed="10"/>
      <name val="Univers"/>
      <family val="2"/>
    </font>
    <font>
      <b/>
      <strike/>
      <sz val="10"/>
      <color indexed="18"/>
      <name val="Arial"/>
      <family val="2"/>
    </font>
    <font>
      <b/>
      <sz val="9"/>
      <name val="Univers"/>
    </font>
    <font>
      <b/>
      <sz val="9"/>
      <name val="Arial"/>
    </font>
    <font>
      <b/>
      <sz val="9"/>
      <name val="Univers"/>
      <family val="2"/>
    </font>
    <font>
      <b/>
      <sz val="9"/>
      <color indexed="12"/>
      <name val="Univers"/>
      <family val="2"/>
    </font>
    <font>
      <b/>
      <strike/>
      <sz val="10"/>
      <color indexed="16"/>
      <name val="Arial"/>
      <family val="2"/>
    </font>
    <font>
      <b/>
      <strike/>
      <sz val="9"/>
      <color indexed="16"/>
      <name val="Arial"/>
      <family val="2"/>
    </font>
    <font>
      <strike/>
      <sz val="9"/>
      <name val="Arial"/>
    </font>
    <font>
      <b/>
      <strike/>
      <sz val="9"/>
      <color indexed="16"/>
      <name val="Univers"/>
    </font>
    <font>
      <b/>
      <strike/>
      <sz val="9"/>
      <color indexed="16"/>
      <name val="Univers"/>
      <family val="2"/>
    </font>
    <font>
      <b/>
      <strike/>
      <sz val="10"/>
      <name val="Arial"/>
      <family val="2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  <font>
      <b/>
      <strike/>
      <sz val="10"/>
      <color indexed="61"/>
      <name val="Univers"/>
      <family val="2"/>
    </font>
    <font>
      <b/>
      <strike/>
      <sz val="10"/>
      <name val="Univers"/>
    </font>
    <font>
      <b/>
      <sz val="10"/>
      <name val="Arial Rounded MT Bold"/>
    </font>
    <font>
      <b/>
      <sz val="10"/>
      <color indexed="17"/>
      <name val="Univers"/>
    </font>
    <font>
      <b/>
      <sz val="9"/>
      <color indexed="17"/>
      <name val="Univers"/>
      <family val="2"/>
    </font>
    <font>
      <b/>
      <sz val="10"/>
      <color indexed="17"/>
      <name val="Univers"/>
      <family val="2"/>
    </font>
    <font>
      <strike/>
      <sz val="10"/>
      <color indexed="17"/>
      <name val="Univers"/>
    </font>
    <font>
      <b/>
      <strike/>
      <sz val="10"/>
      <color indexed="17"/>
      <name val="Univers"/>
      <family val="2"/>
    </font>
    <font>
      <b/>
      <strike/>
      <sz val="10"/>
      <color indexed="17"/>
      <name val="Univers"/>
    </font>
    <font>
      <strike/>
      <sz val="10"/>
      <color indexed="17"/>
      <name val="Univers"/>
      <family val="2"/>
    </font>
    <font>
      <b/>
      <strike/>
      <sz val="10"/>
      <color indexed="16"/>
      <name val="Univers"/>
      <family val="2"/>
    </font>
    <font>
      <b/>
      <strike/>
      <sz val="10"/>
      <name val="Univers"/>
      <family val="2"/>
    </font>
    <font>
      <b/>
      <strike/>
      <sz val="10"/>
      <color indexed="17"/>
      <name val="Arial Rounded MT Bold"/>
    </font>
    <font>
      <strike/>
      <sz val="10"/>
      <color indexed="18"/>
      <name val="Univers"/>
    </font>
    <font>
      <b/>
      <strike/>
      <sz val="10"/>
      <color indexed="18"/>
      <name val="Univers"/>
      <family val="2"/>
    </font>
    <font>
      <strike/>
      <sz val="10"/>
      <name val="Univers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strike/>
      <sz val="10"/>
      <name val="Arial"/>
      <family val="2"/>
    </font>
    <font>
      <strike/>
      <sz val="10"/>
      <name val="Univers"/>
      <family val="2"/>
    </font>
    <font>
      <strike/>
      <sz val="9"/>
      <color indexed="17"/>
      <name val="Arial"/>
    </font>
    <font>
      <u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</font>
    <font>
      <b/>
      <sz val="9"/>
      <color indexed="12"/>
      <name val="Arial"/>
      <family val="2"/>
    </font>
    <font>
      <sz val="18"/>
      <color indexed="10"/>
      <name val="Univers"/>
      <family val="2"/>
    </font>
    <font>
      <strike/>
      <sz val="8"/>
      <name val="Univers"/>
      <family val="2"/>
    </font>
    <font>
      <b/>
      <sz val="8"/>
      <name val="Arial"/>
      <family val="2"/>
    </font>
    <font>
      <sz val="8"/>
      <name val="Arial"/>
      <family val="2"/>
    </font>
    <font>
      <strike/>
      <sz val="8"/>
      <name val="Arial"/>
      <family val="2"/>
    </font>
    <font>
      <sz val="9"/>
      <color indexed="8"/>
      <name val="Arial"/>
      <family val="2"/>
    </font>
    <font>
      <sz val="9"/>
      <color indexed="8"/>
      <name val="Univers"/>
      <family val="2"/>
    </font>
    <font>
      <b/>
      <sz val="9"/>
      <color indexed="12"/>
      <name val="Arial"/>
    </font>
    <font>
      <b/>
      <sz val="9"/>
      <color indexed="12"/>
      <name val="Univers"/>
    </font>
    <font>
      <b/>
      <sz val="10"/>
      <color indexed="1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2">
    <xf numFmtId="0" fontId="0" fillId="0" borderId="0" xfId="0"/>
    <xf numFmtId="0" fontId="3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 applyAlignment="1">
      <alignment horizontal="center"/>
    </xf>
    <xf numFmtId="0" fontId="0" fillId="0" borderId="0" xfId="0" applyBorder="1"/>
    <xf numFmtId="0" fontId="6" fillId="0" borderId="0" xfId="0" quotePrefix="1" applyFont="1" applyAlignment="1"/>
    <xf numFmtId="0" fontId="0" fillId="0" borderId="0" xfId="0" applyBorder="1" applyAlignment="1">
      <alignment horizontal="centerContinuous"/>
    </xf>
    <xf numFmtId="0" fontId="1" fillId="2" borderId="0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0" fontId="11" fillId="0" borderId="0" xfId="0" applyFont="1"/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13" fillId="0" borderId="0" xfId="0" applyNumberFormat="1" applyFont="1"/>
    <xf numFmtId="0" fontId="14" fillId="5" borderId="0" xfId="0" applyFont="1" applyFill="1" applyAlignment="1">
      <alignment horizontal="left" vertical="top"/>
    </xf>
    <xf numFmtId="0" fontId="15" fillId="0" borderId="0" xfId="0" applyFont="1"/>
    <xf numFmtId="165" fontId="0" fillId="0" borderId="0" xfId="0" applyNumberFormat="1" applyAlignment="1">
      <alignment horizontal="center"/>
    </xf>
    <xf numFmtId="0" fontId="0" fillId="5" borderId="0" xfId="0" applyFill="1"/>
    <xf numFmtId="0" fontId="16" fillId="0" borderId="0" xfId="0" applyFont="1"/>
    <xf numFmtId="38" fontId="0" fillId="5" borderId="0" xfId="0" applyNumberFormat="1" applyFill="1"/>
    <xf numFmtId="6" fontId="0" fillId="0" borderId="0" xfId="0" applyNumberFormat="1"/>
    <xf numFmtId="38" fontId="17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11" fillId="0" borderId="0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8" fontId="1" fillId="6" borderId="2" xfId="0" applyNumberFormat="1" applyFont="1" applyFill="1" applyBorder="1" applyAlignment="1">
      <alignment horizontal="center"/>
    </xf>
    <xf numFmtId="10" fontId="1" fillId="6" borderId="2" xfId="1" applyNumberFormat="1" applyFont="1" applyFill="1" applyBorder="1" applyAlignment="1">
      <alignment horizontal="center"/>
    </xf>
    <xf numFmtId="164" fontId="13" fillId="0" borderId="0" xfId="0" applyNumberFormat="1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Border="1" applyAlignment="1">
      <alignment horizontal="center"/>
    </xf>
    <xf numFmtId="164" fontId="20" fillId="0" borderId="0" xfId="0" applyNumberFormat="1" applyFont="1"/>
    <xf numFmtId="16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Border="1" applyAlignment="1">
      <alignment horizontal="center"/>
    </xf>
    <xf numFmtId="164" fontId="22" fillId="0" borderId="0" xfId="0" applyNumberFormat="1" applyFont="1"/>
    <xf numFmtId="0" fontId="23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6" fontId="24" fillId="0" borderId="0" xfId="0" applyNumberFormat="1" applyFont="1" applyAlignment="1">
      <alignment horizontal="center" vertical="top"/>
    </xf>
    <xf numFmtId="10" fontId="25" fillId="0" borderId="0" xfId="1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 vertical="top"/>
    </xf>
    <xf numFmtId="8" fontId="0" fillId="0" borderId="0" xfId="0" applyNumberFormat="1"/>
    <xf numFmtId="164" fontId="26" fillId="0" borderId="0" xfId="0" applyNumberFormat="1" applyFont="1"/>
    <xf numFmtId="6" fontId="0" fillId="0" borderId="0" xfId="0" applyNumberFormat="1" applyBorder="1"/>
    <xf numFmtId="38" fontId="27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/>
    <xf numFmtId="164" fontId="22" fillId="0" borderId="0" xfId="0" applyNumberFormat="1" applyFont="1" applyBorder="1" applyAlignment="1">
      <alignment horizontal="center"/>
    </xf>
    <xf numFmtId="37" fontId="1" fillId="6" borderId="2" xfId="0" applyNumberFormat="1" applyFont="1" applyFill="1" applyBorder="1" applyAlignment="1">
      <alignment horizontal="center"/>
    </xf>
    <xf numFmtId="0" fontId="1" fillId="0" borderId="0" xfId="0" applyFont="1"/>
    <xf numFmtId="164" fontId="15" fillId="0" borderId="0" xfId="0" applyNumberFormat="1" applyFont="1"/>
    <xf numFmtId="164" fontId="11" fillId="0" borderId="0" xfId="0" applyNumberFormat="1" applyFont="1" applyBorder="1"/>
    <xf numFmtId="0" fontId="0" fillId="0" borderId="3" xfId="0" applyBorder="1" applyAlignment="1">
      <alignment horizontal="center"/>
    </xf>
    <xf numFmtId="164" fontId="11" fillId="0" borderId="3" xfId="0" applyNumberFormat="1" applyFont="1" applyBorder="1"/>
    <xf numFmtId="164" fontId="11" fillId="0" borderId="3" xfId="0" applyNumberFormat="1" applyFont="1" applyBorder="1" applyAlignment="1">
      <alignment horizontal="center"/>
    </xf>
    <xf numFmtId="0" fontId="0" fillId="0" borderId="0" xfId="0" applyFill="1" applyBorder="1"/>
    <xf numFmtId="164" fontId="1" fillId="6" borderId="2" xfId="0" applyNumberFormat="1" applyFont="1" applyFill="1" applyBorder="1"/>
    <xf numFmtId="166" fontId="1" fillId="6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167" fontId="1" fillId="0" borderId="0" xfId="1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166" fontId="1" fillId="6" borderId="2" xfId="0" applyNumberFormat="1" applyFont="1" applyFill="1" applyBorder="1"/>
    <xf numFmtId="10" fontId="18" fillId="6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>
      <alignment horizontal="center"/>
    </xf>
    <xf numFmtId="0" fontId="0" fillId="0" borderId="0" xfId="0" applyFill="1"/>
    <xf numFmtId="0" fontId="1" fillId="4" borderId="0" xfId="0" applyFont="1" applyFill="1" applyAlignment="1">
      <alignment horizontal="center"/>
    </xf>
    <xf numFmtId="3" fontId="29" fillId="6" borderId="2" xfId="0" applyNumberFormat="1" applyFont="1" applyFill="1" applyBorder="1" applyAlignment="1">
      <alignment horizontal="center"/>
    </xf>
    <xf numFmtId="38" fontId="1" fillId="4" borderId="0" xfId="0" applyNumberFormat="1" applyFont="1" applyFill="1" applyAlignment="1">
      <alignment horizontal="right"/>
    </xf>
    <xf numFmtId="0" fontId="30" fillId="6" borderId="0" xfId="0" applyFont="1" applyFill="1"/>
    <xf numFmtId="0" fontId="0" fillId="6" borderId="0" xfId="0" applyFill="1"/>
    <xf numFmtId="38" fontId="1" fillId="4" borderId="0" xfId="0" applyNumberFormat="1" applyFont="1" applyFill="1" applyAlignment="1">
      <alignment horizontal="center"/>
    </xf>
    <xf numFmtId="0" fontId="31" fillId="4" borderId="0" xfId="0" applyFont="1" applyFill="1"/>
    <xf numFmtId="10" fontId="1" fillId="4" borderId="0" xfId="0" applyNumberFormat="1" applyFont="1" applyFill="1" applyAlignment="1">
      <alignment horizontal="right"/>
    </xf>
    <xf numFmtId="10" fontId="1" fillId="4" borderId="0" xfId="0" applyNumberFormat="1" applyFont="1" applyFill="1" applyAlignment="1">
      <alignment horizontal="center"/>
    </xf>
    <xf numFmtId="0" fontId="32" fillId="4" borderId="0" xfId="0" applyFont="1" applyFill="1" applyBorder="1" applyAlignment="1">
      <alignment horizontal="center" vertical="top"/>
    </xf>
    <xf numFmtId="38" fontId="33" fillId="0" borderId="0" xfId="0" applyNumberFormat="1" applyFont="1" applyFill="1" applyBorder="1" applyAlignment="1">
      <alignment horizontal="center"/>
    </xf>
    <xf numFmtId="10" fontId="34" fillId="0" borderId="0" xfId="1" applyNumberFormat="1" applyFont="1" applyBorder="1" applyAlignment="1">
      <alignment horizontal="center"/>
    </xf>
    <xf numFmtId="169" fontId="35" fillId="0" borderId="0" xfId="0" applyNumberFormat="1" applyFont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6" fontId="36" fillId="0" borderId="0" xfId="0" applyNumberFormat="1" applyFont="1" applyFill="1" applyAlignment="1">
      <alignment horizontal="center" vertical="top"/>
    </xf>
    <xf numFmtId="10" fontId="13" fillId="0" borderId="0" xfId="1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0" fontId="11" fillId="0" borderId="0" xfId="0" applyFont="1" applyBorder="1"/>
    <xf numFmtId="170" fontId="38" fillId="0" borderId="0" xfId="0" applyNumberFormat="1" applyFont="1" applyFill="1" applyBorder="1" applyAlignment="1">
      <alignment horizontal="center"/>
    </xf>
    <xf numFmtId="0" fontId="39" fillId="0" borderId="0" xfId="0" applyFont="1"/>
    <xf numFmtId="170" fontId="40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6" fontId="11" fillId="0" borderId="0" xfId="0" applyNumberFormat="1" applyFont="1"/>
    <xf numFmtId="0" fontId="44" fillId="0" borderId="0" xfId="0" applyFont="1" applyAlignment="1">
      <alignment horizontal="center"/>
    </xf>
    <xf numFmtId="0" fontId="45" fillId="0" borderId="0" xfId="0" applyFont="1"/>
    <xf numFmtId="0" fontId="43" fillId="0" borderId="0" xfId="0" applyFont="1" applyBorder="1" applyAlignment="1">
      <alignment horizontal="center"/>
    </xf>
    <xf numFmtId="164" fontId="46" fillId="0" borderId="0" xfId="0" applyNumberFormat="1" applyFont="1" applyBorder="1"/>
    <xf numFmtId="0" fontId="43" fillId="0" borderId="0" xfId="0" applyFont="1" applyAlignment="1">
      <alignment horizontal="center"/>
    </xf>
    <xf numFmtId="169" fontId="42" fillId="0" borderId="0" xfId="0" applyNumberFormat="1" applyFont="1" applyBorder="1" applyAlignment="1">
      <alignment horizontal="center"/>
    </xf>
    <xf numFmtId="165" fontId="46" fillId="0" borderId="0" xfId="0" applyNumberFormat="1" applyFont="1" applyBorder="1" applyAlignment="1">
      <alignment horizontal="left"/>
    </xf>
    <xf numFmtId="38" fontId="46" fillId="0" borderId="0" xfId="0" applyNumberFormat="1" applyFont="1" applyBorder="1" applyAlignment="1">
      <alignment horizontal="center"/>
    </xf>
    <xf numFmtId="6" fontId="47" fillId="0" borderId="0" xfId="0" applyNumberFormat="1" applyFont="1" applyFill="1" applyBorder="1" applyAlignment="1">
      <alignment horizontal="center" vertical="top"/>
    </xf>
    <xf numFmtId="10" fontId="48" fillId="0" borderId="0" xfId="1" applyNumberFormat="1" applyFont="1" applyFill="1" applyBorder="1" applyAlignment="1">
      <alignment horizontal="center"/>
    </xf>
    <xf numFmtId="0" fontId="43" fillId="5" borderId="0" xfId="0" applyFont="1" applyFill="1"/>
    <xf numFmtId="0" fontId="49" fillId="0" borderId="0" xfId="0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38" fontId="50" fillId="0" borderId="0" xfId="0" applyNumberFormat="1" applyFont="1" applyFill="1" applyBorder="1" applyAlignment="1">
      <alignment horizontal="center"/>
    </xf>
    <xf numFmtId="10" fontId="11" fillId="0" borderId="0" xfId="1" applyNumberFormat="1" applyFont="1" applyFill="1" applyBorder="1" applyAlignment="1">
      <alignment horizontal="center"/>
    </xf>
    <xf numFmtId="6" fontId="41" fillId="0" borderId="0" xfId="0" applyNumberFormat="1" applyFont="1" applyFill="1" applyAlignment="1">
      <alignment horizontal="center" vertical="top"/>
    </xf>
    <xf numFmtId="0" fontId="51" fillId="0" borderId="0" xfId="0" applyFont="1" applyAlignment="1">
      <alignment horizontal="center" vertical="top"/>
    </xf>
    <xf numFmtId="10" fontId="15" fillId="0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Fill="1" applyAlignment="1">
      <alignment horizontal="right"/>
    </xf>
    <xf numFmtId="0" fontId="20" fillId="0" borderId="0" xfId="0" applyFont="1" applyFill="1"/>
    <xf numFmtId="0" fontId="52" fillId="0" borderId="0" xfId="0" applyFont="1" applyFill="1" applyBorder="1" applyAlignment="1">
      <alignment horizontal="center"/>
    </xf>
    <xf numFmtId="164" fontId="52" fillId="0" borderId="0" xfId="0" applyNumberFormat="1" applyFont="1" applyFill="1"/>
    <xf numFmtId="0" fontId="52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5" fontId="52" fillId="0" borderId="0" xfId="0" applyNumberFormat="1" applyFont="1" applyFill="1" applyAlignment="1">
      <alignment horizontal="center"/>
    </xf>
    <xf numFmtId="169" fontId="53" fillId="0" borderId="0" xfId="0" applyNumberFormat="1" applyFont="1" applyFill="1" applyAlignment="1">
      <alignment horizontal="center"/>
    </xf>
    <xf numFmtId="38" fontId="52" fillId="0" borderId="0" xfId="0" applyNumberFormat="1" applyFont="1" applyFill="1" applyBorder="1" applyAlignment="1">
      <alignment horizontal="center"/>
    </xf>
    <xf numFmtId="6" fontId="52" fillId="0" borderId="0" xfId="0" applyNumberFormat="1" applyFont="1" applyFill="1"/>
    <xf numFmtId="0" fontId="54" fillId="0" borderId="0" xfId="0" applyFont="1" applyFill="1" applyAlignment="1">
      <alignment horizontal="center"/>
    </xf>
    <xf numFmtId="0" fontId="56" fillId="0" borderId="0" xfId="0" applyFont="1" applyFill="1" applyAlignment="1">
      <alignment horizontal="right"/>
    </xf>
    <xf numFmtId="0" fontId="22" fillId="0" borderId="0" xfId="0" applyFont="1" applyFill="1"/>
    <xf numFmtId="0" fontId="22" fillId="0" borderId="0" xfId="0" applyFont="1" applyFill="1" applyBorder="1" applyAlignment="1">
      <alignment horizontal="center"/>
    </xf>
    <xf numFmtId="164" fontId="22" fillId="0" borderId="0" xfId="0" applyNumberFormat="1" applyFont="1" applyFill="1"/>
    <xf numFmtId="0" fontId="22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69" fontId="57" fillId="0" borderId="0" xfId="0" applyNumberFormat="1" applyFont="1" applyFill="1" applyAlignment="1">
      <alignment horizontal="center"/>
    </xf>
    <xf numFmtId="6" fontId="26" fillId="0" borderId="0" xfId="0" applyNumberFormat="1" applyFont="1" applyFill="1" applyAlignment="1">
      <alignment horizontal="center" vertical="top"/>
    </xf>
    <xf numFmtId="0" fontId="58" fillId="0" borderId="0" xfId="0" applyFont="1" applyAlignment="1">
      <alignment horizontal="left"/>
    </xf>
    <xf numFmtId="0" fontId="59" fillId="0" borderId="0" xfId="0" applyFont="1"/>
    <xf numFmtId="0" fontId="59" fillId="0" borderId="0" xfId="0" applyFont="1" applyBorder="1" applyAlignment="1">
      <alignment horizontal="center"/>
    </xf>
    <xf numFmtId="164" fontId="59" fillId="0" borderId="0" xfId="0" applyNumberFormat="1" applyFont="1"/>
    <xf numFmtId="0" fontId="59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169" fontId="60" fillId="0" borderId="0" xfId="0" applyNumberFormat="1" applyFont="1" applyAlignment="1">
      <alignment horizontal="center"/>
    </xf>
    <xf numFmtId="38" fontId="59" fillId="0" borderId="0" xfId="0" applyNumberFormat="1" applyFont="1" applyBorder="1" applyAlignment="1">
      <alignment horizontal="center"/>
    </xf>
    <xf numFmtId="0" fontId="57" fillId="0" borderId="0" xfId="0" applyFont="1" applyFill="1"/>
    <xf numFmtId="0" fontId="26" fillId="0" borderId="0" xfId="0" applyFont="1" applyFill="1" applyAlignment="1">
      <alignment horizontal="center" vertical="top"/>
    </xf>
    <xf numFmtId="164" fontId="26" fillId="0" borderId="0" xfId="0" applyNumberFormat="1" applyFont="1" applyFill="1"/>
    <xf numFmtId="6" fontId="22" fillId="0" borderId="0" xfId="0" applyNumberFormat="1" applyFont="1" applyFill="1"/>
    <xf numFmtId="0" fontId="62" fillId="0" borderId="0" xfId="0" applyFont="1"/>
    <xf numFmtId="38" fontId="39" fillId="0" borderId="0" xfId="0" applyNumberFormat="1" applyFont="1" applyBorder="1" applyAlignment="1">
      <alignment horizontal="center"/>
    </xf>
    <xf numFmtId="0" fontId="63" fillId="0" borderId="0" xfId="0" applyFont="1" applyFill="1"/>
    <xf numFmtId="6" fontId="22" fillId="0" borderId="0" xfId="0" applyNumberFormat="1" applyFont="1" applyFill="1" applyBorder="1"/>
    <xf numFmtId="6" fontId="50" fillId="0" borderId="0" xfId="0" applyNumberFormat="1" applyFont="1" applyFill="1" applyBorder="1" applyAlignment="1">
      <alignment horizontal="center" vertical="top"/>
    </xf>
    <xf numFmtId="164" fontId="22" fillId="0" borderId="0" xfId="0" applyNumberFormat="1" applyFont="1" applyFill="1" applyBorder="1"/>
    <xf numFmtId="165" fontId="22" fillId="0" borderId="0" xfId="0" applyNumberFormat="1" applyFont="1" applyFill="1" applyBorder="1" applyAlignment="1">
      <alignment horizontal="center"/>
    </xf>
    <xf numFmtId="169" fontId="57" fillId="0" borderId="0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right"/>
    </xf>
    <xf numFmtId="170" fontId="40" fillId="0" borderId="0" xfId="0" applyNumberFormat="1" applyFont="1" applyBorder="1" applyAlignment="1">
      <alignment horizontal="center"/>
    </xf>
    <xf numFmtId="6" fontId="65" fillId="0" borderId="0" xfId="0" applyNumberFormat="1" applyFont="1" applyFill="1" applyAlignment="1">
      <alignment horizontal="center" vertical="top"/>
    </xf>
    <xf numFmtId="169" fontId="35" fillId="0" borderId="0" xfId="0" applyNumberFormat="1" applyFont="1" applyBorder="1" applyAlignment="1">
      <alignment horizontal="center"/>
    </xf>
    <xf numFmtId="10" fontId="35" fillId="0" borderId="0" xfId="1" applyNumberFormat="1" applyFont="1" applyFill="1" applyBorder="1" applyAlignment="1">
      <alignment horizontal="center"/>
    </xf>
    <xf numFmtId="0" fontId="64" fillId="0" borderId="0" xfId="0" applyFont="1"/>
    <xf numFmtId="164" fontId="61" fillId="0" borderId="0" xfId="0" applyNumberFormat="1" applyFont="1"/>
    <xf numFmtId="0" fontId="6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69" fontId="35" fillId="0" borderId="3" xfId="0" applyNumberFormat="1" applyFon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 applyFill="1" applyBorder="1"/>
    <xf numFmtId="0" fontId="55" fillId="4" borderId="0" xfId="0" applyFont="1" applyFill="1" applyAlignment="1">
      <alignment horizontal="center"/>
    </xf>
    <xf numFmtId="0" fontId="55" fillId="4" borderId="0" xfId="0" applyFont="1" applyFill="1"/>
    <xf numFmtId="0" fontId="33" fillId="4" borderId="0" xfId="0" applyFont="1" applyFill="1"/>
    <xf numFmtId="0" fontId="0" fillId="0" borderId="0" xfId="0" applyAlignment="1">
      <alignment horizontal="left"/>
    </xf>
    <xf numFmtId="6" fontId="41" fillId="4" borderId="0" xfId="0" applyNumberFormat="1" applyFont="1" applyFill="1" applyAlignment="1">
      <alignment horizontal="center" vertical="top"/>
    </xf>
    <xf numFmtId="0" fontId="50" fillId="0" borderId="0" xfId="0" applyFont="1" applyFill="1" applyBorder="1" applyAlignment="1">
      <alignment horizontal="center"/>
    </xf>
    <xf numFmtId="38" fontId="39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1" fontId="69" fillId="0" borderId="0" xfId="0" applyNumberFormat="1" applyFont="1" applyAlignment="1">
      <alignment horizontal="center"/>
    </xf>
    <xf numFmtId="165" fontId="70" fillId="0" borderId="0" xfId="0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Border="1" applyAlignment="1">
      <alignment horizontal="center"/>
    </xf>
    <xf numFmtId="164" fontId="28" fillId="0" borderId="0" xfId="0" applyNumberFormat="1" applyFont="1"/>
    <xf numFmtId="0" fontId="67" fillId="0" borderId="0" xfId="0" applyFont="1"/>
    <xf numFmtId="169" fontId="1" fillId="5" borderId="2" xfId="0" applyNumberFormat="1" applyFont="1" applyFill="1" applyBorder="1" applyAlignment="1">
      <alignment horizontal="center"/>
    </xf>
    <xf numFmtId="0" fontId="71" fillId="0" borderId="0" xfId="0" applyFont="1" applyAlignment="1">
      <alignment horizontal="right"/>
    </xf>
    <xf numFmtId="0" fontId="72" fillId="0" borderId="0" xfId="0" applyFont="1"/>
    <xf numFmtId="0" fontId="74" fillId="0" borderId="0" xfId="0" applyFont="1" applyBorder="1" applyAlignment="1">
      <alignment horizontal="center"/>
    </xf>
    <xf numFmtId="164" fontId="72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/>
    <xf numFmtId="169" fontId="75" fillId="0" borderId="0" xfId="0" applyNumberFormat="1" applyFont="1" applyAlignment="1">
      <alignment horizontal="center"/>
    </xf>
    <xf numFmtId="0" fontId="46" fillId="0" borderId="0" xfId="0" applyFont="1"/>
    <xf numFmtId="10" fontId="73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53" fillId="0" borderId="0" xfId="0" applyFont="1" applyFill="1" applyAlignment="1">
      <alignment horizontal="center"/>
    </xf>
    <xf numFmtId="6" fontId="51" fillId="0" borderId="0" xfId="0" applyNumberFormat="1" applyFont="1" applyAlignment="1">
      <alignment horizontal="center" vertical="top"/>
    </xf>
    <xf numFmtId="0" fontId="76" fillId="0" borderId="0" xfId="0" applyFont="1" applyAlignment="1">
      <alignment horizontal="left"/>
    </xf>
    <xf numFmtId="38" fontId="1" fillId="5" borderId="2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3" fontId="50" fillId="0" borderId="0" xfId="0" applyNumberFormat="1" applyFont="1" applyFill="1" applyBorder="1" applyAlignment="1">
      <alignment horizontal="center"/>
    </xf>
    <xf numFmtId="0" fontId="50" fillId="6" borderId="0" xfId="0" applyFont="1" applyFill="1" applyAlignment="1">
      <alignment horizontal="center"/>
    </xf>
    <xf numFmtId="0" fontId="50" fillId="5" borderId="0" xfId="0" applyFont="1" applyFill="1" applyAlignment="1">
      <alignment horizontal="right"/>
    </xf>
    <xf numFmtId="0" fontId="50" fillId="0" borderId="0" xfId="0" applyFont="1" applyFill="1" applyAlignment="1">
      <alignment horizontal="center"/>
    </xf>
    <xf numFmtId="10" fontId="30" fillId="4" borderId="0" xfId="1" applyNumberFormat="1" applyFont="1" applyFill="1" applyBorder="1" applyAlignment="1">
      <alignment horizontal="center"/>
    </xf>
    <xf numFmtId="10" fontId="68" fillId="4" borderId="0" xfId="1" applyNumberFormat="1" applyFont="1" applyFill="1" applyBorder="1" applyAlignment="1">
      <alignment horizontal="center"/>
    </xf>
    <xf numFmtId="10" fontId="67" fillId="4" borderId="0" xfId="1" applyNumberFormat="1" applyFont="1" applyFill="1" applyBorder="1" applyAlignment="1">
      <alignment horizontal="center"/>
    </xf>
    <xf numFmtId="10" fontId="69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7" fillId="0" borderId="0" xfId="0" applyFont="1" applyAlignment="1">
      <alignment vertical="center"/>
    </xf>
    <xf numFmtId="169" fontId="78" fillId="0" borderId="0" xfId="0" applyNumberFormat="1" applyFont="1" applyAlignment="1">
      <alignment horizontal="center"/>
    </xf>
    <xf numFmtId="38" fontId="79" fillId="0" borderId="0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10" fontId="30" fillId="0" borderId="0" xfId="1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0" fontId="0" fillId="6" borderId="0" xfId="0" applyFill="1" applyBorder="1"/>
    <xf numFmtId="0" fontId="71" fillId="0" borderId="0" xfId="0" applyFont="1" applyAlignment="1">
      <alignment horizontal="left"/>
    </xf>
    <xf numFmtId="0" fontId="71" fillId="0" borderId="0" xfId="0" applyFont="1" applyAlignment="1">
      <alignment vertical="center"/>
    </xf>
    <xf numFmtId="169" fontId="80" fillId="0" borderId="0" xfId="0" applyNumberFormat="1" applyFont="1" applyAlignment="1">
      <alignment horizontal="center"/>
    </xf>
    <xf numFmtId="0" fontId="46" fillId="0" borderId="0" xfId="0" applyFont="1" applyFill="1" applyBorder="1" applyAlignment="1">
      <alignment horizontal="center"/>
    </xf>
    <xf numFmtId="38" fontId="81" fillId="0" borderId="0" xfId="0" applyNumberFormat="1" applyFont="1" applyBorder="1" applyAlignment="1">
      <alignment horizontal="center"/>
    </xf>
    <xf numFmtId="0" fontId="14" fillId="6" borderId="0" xfId="0" applyFont="1" applyFill="1" applyAlignment="1">
      <alignment horizontal="left" vertical="top"/>
    </xf>
    <xf numFmtId="0" fontId="38" fillId="0" borderId="0" xfId="0" applyFont="1" applyAlignment="1">
      <alignment horizontal="center" vertical="center"/>
    </xf>
    <xf numFmtId="10" fontId="13" fillId="0" borderId="0" xfId="1" applyNumberFormat="1" applyFont="1" applyFill="1" applyBorder="1" applyAlignment="1">
      <alignment horizontal="center" vertical="center"/>
    </xf>
    <xf numFmtId="10" fontId="50" fillId="6" borderId="0" xfId="1" applyNumberFormat="1" applyFont="1" applyFill="1" applyBorder="1" applyAlignment="1">
      <alignment horizontal="center" vertical="center"/>
    </xf>
    <xf numFmtId="38" fontId="0" fillId="6" borderId="0" xfId="0" applyNumberFormat="1" applyFill="1"/>
    <xf numFmtId="0" fontId="79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38" fontId="82" fillId="0" borderId="0" xfId="0" applyNumberFormat="1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left"/>
    </xf>
    <xf numFmtId="0" fontId="18" fillId="0" borderId="0" xfId="0" applyFont="1" applyAlignment="1">
      <alignment vertical="center"/>
    </xf>
    <xf numFmtId="1" fontId="1" fillId="0" borderId="0" xfId="0" applyNumberFormat="1" applyFont="1" applyAlignment="1">
      <alignment horizontal="center"/>
    </xf>
    <xf numFmtId="0" fontId="83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164" fontId="20" fillId="0" borderId="0" xfId="0" applyNumberFormat="1" applyFont="1" applyFill="1"/>
    <xf numFmtId="0" fontId="84" fillId="0" borderId="0" xfId="0" applyFont="1" applyFill="1" applyAlignment="1">
      <alignment horizontal="center"/>
    </xf>
    <xf numFmtId="169" fontId="85" fillId="0" borderId="0" xfId="0" applyNumberFormat="1" applyFont="1" applyFill="1" applyAlignment="1">
      <alignment horizontal="center"/>
    </xf>
    <xf numFmtId="38" fontId="83" fillId="0" borderId="0" xfId="0" applyNumberFormat="1" applyFont="1" applyFill="1" applyBorder="1" applyAlignment="1">
      <alignment horizontal="center"/>
    </xf>
    <xf numFmtId="0" fontId="86" fillId="0" borderId="0" xfId="0" applyFont="1" applyFill="1" applyAlignment="1">
      <alignment vertical="center"/>
    </xf>
    <xf numFmtId="169" fontId="87" fillId="0" borderId="0" xfId="0" applyNumberFormat="1" applyFont="1" applyFill="1" applyAlignment="1">
      <alignment horizontal="center"/>
    </xf>
    <xf numFmtId="38" fontId="88" fillId="0" borderId="0" xfId="0" applyNumberFormat="1" applyFont="1" applyFill="1" applyBorder="1" applyAlignment="1">
      <alignment horizontal="center"/>
    </xf>
    <xf numFmtId="0" fontId="89" fillId="0" borderId="0" xfId="0" applyFont="1" applyFill="1" applyAlignment="1">
      <alignment vertical="center"/>
    </xf>
    <xf numFmtId="0" fontId="76" fillId="0" borderId="0" xfId="0" applyFont="1" applyFill="1" applyAlignment="1">
      <alignment horizontal="left"/>
    </xf>
    <xf numFmtId="0" fontId="90" fillId="0" borderId="0" xfId="0" applyFont="1" applyFill="1" applyAlignment="1">
      <alignment vertical="center"/>
    </xf>
    <xf numFmtId="164" fontId="48" fillId="0" borderId="0" xfId="0" applyNumberFormat="1" applyFont="1" applyFill="1"/>
    <xf numFmtId="0" fontId="46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169" fontId="91" fillId="0" borderId="0" xfId="0" applyNumberFormat="1" applyFont="1" applyAlignment="1">
      <alignment horizontal="center"/>
    </xf>
    <xf numFmtId="38" fontId="81" fillId="0" borderId="0" xfId="0" applyNumberFormat="1" applyFont="1" applyFill="1" applyBorder="1" applyAlignment="1">
      <alignment horizontal="center"/>
    </xf>
    <xf numFmtId="6" fontId="11" fillId="0" borderId="0" xfId="0" applyNumberFormat="1" applyFont="1" applyFill="1"/>
    <xf numFmtId="10" fontId="50" fillId="8" borderId="0" xfId="1" applyNumberFormat="1" applyFont="1" applyFill="1" applyBorder="1" applyAlignment="1">
      <alignment horizontal="center" vertical="center"/>
    </xf>
    <xf numFmtId="38" fontId="92" fillId="0" borderId="0" xfId="0" applyNumberFormat="1" applyFont="1" applyFill="1" applyBorder="1" applyAlignment="1">
      <alignment horizontal="center"/>
    </xf>
    <xf numFmtId="10" fontId="30" fillId="0" borderId="0" xfId="1" applyNumberFormat="1" applyFont="1" applyFill="1" applyBorder="1" applyAlignment="1">
      <alignment horizontal="center" vertical="center"/>
    </xf>
    <xf numFmtId="169" fontId="87" fillId="0" borderId="0" xfId="0" applyNumberFormat="1" applyFont="1" applyFill="1" applyBorder="1" applyAlignment="1">
      <alignment horizontal="center"/>
    </xf>
    <xf numFmtId="0" fontId="93" fillId="0" borderId="0" xfId="0" applyFont="1" applyAlignment="1">
      <alignment vertical="center"/>
    </xf>
    <xf numFmtId="169" fontId="94" fillId="0" borderId="0" xfId="0" applyNumberFormat="1" applyFont="1" applyAlignment="1">
      <alignment horizontal="center"/>
    </xf>
    <xf numFmtId="169" fontId="78" fillId="0" borderId="0" xfId="0" applyNumberFormat="1" applyFont="1" applyBorder="1" applyAlignment="1">
      <alignment horizontal="center"/>
    </xf>
    <xf numFmtId="172" fontId="13" fillId="0" borderId="0" xfId="0" applyNumberFormat="1" applyFont="1"/>
    <xf numFmtId="0" fontId="95" fillId="0" borderId="0" xfId="0" applyFont="1" applyAlignment="1">
      <alignment vertical="center"/>
    </xf>
    <xf numFmtId="164" fontId="46" fillId="0" borderId="0" xfId="0" applyNumberFormat="1" applyFont="1"/>
    <xf numFmtId="169" fontId="78" fillId="0" borderId="3" xfId="0" applyNumberFormat="1" applyFont="1" applyBorder="1" applyAlignment="1">
      <alignment horizontal="center"/>
    </xf>
    <xf numFmtId="0" fontId="14" fillId="0" borderId="0" xfId="0" applyFont="1" applyFill="1" applyAlignment="1">
      <alignment horizontal="left" vertical="top"/>
    </xf>
    <xf numFmtId="0" fontId="1" fillId="0" borderId="0" xfId="0" applyFont="1" applyAlignment="1">
      <alignment vertical="center"/>
    </xf>
    <xf numFmtId="10" fontId="16" fillId="6" borderId="2" xfId="1" applyNumberFormat="1" applyFont="1" applyFill="1" applyBorder="1" applyAlignment="1">
      <alignment horizontal="center"/>
    </xf>
    <xf numFmtId="0" fontId="54" fillId="8" borderId="0" xfId="0" applyFont="1" applyFill="1" applyAlignment="1">
      <alignment horizontal="center"/>
    </xf>
    <xf numFmtId="0" fontId="16" fillId="5" borderId="0" xfId="0" quotePrefix="1" applyFont="1" applyFill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" fillId="0" borderId="0" xfId="0" applyFont="1"/>
    <xf numFmtId="0" fontId="0" fillId="2" borderId="0" xfId="0" applyFill="1" applyBorder="1" applyAlignment="1"/>
    <xf numFmtId="0" fontId="0" fillId="2" borderId="0" xfId="0" applyFill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0" xfId="0" quotePrefix="1" applyFill="1" applyBorder="1" applyAlignment="1">
      <alignment horizontal="centerContinuous"/>
    </xf>
    <xf numFmtId="165" fontId="11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7" borderId="0" xfId="0" applyFill="1" applyBorder="1"/>
    <xf numFmtId="0" fontId="16" fillId="0" borderId="0" xfId="0" applyFont="1" applyFill="1" applyBorder="1"/>
    <xf numFmtId="169" fontId="42" fillId="0" borderId="0" xfId="0" applyNumberFormat="1" applyFont="1" applyAlignment="1">
      <alignment horizontal="center"/>
    </xf>
    <xf numFmtId="171" fontId="69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165" fontId="70" fillId="0" borderId="0" xfId="0" applyNumberFormat="1" applyFont="1" applyFill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6" fontId="0" fillId="4" borderId="0" xfId="0" applyNumberFormat="1" applyFill="1"/>
    <xf numFmtId="0" fontId="0" fillId="4" borderId="0" xfId="0" applyFill="1" applyBorder="1"/>
    <xf numFmtId="0" fontId="0" fillId="7" borderId="0" xfId="0" applyFill="1"/>
    <xf numFmtId="10" fontId="100" fillId="0" borderId="0" xfId="1" applyNumberFormat="1" applyFont="1" applyFill="1" applyBorder="1" applyAlignment="1">
      <alignment horizontal="center"/>
    </xf>
    <xf numFmtId="10" fontId="26" fillId="0" borderId="0" xfId="1" applyNumberFormat="1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0" fontId="67" fillId="0" borderId="0" xfId="1" applyNumberFormat="1" applyFont="1" applyFill="1" applyBorder="1" applyAlignment="1">
      <alignment horizontal="center"/>
    </xf>
    <xf numFmtId="10" fontId="64" fillId="0" borderId="0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01" fillId="0" borderId="0" xfId="0" applyNumberFormat="1" applyFont="1"/>
    <xf numFmtId="0" fontId="0" fillId="0" borderId="0" xfId="0" applyAlignment="1">
      <alignment horizontal="right"/>
    </xf>
    <xf numFmtId="10" fontId="1" fillId="0" borderId="0" xfId="1" applyNumberFormat="1" applyFont="1" applyFill="1" applyBorder="1" applyAlignment="1">
      <alignment horizontal="center"/>
    </xf>
    <xf numFmtId="0" fontId="30" fillId="0" borderId="0" xfId="0" applyFont="1" applyBorder="1"/>
    <xf numFmtId="0" fontId="54" fillId="0" borderId="0" xfId="0" applyFont="1" applyBorder="1" applyAlignment="1">
      <alignment vertical="center"/>
    </xf>
    <xf numFmtId="169" fontId="67" fillId="0" borderId="0" xfId="0" applyNumberFormat="1" applyFont="1" applyBorder="1"/>
    <xf numFmtId="164" fontId="0" fillId="0" borderId="0" xfId="0" applyNumberFormat="1" applyAlignment="1">
      <alignment horizontal="center"/>
    </xf>
    <xf numFmtId="0" fontId="1" fillId="0" borderId="0" xfId="0" applyFont="1" applyBorder="1"/>
    <xf numFmtId="0" fontId="54" fillId="0" borderId="0" xfId="0" applyFont="1" applyBorder="1"/>
    <xf numFmtId="164" fontId="1" fillId="0" borderId="0" xfId="0" applyNumberFormat="1" applyFont="1" applyFill="1" applyBorder="1"/>
    <xf numFmtId="0" fontId="54" fillId="0" borderId="0" xfId="0" applyFont="1"/>
    <xf numFmtId="164" fontId="102" fillId="0" borderId="0" xfId="0" applyNumberFormat="1" applyFont="1" applyBorder="1"/>
    <xf numFmtId="0" fontId="1" fillId="0" borderId="0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right"/>
    </xf>
    <xf numFmtId="164" fontId="13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35" fillId="0" borderId="0" xfId="0" applyFont="1" applyBorder="1" applyAlignment="1">
      <alignment horizontal="center"/>
    </xf>
    <xf numFmtId="0" fontId="105" fillId="0" borderId="0" xfId="0" applyFont="1" applyFill="1" applyAlignment="1">
      <alignment horizontal="center" vertical="top"/>
    </xf>
    <xf numFmtId="10" fontId="104" fillId="4" borderId="0" xfId="1" applyNumberFormat="1" applyFont="1" applyFill="1" applyBorder="1" applyAlignment="1">
      <alignment horizontal="center"/>
    </xf>
    <xf numFmtId="0" fontId="50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0" fontId="35" fillId="0" borderId="0" xfId="0" applyFont="1" applyAlignment="1">
      <alignment horizontal="center"/>
    </xf>
    <xf numFmtId="0" fontId="69" fillId="0" borderId="0" xfId="0" applyFont="1"/>
    <xf numFmtId="10" fontId="110" fillId="0" borderId="0" xfId="1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169" fontId="84" fillId="0" borderId="0" xfId="0" applyNumberFormat="1" applyFont="1" applyFill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6" fontId="20" fillId="0" borderId="0" xfId="0" applyNumberFormat="1" applyFont="1" applyFill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111" fillId="0" borderId="0" xfId="1" applyNumberFormat="1" applyFont="1" applyFill="1" applyBorder="1" applyAlignment="1">
      <alignment horizontal="center"/>
    </xf>
    <xf numFmtId="10" fontId="112" fillId="4" borderId="0" xfId="1" applyNumberFormat="1" applyFont="1" applyFill="1" applyBorder="1" applyAlignment="1">
      <alignment horizontal="center"/>
    </xf>
    <xf numFmtId="0" fontId="35" fillId="0" borderId="0" xfId="0" applyFont="1" applyFill="1"/>
    <xf numFmtId="164" fontId="11" fillId="0" borderId="0" xfId="0" applyNumberFormat="1" applyFont="1" applyFill="1"/>
    <xf numFmtId="0" fontId="11" fillId="0" borderId="0" xfId="0" applyFont="1" applyFill="1" applyAlignment="1">
      <alignment horizontal="center"/>
    </xf>
    <xf numFmtId="169" fontId="35" fillId="0" borderId="0" xfId="0" applyNumberFormat="1" applyFont="1" applyFill="1" applyAlignment="1">
      <alignment horizontal="center"/>
    </xf>
    <xf numFmtId="0" fontId="11" fillId="0" borderId="0" xfId="0" applyFont="1" applyFill="1"/>
    <xf numFmtId="6" fontId="11" fillId="0" borderId="0" xfId="0" applyNumberFormat="1" applyFont="1" applyFill="1" applyBorder="1"/>
    <xf numFmtId="10" fontId="113" fillId="4" borderId="0" xfId="1" applyNumberFormat="1" applyFont="1" applyFill="1" applyBorder="1" applyAlignment="1">
      <alignment horizontal="center"/>
    </xf>
    <xf numFmtId="0" fontId="50" fillId="0" borderId="0" xfId="0" applyFont="1"/>
    <xf numFmtId="0" fontId="1" fillId="0" borderId="0" xfId="0" applyFont="1" applyFill="1" applyBorder="1"/>
    <xf numFmtId="0" fontId="54" fillId="0" borderId="0" xfId="0" applyFont="1" applyAlignment="1">
      <alignment horizontal="left"/>
    </xf>
    <xf numFmtId="0" fontId="30" fillId="0" borderId="0" xfId="0" applyFont="1"/>
    <xf numFmtId="0" fontId="11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57</xdr:row>
      <xdr:rowOff>0</xdr:rowOff>
    </xdr:from>
    <xdr:to>
      <xdr:col>14</xdr:col>
      <xdr:colOff>276225</xdr:colOff>
      <xdr:row>64</xdr:row>
      <xdr:rowOff>76200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V="1">
          <a:off x="12239625" y="9363075"/>
          <a:ext cx="0" cy="120967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85725</xdr:rowOff>
    </xdr:from>
    <xdr:to>
      <xdr:col>14</xdr:col>
      <xdr:colOff>266700</xdr:colOff>
      <xdr:row>49</xdr:row>
      <xdr:rowOff>85725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11963400" y="81534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26</xdr:row>
      <xdr:rowOff>104775</xdr:rowOff>
    </xdr:from>
    <xdr:to>
      <xdr:col>14</xdr:col>
      <xdr:colOff>238125</xdr:colOff>
      <xdr:row>26</xdr:row>
      <xdr:rowOff>104775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11963400" y="4448175"/>
          <a:ext cx="2381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17</xdr:row>
      <xdr:rowOff>104775</xdr:rowOff>
    </xdr:from>
    <xdr:to>
      <xdr:col>14</xdr:col>
      <xdr:colOff>533400</xdr:colOff>
      <xdr:row>17</xdr:row>
      <xdr:rowOff>104775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12220575" y="2990850"/>
          <a:ext cx="2762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10</xdr:row>
      <xdr:rowOff>104775</xdr:rowOff>
    </xdr:from>
    <xdr:to>
      <xdr:col>14</xdr:col>
      <xdr:colOff>561975</xdr:colOff>
      <xdr:row>10</xdr:row>
      <xdr:rowOff>104775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12230100" y="1857375"/>
          <a:ext cx="2952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29</xdr:row>
      <xdr:rowOff>47625</xdr:rowOff>
    </xdr:from>
    <xdr:to>
      <xdr:col>14</xdr:col>
      <xdr:colOff>257175</xdr:colOff>
      <xdr:row>50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 flipV="1">
          <a:off x="12220575" y="4876800"/>
          <a:ext cx="0" cy="340042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85725</xdr:rowOff>
    </xdr:from>
    <xdr:to>
      <xdr:col>14</xdr:col>
      <xdr:colOff>266700</xdr:colOff>
      <xdr:row>49</xdr:row>
      <xdr:rowOff>85725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11963400" y="81534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8</xdr:row>
      <xdr:rowOff>85725</xdr:rowOff>
    </xdr:from>
    <xdr:to>
      <xdr:col>14</xdr:col>
      <xdr:colOff>209550</xdr:colOff>
      <xdr:row>8</xdr:row>
      <xdr:rowOff>85725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11991975" y="1514475"/>
          <a:ext cx="1809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67</xdr:row>
      <xdr:rowOff>85725</xdr:rowOff>
    </xdr:from>
    <xdr:to>
      <xdr:col>14</xdr:col>
      <xdr:colOff>276225</xdr:colOff>
      <xdr:row>67</xdr:row>
      <xdr:rowOff>85725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12001500" y="11068050"/>
          <a:ext cx="2381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49</xdr:row>
      <xdr:rowOff>85725</xdr:rowOff>
    </xdr:from>
    <xdr:to>
      <xdr:col>14</xdr:col>
      <xdr:colOff>257175</xdr:colOff>
      <xdr:row>49</xdr:row>
      <xdr:rowOff>85725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2001500" y="8153400"/>
          <a:ext cx="2190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22</xdr:row>
      <xdr:rowOff>85725</xdr:rowOff>
    </xdr:from>
    <xdr:to>
      <xdr:col>14</xdr:col>
      <xdr:colOff>276225</xdr:colOff>
      <xdr:row>22</xdr:row>
      <xdr:rowOff>85725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2001500" y="3781425"/>
          <a:ext cx="2381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21</xdr:row>
      <xdr:rowOff>0</xdr:rowOff>
    </xdr:from>
    <xdr:to>
      <xdr:col>14</xdr:col>
      <xdr:colOff>266700</xdr:colOff>
      <xdr:row>22</xdr:row>
      <xdr:rowOff>85725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H="1" flipV="1">
          <a:off x="12230100" y="3533775"/>
          <a:ext cx="0" cy="2476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276225</xdr:colOff>
      <xdr:row>58</xdr:row>
      <xdr:rowOff>28575</xdr:rowOff>
    </xdr:from>
    <xdr:to>
      <xdr:col>14</xdr:col>
      <xdr:colOff>276225</xdr:colOff>
      <xdr:row>67</xdr:row>
      <xdr:rowOff>76200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 flipV="1">
          <a:off x="12239625" y="9553575"/>
          <a:ext cx="0" cy="15049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53</xdr:row>
      <xdr:rowOff>85725</xdr:rowOff>
    </xdr:from>
    <xdr:to>
      <xdr:col>14</xdr:col>
      <xdr:colOff>266700</xdr:colOff>
      <xdr:row>53</xdr:row>
      <xdr:rowOff>85725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>
          <a:off x="11963400" y="88011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67</xdr:row>
      <xdr:rowOff>85725</xdr:rowOff>
    </xdr:from>
    <xdr:to>
      <xdr:col>14</xdr:col>
      <xdr:colOff>276225</xdr:colOff>
      <xdr:row>67</xdr:row>
      <xdr:rowOff>85725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>
          <a:off x="12001500" y="11068050"/>
          <a:ext cx="2381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49</xdr:row>
      <xdr:rowOff>85725</xdr:rowOff>
    </xdr:from>
    <xdr:to>
      <xdr:col>14</xdr:col>
      <xdr:colOff>257175</xdr:colOff>
      <xdr:row>49</xdr:row>
      <xdr:rowOff>85725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>
          <a:off x="12001500" y="8153400"/>
          <a:ext cx="2190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22</xdr:row>
      <xdr:rowOff>85725</xdr:rowOff>
    </xdr:from>
    <xdr:to>
      <xdr:col>14</xdr:col>
      <xdr:colOff>276225</xdr:colOff>
      <xdr:row>22</xdr:row>
      <xdr:rowOff>85725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>
          <a:off x="12001500" y="3781425"/>
          <a:ext cx="2381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11</xdr:row>
      <xdr:rowOff>28575</xdr:rowOff>
    </xdr:from>
    <xdr:to>
      <xdr:col>14</xdr:col>
      <xdr:colOff>276225</xdr:colOff>
      <xdr:row>22</xdr:row>
      <xdr:rowOff>85725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 flipV="1">
          <a:off x="12230100" y="1943100"/>
          <a:ext cx="9525" cy="183832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276225</xdr:colOff>
      <xdr:row>55</xdr:row>
      <xdr:rowOff>104775</xdr:rowOff>
    </xdr:from>
    <xdr:to>
      <xdr:col>14</xdr:col>
      <xdr:colOff>533400</xdr:colOff>
      <xdr:row>55</xdr:row>
      <xdr:rowOff>104775</xdr:rowOff>
    </xdr:to>
    <xdr:sp macro="" textlink="">
      <xdr:nvSpPr>
        <xdr:cNvPr id="4115" name="Line 19"/>
        <xdr:cNvSpPr>
          <a:spLocks noChangeShapeType="1"/>
        </xdr:cNvSpPr>
      </xdr:nvSpPr>
      <xdr:spPr bwMode="auto">
        <a:xfrm>
          <a:off x="12239625" y="9144000"/>
          <a:ext cx="2571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276225</xdr:colOff>
      <xdr:row>56</xdr:row>
      <xdr:rowOff>9525</xdr:rowOff>
    </xdr:from>
    <xdr:to>
      <xdr:col>14</xdr:col>
      <xdr:colOff>276225</xdr:colOff>
      <xdr:row>67</xdr:row>
      <xdr:rowOff>66675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 flipV="1">
          <a:off x="12239625" y="9210675"/>
          <a:ext cx="0" cy="183832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53</xdr:row>
      <xdr:rowOff>85725</xdr:rowOff>
    </xdr:from>
    <xdr:to>
      <xdr:col>14</xdr:col>
      <xdr:colOff>266700</xdr:colOff>
      <xdr:row>53</xdr:row>
      <xdr:rowOff>85725</xdr:rowOff>
    </xdr:to>
    <xdr:sp macro="" textlink="">
      <xdr:nvSpPr>
        <xdr:cNvPr id="4117" name="Line 21"/>
        <xdr:cNvSpPr>
          <a:spLocks noChangeShapeType="1"/>
        </xdr:cNvSpPr>
      </xdr:nvSpPr>
      <xdr:spPr bwMode="auto">
        <a:xfrm>
          <a:off x="11963400" y="88011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8</xdr:row>
      <xdr:rowOff>114300</xdr:rowOff>
    </xdr:from>
    <xdr:to>
      <xdr:col>14</xdr:col>
      <xdr:colOff>266700</xdr:colOff>
      <xdr:row>10</xdr:row>
      <xdr:rowOff>9525</xdr:rowOff>
    </xdr:to>
    <xdr:sp macro="" textlink="">
      <xdr:nvSpPr>
        <xdr:cNvPr id="4118" name="Line 22"/>
        <xdr:cNvSpPr>
          <a:spLocks noChangeShapeType="1"/>
        </xdr:cNvSpPr>
      </xdr:nvSpPr>
      <xdr:spPr bwMode="auto">
        <a:xfrm>
          <a:off x="12230100" y="1543050"/>
          <a:ext cx="0" cy="21907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8</xdr:row>
      <xdr:rowOff>85725</xdr:rowOff>
    </xdr:from>
    <xdr:to>
      <xdr:col>14</xdr:col>
      <xdr:colOff>209550</xdr:colOff>
      <xdr:row>8</xdr:row>
      <xdr:rowOff>85725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>
          <a:off x="11991975" y="1514475"/>
          <a:ext cx="1809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28</xdr:row>
      <xdr:rowOff>142875</xdr:rowOff>
    </xdr:from>
    <xdr:to>
      <xdr:col>14</xdr:col>
      <xdr:colOff>542925</xdr:colOff>
      <xdr:row>28</xdr:row>
      <xdr:rowOff>142875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 flipV="1">
          <a:off x="12220575" y="4810125"/>
          <a:ext cx="28575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295275</xdr:colOff>
      <xdr:row>53</xdr:row>
      <xdr:rowOff>142875</xdr:rowOff>
    </xdr:from>
    <xdr:to>
      <xdr:col>14</xdr:col>
      <xdr:colOff>295275</xdr:colOff>
      <xdr:row>55</xdr:row>
      <xdr:rowOff>38100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>
          <a:off x="12258675" y="8858250"/>
          <a:ext cx="0" cy="21907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20</xdr:row>
      <xdr:rowOff>85725</xdr:rowOff>
    </xdr:from>
    <xdr:to>
      <xdr:col>14</xdr:col>
      <xdr:colOff>314325</xdr:colOff>
      <xdr:row>20</xdr:row>
      <xdr:rowOff>85725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2582525" y="3571875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295275</xdr:colOff>
      <xdr:row>50</xdr:row>
      <xdr:rowOff>152400</xdr:rowOff>
    </xdr:from>
    <xdr:to>
      <xdr:col>14</xdr:col>
      <xdr:colOff>295275</xdr:colOff>
      <xdr:row>64</xdr:row>
      <xdr:rowOff>28575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2830175" y="8763000"/>
          <a:ext cx="0" cy="227647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23</xdr:row>
      <xdr:rowOff>85725</xdr:rowOff>
    </xdr:from>
    <xdr:to>
      <xdr:col>14</xdr:col>
      <xdr:colOff>304800</xdr:colOff>
      <xdr:row>23</xdr:row>
      <xdr:rowOff>85725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2534900" y="407670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85725</xdr:rowOff>
    </xdr:from>
    <xdr:to>
      <xdr:col>14</xdr:col>
      <xdr:colOff>304800</xdr:colOff>
      <xdr:row>49</xdr:row>
      <xdr:rowOff>85725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2534900" y="8524875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64</xdr:row>
      <xdr:rowOff>76200</xdr:rowOff>
    </xdr:from>
    <xdr:to>
      <xdr:col>14</xdr:col>
      <xdr:colOff>304800</xdr:colOff>
      <xdr:row>64</xdr:row>
      <xdr:rowOff>76200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12573000" y="110871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46</xdr:row>
      <xdr:rowOff>85725</xdr:rowOff>
    </xdr:from>
    <xdr:to>
      <xdr:col>14</xdr:col>
      <xdr:colOff>295275</xdr:colOff>
      <xdr:row>46</xdr:row>
      <xdr:rowOff>85725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2582525" y="8020050"/>
          <a:ext cx="24765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295275</xdr:colOff>
      <xdr:row>11</xdr:row>
      <xdr:rowOff>9525</xdr:rowOff>
    </xdr:from>
    <xdr:to>
      <xdr:col>14</xdr:col>
      <xdr:colOff>295275</xdr:colOff>
      <xdr:row>20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 flipV="1">
          <a:off x="12830175" y="1952625"/>
          <a:ext cx="0" cy="160972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10</xdr:row>
      <xdr:rowOff>104775</xdr:rowOff>
    </xdr:from>
    <xdr:to>
      <xdr:col>14</xdr:col>
      <xdr:colOff>542925</xdr:colOff>
      <xdr:row>10</xdr:row>
      <xdr:rowOff>123825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2839700" y="1876425"/>
          <a:ext cx="238125" cy="190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25</xdr:row>
      <xdr:rowOff>47625</xdr:rowOff>
    </xdr:from>
    <xdr:to>
      <xdr:col>14</xdr:col>
      <xdr:colOff>304800</xdr:colOff>
      <xdr:row>46</xdr:row>
      <xdr:rowOff>47625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 flipV="1">
          <a:off x="12839700" y="4381500"/>
          <a:ext cx="0" cy="36004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333375</xdr:colOff>
      <xdr:row>49</xdr:row>
      <xdr:rowOff>95250</xdr:rowOff>
    </xdr:from>
    <xdr:to>
      <xdr:col>14</xdr:col>
      <xdr:colOff>352425</xdr:colOff>
      <xdr:row>50</xdr:row>
      <xdr:rowOff>66675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H="1">
          <a:off x="12868275" y="8534400"/>
          <a:ext cx="19050" cy="14287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23</xdr:row>
      <xdr:rowOff>85725</xdr:rowOff>
    </xdr:from>
    <xdr:to>
      <xdr:col>14</xdr:col>
      <xdr:colOff>304800</xdr:colOff>
      <xdr:row>23</xdr:row>
      <xdr:rowOff>85725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2534900" y="407670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85725</xdr:rowOff>
    </xdr:from>
    <xdr:to>
      <xdr:col>14</xdr:col>
      <xdr:colOff>304800</xdr:colOff>
      <xdr:row>49</xdr:row>
      <xdr:rowOff>85725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12534900" y="8524875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295275</xdr:colOff>
      <xdr:row>8</xdr:row>
      <xdr:rowOff>85725</xdr:rowOff>
    </xdr:from>
    <xdr:to>
      <xdr:col>14</xdr:col>
      <xdr:colOff>295275</xdr:colOff>
      <xdr:row>10</xdr:row>
      <xdr:rowOff>28575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2830175" y="1514475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50</xdr:row>
      <xdr:rowOff>104775</xdr:rowOff>
    </xdr:from>
    <xdr:to>
      <xdr:col>14</xdr:col>
      <xdr:colOff>533400</xdr:colOff>
      <xdr:row>50</xdr:row>
      <xdr:rowOff>104775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2773025" y="8715375"/>
          <a:ext cx="2952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257175</xdr:colOff>
      <xdr:row>24</xdr:row>
      <xdr:rowOff>114300</xdr:rowOff>
    </xdr:from>
    <xdr:to>
      <xdr:col>14</xdr:col>
      <xdr:colOff>514350</xdr:colOff>
      <xdr:row>24</xdr:row>
      <xdr:rowOff>114300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12792075" y="4276725"/>
          <a:ext cx="25717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333375</xdr:colOff>
      <xdr:row>23</xdr:row>
      <xdr:rowOff>66675</xdr:rowOff>
    </xdr:from>
    <xdr:to>
      <xdr:col>14</xdr:col>
      <xdr:colOff>352425</xdr:colOff>
      <xdr:row>24</xdr:row>
      <xdr:rowOff>104775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12868275" y="4057650"/>
          <a:ext cx="19050" cy="2095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8</xdr:row>
      <xdr:rowOff>85725</xdr:rowOff>
    </xdr:from>
    <xdr:to>
      <xdr:col>14</xdr:col>
      <xdr:colOff>228600</xdr:colOff>
      <xdr:row>8</xdr:row>
      <xdr:rowOff>85725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12563475" y="1514475"/>
          <a:ext cx="200025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77"/>
  <sheetViews>
    <sheetView tabSelected="1" zoomScale="75" workbookViewId="0"/>
  </sheetViews>
  <sheetFormatPr defaultRowHeight="12.75"/>
  <cols>
    <col min="2" max="2" width="9.28515625" bestFit="1" customWidth="1"/>
    <col min="3" max="3" width="28.85546875" customWidth="1"/>
    <col min="4" max="4" width="13" customWidth="1"/>
    <col min="5" max="5" width="20.85546875" customWidth="1"/>
    <col min="7" max="7" width="9.28515625" bestFit="1" customWidth="1"/>
    <col min="8" max="8" width="15.140625" customWidth="1"/>
    <col min="9" max="9" width="14" customWidth="1"/>
    <col min="10" max="10" width="12.7109375" customWidth="1"/>
    <col min="12" max="12" width="9.7109375" customWidth="1"/>
    <col min="14" max="14" width="10" bestFit="1" customWidth="1"/>
    <col min="16" max="16" width="10.7109375" customWidth="1"/>
    <col min="20" max="20" width="11.7109375" customWidth="1"/>
  </cols>
  <sheetData>
    <row r="3" spans="1:23" ht="20.25">
      <c r="B3" s="288"/>
      <c r="C3" s="288"/>
      <c r="D3" s="288"/>
      <c r="E3" s="1" t="s">
        <v>165</v>
      </c>
      <c r="F3" s="288"/>
      <c r="G3" s="288"/>
      <c r="H3" s="288"/>
      <c r="I3" s="288"/>
      <c r="K3" s="2"/>
      <c r="L3" s="3" t="s">
        <v>1</v>
      </c>
      <c r="M3" s="4"/>
      <c r="N3" s="3" t="s">
        <v>180</v>
      </c>
      <c r="O3" s="2"/>
    </row>
    <row r="5" spans="1:2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3">
      <c r="L6" s="291"/>
      <c r="M6" s="291"/>
      <c r="N6" s="6" t="s">
        <v>2</v>
      </c>
      <c r="O6" s="7"/>
      <c r="P6" s="7"/>
      <c r="Q6" s="7"/>
      <c r="R6" s="7"/>
      <c r="S6" s="7"/>
    </row>
    <row r="7" spans="1:23">
      <c r="L7" s="6" t="s">
        <v>4</v>
      </c>
      <c r="M7" s="8"/>
      <c r="N7" s="6" t="s">
        <v>5</v>
      </c>
      <c r="O7" s="9"/>
      <c r="P7" s="292"/>
      <c r="Q7" s="10" t="s">
        <v>3</v>
      </c>
      <c r="R7" s="292"/>
      <c r="S7" s="292"/>
    </row>
    <row r="8" spans="1:23" ht="15.75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9"/>
      <c r="P8" s="14" t="s">
        <v>155</v>
      </c>
      <c r="Q8" s="293"/>
      <c r="R8" s="294"/>
      <c r="S8" s="295"/>
    </row>
    <row r="9" spans="1:23" ht="12.75" customHeight="1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101">
        <f t="shared" ref="H9:H21" si="0">IF(G9=1,E9,0)</f>
        <v>3500</v>
      </c>
      <c r="I9" s="296"/>
      <c r="J9" s="296"/>
      <c r="K9" s="102"/>
      <c r="L9" s="102">
        <v>3120.1</v>
      </c>
      <c r="M9" s="192"/>
      <c r="N9" s="104">
        <f t="shared" ref="N9:N21" si="1">L9/H9</f>
        <v>0.89145714285714284</v>
      </c>
      <c r="O9" s="25"/>
      <c r="R9" s="26" t="s">
        <v>12</v>
      </c>
      <c r="T9" s="171"/>
    </row>
    <row r="10" spans="1:23" ht="12.75" customHeight="1">
      <c r="B10" s="15">
        <f t="shared" ref="B10:B21" si="2"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101">
        <f t="shared" si="0"/>
        <v>2747.5329999999999</v>
      </c>
      <c r="I10" s="296"/>
      <c r="J10" s="296"/>
      <c r="K10" s="102"/>
      <c r="L10" s="102">
        <v>2640.2</v>
      </c>
      <c r="M10" s="106"/>
      <c r="N10" s="104">
        <f t="shared" si="1"/>
        <v>0.96093477312192421</v>
      </c>
      <c r="O10" s="27"/>
      <c r="P10" s="179" t="s">
        <v>19</v>
      </c>
      <c r="Q10" s="180" t="s">
        <v>182</v>
      </c>
      <c r="R10" s="297"/>
      <c r="S10" s="298"/>
      <c r="T10" s="109"/>
      <c r="U10" s="77"/>
    </row>
    <row r="11" spans="1:23" ht="12.75" customHeight="1">
      <c r="B11" s="15">
        <f t="shared" si="2"/>
        <v>3</v>
      </c>
      <c r="C11" s="32" t="s">
        <v>166</v>
      </c>
      <c r="D11" s="23">
        <v>23281</v>
      </c>
      <c r="E11" s="331">
        <v>1000</v>
      </c>
      <c r="F11" s="19" t="s">
        <v>18</v>
      </c>
      <c r="G11" s="20">
        <v>1</v>
      </c>
      <c r="H11" s="101">
        <f>IF(G11=1,E11,0)-700</f>
        <v>300</v>
      </c>
      <c r="I11" s="296"/>
      <c r="J11" s="296"/>
      <c r="L11" s="102">
        <v>259</v>
      </c>
      <c r="M11" s="106"/>
      <c r="N11" s="104">
        <f t="shared" si="1"/>
        <v>0.86333333333333329</v>
      </c>
      <c r="O11" s="36"/>
      <c r="P11" s="231" t="s">
        <v>23</v>
      </c>
      <c r="Q11" s="232" t="s">
        <v>24</v>
      </c>
      <c r="R11" s="299"/>
      <c r="S11" s="299"/>
      <c r="T11" s="107"/>
      <c r="U11" s="77"/>
      <c r="V11" s="191">
        <f>100 - (100-33.5)*(19/31)</f>
        <v>59.241935483870968</v>
      </c>
      <c r="W11" t="s">
        <v>181</v>
      </c>
    </row>
    <row r="12" spans="1:23" ht="12.75" customHeight="1">
      <c r="A12" s="195" t="s">
        <v>39</v>
      </c>
      <c r="B12" s="15">
        <f t="shared" si="2"/>
        <v>4</v>
      </c>
      <c r="C12" s="332" t="s">
        <v>46</v>
      </c>
      <c r="D12" s="333">
        <v>107827</v>
      </c>
      <c r="E12" s="197">
        <v>500</v>
      </c>
      <c r="F12" s="19" t="s">
        <v>26</v>
      </c>
      <c r="G12" s="20">
        <v>1</v>
      </c>
      <c r="H12" s="101">
        <f t="shared" si="0"/>
        <v>500</v>
      </c>
      <c r="I12" s="101"/>
      <c r="J12" s="296"/>
      <c r="K12" s="102"/>
      <c r="L12" s="102">
        <v>402</v>
      </c>
      <c r="M12" s="16"/>
      <c r="N12" s="104">
        <f t="shared" si="1"/>
        <v>0.80400000000000005</v>
      </c>
      <c r="O12" s="31"/>
      <c r="P12" s="20" t="s">
        <v>27</v>
      </c>
      <c r="Q12" s="35" t="s">
        <v>28</v>
      </c>
      <c r="R12" s="35"/>
      <c r="S12" s="300"/>
      <c r="T12" s="77"/>
      <c r="U12" s="77"/>
    </row>
    <row r="13" spans="1:23" ht="12.75" customHeight="1">
      <c r="A13" s="195" t="s">
        <v>39</v>
      </c>
      <c r="B13" s="15">
        <f t="shared" si="2"/>
        <v>5</v>
      </c>
      <c r="C13" s="332" t="s">
        <v>46</v>
      </c>
      <c r="D13" s="333">
        <v>107921</v>
      </c>
      <c r="E13" s="197">
        <v>200</v>
      </c>
      <c r="F13" s="19" t="s">
        <v>26</v>
      </c>
      <c r="G13" s="20">
        <v>1</v>
      </c>
      <c r="H13" s="101">
        <f t="shared" si="0"/>
        <v>200</v>
      </c>
      <c r="I13" s="101"/>
      <c r="J13" s="296"/>
      <c r="K13" s="102"/>
      <c r="L13" s="102">
        <v>168</v>
      </c>
      <c r="M13" s="334"/>
      <c r="N13" s="104">
        <f t="shared" si="1"/>
        <v>0.84</v>
      </c>
      <c r="O13" s="31"/>
      <c r="P13" s="28" t="s">
        <v>30</v>
      </c>
      <c r="Q13" s="29" t="s">
        <v>31</v>
      </c>
      <c r="R13" s="37"/>
      <c r="S13" s="77"/>
      <c r="T13" s="77"/>
      <c r="U13" s="77"/>
      <c r="V13" s="191">
        <f>100 - (100-83.5)*(19/31)</f>
        <v>89.887096774193552</v>
      </c>
      <c r="W13" t="s">
        <v>179</v>
      </c>
    </row>
    <row r="14" spans="1:23" ht="12.75" customHeight="1">
      <c r="B14" s="15">
        <f t="shared" si="2"/>
        <v>6</v>
      </c>
      <c r="C14" s="32" t="s">
        <v>166</v>
      </c>
      <c r="D14" s="23">
        <v>23282</v>
      </c>
      <c r="E14" s="331">
        <v>500</v>
      </c>
      <c r="F14" s="19" t="s">
        <v>18</v>
      </c>
      <c r="G14" s="20">
        <v>1</v>
      </c>
      <c r="H14" s="101">
        <f>IF(G14=1,E14,0)-125</f>
        <v>375</v>
      </c>
      <c r="I14" s="296"/>
      <c r="J14" s="296"/>
      <c r="K14" s="102"/>
      <c r="L14" s="110">
        <v>292.3</v>
      </c>
      <c r="M14" s="111"/>
      <c r="N14" s="104">
        <f t="shared" si="1"/>
        <v>0.77946666666666675</v>
      </c>
      <c r="O14" s="36"/>
      <c r="P14" s="28" t="s">
        <v>33</v>
      </c>
      <c r="Q14" s="29" t="s">
        <v>34</v>
      </c>
      <c r="R14" s="37"/>
      <c r="S14" s="77"/>
      <c r="V14" s="193"/>
    </row>
    <row r="15" spans="1:23" ht="12.75" customHeight="1">
      <c r="A15" s="195" t="s">
        <v>39</v>
      </c>
      <c r="B15" s="15">
        <f t="shared" si="2"/>
        <v>7</v>
      </c>
      <c r="C15" s="332" t="s">
        <v>46</v>
      </c>
      <c r="D15" s="333">
        <v>107922</v>
      </c>
      <c r="E15" s="197">
        <v>125</v>
      </c>
      <c r="F15" s="19" t="s">
        <v>26</v>
      </c>
      <c r="G15" s="20">
        <v>1</v>
      </c>
      <c r="H15" s="101">
        <f t="shared" si="0"/>
        <v>125</v>
      </c>
      <c r="I15" s="101"/>
      <c r="J15" s="296"/>
      <c r="K15" s="102"/>
      <c r="L15" s="102">
        <v>109</v>
      </c>
      <c r="M15" s="334"/>
      <c r="N15" s="104">
        <f t="shared" si="1"/>
        <v>0.872</v>
      </c>
      <c r="O15" s="31"/>
      <c r="P15" s="28" t="s">
        <v>35</v>
      </c>
      <c r="Q15" s="29" t="s">
        <v>36</v>
      </c>
      <c r="T15" s="109"/>
      <c r="U15" s="77"/>
      <c r="V15" s="191">
        <f>51 - (51-33.5)*(19/31)</f>
        <v>40.274193548387096</v>
      </c>
      <c r="W15" t="s">
        <v>167</v>
      </c>
    </row>
    <row r="16" spans="1:23" ht="12.75" customHeight="1">
      <c r="B16" s="359">
        <f t="shared" si="2"/>
        <v>8</v>
      </c>
      <c r="C16" s="16" t="s">
        <v>37</v>
      </c>
      <c r="D16" s="23">
        <v>22307</v>
      </c>
      <c r="E16" s="18">
        <v>267.54700000000003</v>
      </c>
      <c r="F16" s="19" t="s">
        <v>38</v>
      </c>
      <c r="G16" s="20">
        <v>1</v>
      </c>
      <c r="H16" s="101">
        <f t="shared" si="0"/>
        <v>267.54700000000003</v>
      </c>
      <c r="I16" s="296"/>
      <c r="J16" s="296"/>
      <c r="K16" s="102"/>
      <c r="L16" s="110">
        <v>245</v>
      </c>
      <c r="M16" s="111"/>
      <c r="N16" s="104">
        <f t="shared" si="1"/>
        <v>0.91572695638523316</v>
      </c>
      <c r="O16" s="36"/>
      <c r="P16" s="179"/>
      <c r="Q16" s="180"/>
      <c r="R16" s="77"/>
      <c r="S16" s="77"/>
      <c r="T16" s="109"/>
      <c r="U16" s="77"/>
      <c r="V16" s="302"/>
    </row>
    <row r="17" spans="1:22" ht="12.75" customHeight="1">
      <c r="B17" s="359">
        <f t="shared" si="2"/>
        <v>9</v>
      </c>
      <c r="C17" s="339" t="s">
        <v>175</v>
      </c>
      <c r="D17" s="23">
        <v>22305</v>
      </c>
      <c r="E17" s="18">
        <v>1000</v>
      </c>
      <c r="F17" s="19" t="s">
        <v>22</v>
      </c>
      <c r="G17" s="20">
        <v>1</v>
      </c>
      <c r="H17" s="101">
        <f t="shared" si="0"/>
        <v>1000</v>
      </c>
      <c r="J17" s="296"/>
      <c r="K17" s="102"/>
      <c r="L17" s="102">
        <v>987.3</v>
      </c>
      <c r="M17" s="106"/>
      <c r="N17" s="104">
        <f t="shared" si="1"/>
        <v>0.98729999999999996</v>
      </c>
      <c r="O17" s="31"/>
    </row>
    <row r="18" spans="1:22" ht="12.75" customHeight="1">
      <c r="B18" s="359">
        <f t="shared" si="2"/>
        <v>10</v>
      </c>
      <c r="C18" s="32" t="s">
        <v>17</v>
      </c>
      <c r="D18" s="23">
        <v>105153</v>
      </c>
      <c r="E18" s="72">
        <v>3874.8220000000001</v>
      </c>
      <c r="F18" s="19" t="s">
        <v>18</v>
      </c>
      <c r="G18" s="20">
        <v>1</v>
      </c>
      <c r="H18" s="101">
        <f t="shared" si="0"/>
        <v>3874.8220000000001</v>
      </c>
      <c r="J18" s="101"/>
      <c r="K18" s="16"/>
      <c r="L18" s="102">
        <v>3874.1</v>
      </c>
      <c r="M18" s="111"/>
      <c r="N18" s="104">
        <f t="shared" si="1"/>
        <v>0.99981366886014367</v>
      </c>
      <c r="O18" s="34"/>
      <c r="P18" s="179"/>
      <c r="Q18" s="180"/>
      <c r="R18" s="303"/>
      <c r="S18" s="77"/>
      <c r="T18" s="109"/>
      <c r="U18" s="77"/>
      <c r="V18" s="304"/>
    </row>
    <row r="19" spans="1:22" ht="12.75" customHeight="1">
      <c r="B19" s="359">
        <f t="shared" si="2"/>
        <v>11</v>
      </c>
      <c r="C19" s="16" t="s">
        <v>172</v>
      </c>
      <c r="D19" s="23">
        <v>106323</v>
      </c>
      <c r="E19" s="18">
        <v>150</v>
      </c>
      <c r="F19" s="19" t="s">
        <v>26</v>
      </c>
      <c r="G19" s="20">
        <v>1</v>
      </c>
      <c r="H19" s="101">
        <f t="shared" si="0"/>
        <v>150</v>
      </c>
      <c r="J19" s="296"/>
      <c r="K19" s="16"/>
      <c r="L19" s="102">
        <v>147.4</v>
      </c>
      <c r="M19" s="211"/>
      <c r="N19" s="129">
        <f t="shared" si="1"/>
        <v>0.98266666666666669</v>
      </c>
      <c r="O19" s="31"/>
      <c r="P19" s="179"/>
      <c r="Q19" s="180"/>
      <c r="R19" s="303"/>
      <c r="S19" s="77"/>
      <c r="T19" s="77"/>
      <c r="U19" s="77"/>
      <c r="V19" s="77"/>
    </row>
    <row r="20" spans="1:22" ht="12.75" customHeight="1">
      <c r="B20" s="359">
        <f t="shared" si="2"/>
        <v>12</v>
      </c>
      <c r="C20" s="16" t="s">
        <v>171</v>
      </c>
      <c r="D20" s="23">
        <v>107465</v>
      </c>
      <c r="E20" s="18">
        <v>500</v>
      </c>
      <c r="F20" s="19" t="s">
        <v>26</v>
      </c>
      <c r="G20" s="20">
        <v>1</v>
      </c>
      <c r="H20" s="101">
        <f t="shared" si="0"/>
        <v>500</v>
      </c>
      <c r="J20" s="296"/>
      <c r="K20" s="16"/>
      <c r="L20" s="102">
        <v>489.2</v>
      </c>
      <c r="M20" s="211"/>
      <c r="N20" s="104">
        <f t="shared" si="1"/>
        <v>0.97839999999999994</v>
      </c>
      <c r="O20" s="31"/>
      <c r="P20" s="77"/>
      <c r="Q20" s="77"/>
      <c r="R20" s="77"/>
      <c r="S20" s="77"/>
      <c r="T20" s="77"/>
      <c r="U20" s="77"/>
      <c r="V20" s="304"/>
    </row>
    <row r="21" spans="1:22" ht="12.75" customHeight="1">
      <c r="B21" s="336">
        <f t="shared" si="2"/>
        <v>13</v>
      </c>
      <c r="C21" s="360" t="s">
        <v>176</v>
      </c>
      <c r="D21" s="333">
        <v>102831</v>
      </c>
      <c r="E21" s="337">
        <v>2100.9319999999998</v>
      </c>
      <c r="F21" s="338" t="s">
        <v>26</v>
      </c>
      <c r="G21" s="20">
        <v>1</v>
      </c>
      <c r="H21" s="101">
        <f t="shared" si="0"/>
        <v>2100.9319999999998</v>
      </c>
      <c r="J21" s="301"/>
      <c r="K21" s="207"/>
      <c r="L21" s="102">
        <v>2125.4</v>
      </c>
      <c r="M21" s="207"/>
      <c r="N21" s="104">
        <f t="shared" si="1"/>
        <v>1.0116462598503904</v>
      </c>
      <c r="O21" s="31"/>
      <c r="P21" s="77"/>
      <c r="Q21" s="77"/>
      <c r="R21" s="77"/>
      <c r="S21" s="77"/>
      <c r="T21" s="77"/>
      <c r="U21" s="77"/>
      <c r="V21" s="77"/>
    </row>
    <row r="22" spans="1:22" ht="12.75" customHeight="1">
      <c r="G22" s="41" t="s">
        <v>43</v>
      </c>
      <c r="H22" s="16"/>
      <c r="I22" s="16"/>
      <c r="J22" s="16"/>
      <c r="K22" s="16"/>
      <c r="L22" s="16"/>
      <c r="M22" s="16"/>
      <c r="N22" s="16"/>
      <c r="O22" s="34"/>
      <c r="U22" s="77"/>
      <c r="V22" s="77"/>
    </row>
    <row r="23" spans="1:22">
      <c r="E23" s="39"/>
      <c r="F23" s="19"/>
      <c r="G23" s="19"/>
      <c r="H23" s="199">
        <f>SUM(H9:H21)</f>
        <v>15640.833999999999</v>
      </c>
      <c r="I23" s="43"/>
      <c r="J23" s="43"/>
      <c r="L23" s="44">
        <f>SUM(L9:L21)</f>
        <v>14859</v>
      </c>
      <c r="M23" s="37"/>
      <c r="N23" s="45">
        <f>L23/H68</f>
        <v>0.95001327934303259</v>
      </c>
      <c r="O23" s="34"/>
      <c r="U23" s="77"/>
      <c r="V23" s="77"/>
    </row>
    <row r="24" spans="1:22">
      <c r="A24" s="5"/>
      <c r="B24" s="5"/>
      <c r="C24" s="5"/>
      <c r="D24" s="5"/>
      <c r="E24" s="305"/>
      <c r="F24" s="306"/>
      <c r="G24" s="306"/>
      <c r="H24" s="307"/>
      <c r="I24" s="307"/>
      <c r="J24" s="307"/>
      <c r="K24" s="5"/>
      <c r="L24" s="308"/>
      <c r="M24" s="308"/>
      <c r="N24" s="308"/>
      <c r="O24" s="5"/>
      <c r="U24" s="77"/>
      <c r="V24" s="77"/>
    </row>
    <row r="25" spans="1:22" ht="12.75" customHeight="1">
      <c r="E25" s="39"/>
      <c r="F25" s="19"/>
      <c r="G25" s="19"/>
      <c r="H25" s="43"/>
      <c r="I25" s="43"/>
      <c r="J25" s="43"/>
      <c r="L25" s="37"/>
      <c r="M25" s="37"/>
      <c r="N25" s="37"/>
    </row>
    <row r="27" spans="1:22" ht="12.75" customHeight="1">
      <c r="B27" s="20">
        <f>1</f>
        <v>1</v>
      </c>
      <c r="C27" s="16" t="s">
        <v>46</v>
      </c>
      <c r="D27" s="23">
        <v>23613</v>
      </c>
      <c r="E27" s="46">
        <f>7509.08</f>
        <v>7509.08</v>
      </c>
      <c r="F27" s="19" t="s">
        <v>26</v>
      </c>
      <c r="G27" s="20">
        <v>4</v>
      </c>
      <c r="H27" s="33"/>
      <c r="I27" s="101">
        <f t="shared" ref="I27:I35" si="3">IF(G27=4,E27,0)</f>
        <v>7509.08</v>
      </c>
      <c r="J27" s="296"/>
      <c r="K27" s="16"/>
      <c r="L27" s="102">
        <v>6576.4</v>
      </c>
      <c r="M27" s="111"/>
      <c r="N27" s="129">
        <f t="shared" ref="N27:N49" si="4">L27/I27</f>
        <v>0.87579303989303614</v>
      </c>
      <c r="O27" s="34"/>
      <c r="R27" s="26" t="s">
        <v>13</v>
      </c>
      <c r="S27" s="77"/>
      <c r="T27" s="105"/>
    </row>
    <row r="28" spans="1:22" ht="12.75" customHeight="1">
      <c r="B28" s="20">
        <f t="shared" ref="B28:B35" si="5">B27+1</f>
        <v>2</v>
      </c>
      <c r="C28" s="16" t="s">
        <v>168</v>
      </c>
      <c r="D28" s="23">
        <v>22337</v>
      </c>
      <c r="E28" s="18">
        <v>6475</v>
      </c>
      <c r="F28" s="19" t="s">
        <v>38</v>
      </c>
      <c r="G28" s="20">
        <v>4</v>
      </c>
      <c r="H28" s="33"/>
      <c r="I28" s="101">
        <f t="shared" si="3"/>
        <v>6475</v>
      </c>
      <c r="J28" s="296"/>
      <c r="K28" s="16"/>
      <c r="L28" s="102">
        <v>6391.26</v>
      </c>
      <c r="M28" s="111"/>
      <c r="N28" s="126">
        <f>L28/I28</f>
        <v>0.98706718146718153</v>
      </c>
      <c r="O28" s="31"/>
      <c r="P28" s="179" t="s">
        <v>19</v>
      </c>
      <c r="Q28" s="287" t="s">
        <v>45</v>
      </c>
      <c r="R28" s="88"/>
      <c r="S28" s="77"/>
      <c r="T28" s="107"/>
    </row>
    <row r="29" spans="1:22" ht="12.75" customHeight="1">
      <c r="B29" s="20">
        <f t="shared" si="5"/>
        <v>3</v>
      </c>
      <c r="C29" s="16" t="s">
        <v>169</v>
      </c>
      <c r="D29" s="23">
        <v>23544</v>
      </c>
      <c r="E29" s="18">
        <v>1250</v>
      </c>
      <c r="F29" s="19" t="s">
        <v>38</v>
      </c>
      <c r="G29" s="20">
        <v>4</v>
      </c>
      <c r="H29" s="33"/>
      <c r="I29" s="101">
        <f t="shared" si="3"/>
        <v>1250</v>
      </c>
      <c r="J29" s="296"/>
      <c r="K29" s="16"/>
      <c r="L29" s="102">
        <v>1147.8</v>
      </c>
      <c r="M29" s="128"/>
      <c r="N29" s="129">
        <f>L29/I29</f>
        <v>0.91823999999999995</v>
      </c>
      <c r="O29" s="31"/>
      <c r="P29" s="231" t="s">
        <v>23</v>
      </c>
      <c r="Q29" s="249" t="s">
        <v>45</v>
      </c>
      <c r="R29" s="310"/>
      <c r="S29" s="299"/>
      <c r="T29" s="109"/>
    </row>
    <row r="30" spans="1:22" ht="12.75" customHeight="1">
      <c r="B30" s="20">
        <f t="shared" si="5"/>
        <v>4</v>
      </c>
      <c r="C30" s="360" t="s">
        <v>178</v>
      </c>
      <c r="D30" s="23">
        <v>102835</v>
      </c>
      <c r="E30" s="72">
        <v>1000</v>
      </c>
      <c r="F30" s="19" t="s">
        <v>18</v>
      </c>
      <c r="G30" s="20">
        <v>4</v>
      </c>
      <c r="H30" s="33"/>
      <c r="I30" s="101">
        <f t="shared" si="3"/>
        <v>1000</v>
      </c>
      <c r="J30" s="101"/>
      <c r="K30" s="16"/>
      <c r="L30" s="102">
        <v>1000</v>
      </c>
      <c r="M30" s="111"/>
      <c r="N30" s="335">
        <f>L30/I30</f>
        <v>1</v>
      </c>
      <c r="O30" s="34"/>
      <c r="P30" s="28" t="s">
        <v>27</v>
      </c>
      <c r="Q30" s="47" t="s">
        <v>48</v>
      </c>
      <c r="S30" s="77"/>
      <c r="T30" s="109"/>
    </row>
    <row r="31" spans="1:22" ht="12.75" customHeight="1">
      <c r="B31" s="20">
        <f t="shared" si="5"/>
        <v>5</v>
      </c>
      <c r="C31" s="339" t="s">
        <v>177</v>
      </c>
      <c r="D31" s="23">
        <v>102817</v>
      </c>
      <c r="E31" s="30">
        <v>2000</v>
      </c>
      <c r="F31" s="19" t="s">
        <v>26</v>
      </c>
      <c r="G31" s="20">
        <v>1</v>
      </c>
      <c r="I31" s="101">
        <f>IF(G31=1,E31,0)</f>
        <v>2000</v>
      </c>
      <c r="J31" s="296"/>
      <c r="K31" s="102"/>
      <c r="L31" s="102">
        <v>1787</v>
      </c>
      <c r="M31" s="16"/>
      <c r="N31" s="104">
        <f>L31/I31</f>
        <v>0.89349999999999996</v>
      </c>
      <c r="O31" s="31"/>
      <c r="T31" s="77"/>
      <c r="U31" s="77"/>
      <c r="V31" s="77"/>
    </row>
    <row r="32" spans="1:22" ht="12.75" customHeight="1">
      <c r="B32" s="20">
        <f>B31+1</f>
        <v>6</v>
      </c>
      <c r="C32" t="s">
        <v>170</v>
      </c>
      <c r="D32" s="19">
        <v>103938</v>
      </c>
      <c r="E32" s="18">
        <v>1000</v>
      </c>
      <c r="F32" s="19" t="s">
        <v>55</v>
      </c>
      <c r="G32" s="20">
        <v>4</v>
      </c>
      <c r="I32" s="101">
        <f t="shared" si="3"/>
        <v>1000</v>
      </c>
      <c r="L32" s="130">
        <v>976.2</v>
      </c>
      <c r="N32" s="340">
        <f t="shared" si="4"/>
        <v>0.97620000000000007</v>
      </c>
      <c r="O32" s="34"/>
      <c r="P32" s="28" t="s">
        <v>30</v>
      </c>
      <c r="Q32" s="29" t="s">
        <v>51</v>
      </c>
      <c r="S32" s="77"/>
    </row>
    <row r="33" spans="2:23" ht="12.75" customHeight="1">
      <c r="B33" s="20">
        <f t="shared" si="5"/>
        <v>7</v>
      </c>
      <c r="C33" s="16" t="s">
        <v>40</v>
      </c>
      <c r="D33" s="23">
        <v>22334</v>
      </c>
      <c r="E33" s="18">
        <v>750</v>
      </c>
      <c r="F33" s="19" t="s">
        <v>38</v>
      </c>
      <c r="G33" s="20">
        <v>4</v>
      </c>
      <c r="H33" s="33"/>
      <c r="I33" s="101">
        <f t="shared" si="3"/>
        <v>750</v>
      </c>
      <c r="J33" s="296"/>
      <c r="K33" s="16"/>
      <c r="L33" s="102">
        <v>700.6</v>
      </c>
      <c r="M33" s="111"/>
      <c r="N33" s="104">
        <f t="shared" si="4"/>
        <v>0.93413333333333337</v>
      </c>
      <c r="O33" s="31"/>
      <c r="P33" s="28" t="s">
        <v>33</v>
      </c>
      <c r="Q33" s="29" t="s">
        <v>34</v>
      </c>
      <c r="S33" s="77"/>
    </row>
    <row r="34" spans="2:23" ht="12.75" customHeight="1">
      <c r="B34" s="361">
        <f t="shared" si="5"/>
        <v>8</v>
      </c>
      <c r="C34" s="132" t="s">
        <v>56</v>
      </c>
      <c r="D34" s="253">
        <v>103665</v>
      </c>
      <c r="E34" s="254">
        <f>620.91-75-15</f>
        <v>530.91</v>
      </c>
      <c r="F34" s="255" t="s">
        <v>38</v>
      </c>
      <c r="G34" s="136">
        <v>4</v>
      </c>
      <c r="H34" s="341"/>
      <c r="I34" s="342">
        <f t="shared" si="3"/>
        <v>530.91</v>
      </c>
      <c r="J34" s="341"/>
      <c r="K34" s="132"/>
      <c r="L34" s="343">
        <v>512.29999999999995</v>
      </c>
      <c r="M34" s="344"/>
      <c r="N34" s="104">
        <f t="shared" si="4"/>
        <v>0.96494697783051742</v>
      </c>
      <c r="O34" s="31"/>
      <c r="P34" s="28" t="s">
        <v>35</v>
      </c>
      <c r="Q34" s="29" t="s">
        <v>36</v>
      </c>
    </row>
    <row r="35" spans="2:23" ht="12.75" customHeight="1">
      <c r="B35" s="20">
        <f t="shared" si="5"/>
        <v>9</v>
      </c>
      <c r="C35" s="16" t="s">
        <v>57</v>
      </c>
      <c r="D35" s="23">
        <v>22312</v>
      </c>
      <c r="E35" s="18">
        <f>136+114</f>
        <v>250</v>
      </c>
      <c r="F35" s="19" t="s">
        <v>26</v>
      </c>
      <c r="G35" s="20">
        <v>4</v>
      </c>
      <c r="H35" s="33"/>
      <c r="I35" s="101">
        <f t="shared" si="3"/>
        <v>250</v>
      </c>
      <c r="J35" s="296"/>
      <c r="K35" s="16"/>
      <c r="L35" s="102">
        <v>224.36</v>
      </c>
      <c r="M35" s="211"/>
      <c r="N35" s="104">
        <f t="shared" si="4"/>
        <v>0.89744000000000002</v>
      </c>
      <c r="O35" s="31"/>
      <c r="P35" s="28"/>
      <c r="Q35" s="29"/>
    </row>
    <row r="36" spans="2:23" ht="12.75" customHeight="1">
      <c r="B36" s="142">
        <f>1</f>
        <v>1</v>
      </c>
      <c r="C36" s="143" t="s">
        <v>58</v>
      </c>
      <c r="D36" s="144">
        <v>22309</v>
      </c>
      <c r="E36" s="145">
        <v>202.51</v>
      </c>
      <c r="F36" s="146" t="s">
        <v>38</v>
      </c>
      <c r="G36" s="147">
        <v>4</v>
      </c>
      <c r="H36" s="148"/>
      <c r="I36" s="149">
        <v>0</v>
      </c>
      <c r="J36" s="148"/>
      <c r="K36" s="143"/>
      <c r="L36" s="59">
        <v>0</v>
      </c>
      <c r="M36" s="150"/>
      <c r="N36" s="311" t="e">
        <f t="shared" si="4"/>
        <v>#DIV/0!</v>
      </c>
      <c r="O36" s="31"/>
    </row>
    <row r="37" spans="2:23" ht="12.75" customHeight="1">
      <c r="B37" s="142">
        <f>B36+1</f>
        <v>2</v>
      </c>
      <c r="C37" s="159" t="s">
        <v>60</v>
      </c>
      <c r="D37" s="144">
        <v>22315</v>
      </c>
      <c r="E37" s="145">
        <v>79.448999999999998</v>
      </c>
      <c r="F37" s="146" t="s">
        <v>38</v>
      </c>
      <c r="G37" s="147">
        <v>4</v>
      </c>
      <c r="H37" s="148"/>
      <c r="I37" s="149">
        <v>0</v>
      </c>
      <c r="J37" s="148"/>
      <c r="K37" s="143"/>
      <c r="L37" s="59">
        <v>0</v>
      </c>
      <c r="M37" s="160"/>
      <c r="N37" s="312" t="e">
        <f t="shared" si="4"/>
        <v>#DIV/0!</v>
      </c>
      <c r="O37" s="31"/>
      <c r="R37" s="64"/>
    </row>
    <row r="38" spans="2:23" ht="12.75" customHeight="1">
      <c r="B38" s="20">
        <f>B35+1</f>
        <v>10</v>
      </c>
      <c r="C38" s="16" t="s">
        <v>62</v>
      </c>
      <c r="D38" s="19">
        <v>22344</v>
      </c>
      <c r="E38" s="18">
        <v>50</v>
      </c>
      <c r="F38" s="19" t="s">
        <v>22</v>
      </c>
      <c r="G38" s="20">
        <v>4</v>
      </c>
      <c r="H38" s="33"/>
      <c r="I38" s="101">
        <f>IF(G38=4,E38,0)</f>
        <v>50</v>
      </c>
      <c r="J38" s="296"/>
      <c r="K38" s="164"/>
      <c r="L38" s="110">
        <v>40.4</v>
      </c>
      <c r="M38" s="16"/>
      <c r="N38" s="104">
        <f t="shared" si="4"/>
        <v>0.80799999999999994</v>
      </c>
      <c r="O38" s="34"/>
    </row>
    <row r="39" spans="2:23" ht="12.75" customHeight="1">
      <c r="B39" s="142">
        <f>B37+1</f>
        <v>3</v>
      </c>
      <c r="C39" s="143" t="s">
        <v>63</v>
      </c>
      <c r="D39" s="144">
        <v>22311</v>
      </c>
      <c r="E39" s="145">
        <v>45</v>
      </c>
      <c r="F39" s="146" t="s">
        <v>22</v>
      </c>
      <c r="G39" s="147">
        <v>4</v>
      </c>
      <c r="H39" s="148"/>
      <c r="I39" s="149">
        <v>0</v>
      </c>
      <c r="J39" s="148"/>
      <c r="K39" s="143"/>
      <c r="L39" s="59">
        <v>0</v>
      </c>
      <c r="M39" s="143"/>
      <c r="N39" s="311" t="e">
        <f t="shared" si="4"/>
        <v>#DIV/0!</v>
      </c>
      <c r="O39" s="34"/>
      <c r="S39" s="77"/>
      <c r="T39" s="77"/>
      <c r="U39" s="77"/>
      <c r="V39" s="77"/>
      <c r="W39" s="77"/>
    </row>
    <row r="40" spans="2:23" ht="12.75" customHeight="1">
      <c r="B40" s="142">
        <f t="shared" ref="B40:B49" si="6">B39+1</f>
        <v>4</v>
      </c>
      <c r="C40" s="143" t="s">
        <v>64</v>
      </c>
      <c r="D40" s="144">
        <v>22323</v>
      </c>
      <c r="E40" s="145">
        <v>45</v>
      </c>
      <c r="F40" s="146" t="s">
        <v>22</v>
      </c>
      <c r="G40" s="147">
        <v>4</v>
      </c>
      <c r="H40" s="148"/>
      <c r="I40" s="149">
        <v>0</v>
      </c>
      <c r="J40" s="148"/>
      <c r="K40" s="143"/>
      <c r="L40" s="59">
        <v>0</v>
      </c>
      <c r="M40" s="162"/>
      <c r="N40" s="311" t="e">
        <f t="shared" si="4"/>
        <v>#DIV/0!</v>
      </c>
      <c r="O40" s="34"/>
      <c r="Q40" s="37"/>
      <c r="R40" s="37"/>
      <c r="S40" s="179"/>
      <c r="T40" s="180"/>
      <c r="U40" s="297"/>
      <c r="V40" s="298"/>
      <c r="W40" s="107"/>
    </row>
    <row r="41" spans="2:23" ht="12.75" customHeight="1">
      <c r="B41" s="142">
        <f t="shared" si="6"/>
        <v>5</v>
      </c>
      <c r="C41" s="143" t="s">
        <v>65</v>
      </c>
      <c r="D41" s="144">
        <v>105214</v>
      </c>
      <c r="E41" s="145">
        <v>35.551000000000002</v>
      </c>
      <c r="F41" s="146" t="s">
        <v>22</v>
      </c>
      <c r="G41" s="147">
        <v>4</v>
      </c>
      <c r="H41" s="148"/>
      <c r="I41" s="149">
        <v>0</v>
      </c>
      <c r="J41" s="148"/>
      <c r="K41" s="143"/>
      <c r="L41" s="59">
        <v>0</v>
      </c>
      <c r="M41" s="162"/>
      <c r="N41" s="311" t="e">
        <f>L41/I41</f>
        <v>#DIV/0!</v>
      </c>
      <c r="O41" s="34"/>
      <c r="Q41" s="37"/>
      <c r="R41" s="37"/>
      <c r="S41" s="179"/>
      <c r="T41" s="180"/>
      <c r="U41" s="297"/>
      <c r="V41" s="298"/>
      <c r="W41" s="107"/>
    </row>
    <row r="42" spans="2:23" ht="12.75" customHeight="1">
      <c r="B42" s="142">
        <f t="shared" si="6"/>
        <v>6</v>
      </c>
      <c r="C42" s="143" t="s">
        <v>66</v>
      </c>
      <c r="D42" s="144">
        <v>22303</v>
      </c>
      <c r="E42" s="145">
        <v>32.4</v>
      </c>
      <c r="F42" s="146" t="s">
        <v>38</v>
      </c>
      <c r="G42" s="147">
        <v>4</v>
      </c>
      <c r="H42" s="148"/>
      <c r="I42" s="149">
        <v>0</v>
      </c>
      <c r="J42" s="148"/>
      <c r="K42" s="143"/>
      <c r="L42" s="59">
        <v>0</v>
      </c>
      <c r="M42" s="143"/>
      <c r="N42" s="311" t="e">
        <f t="shared" si="4"/>
        <v>#DIV/0!</v>
      </c>
      <c r="O42" s="31"/>
      <c r="S42" s="77"/>
      <c r="T42" s="77"/>
      <c r="U42" s="77"/>
      <c r="V42" s="77"/>
      <c r="W42" s="77"/>
    </row>
    <row r="43" spans="2:23" ht="12.75" customHeight="1">
      <c r="B43" s="142">
        <f t="shared" si="6"/>
        <v>7</v>
      </c>
      <c r="C43" s="143" t="s">
        <v>67</v>
      </c>
      <c r="D43" s="144">
        <v>22328</v>
      </c>
      <c r="E43" s="145">
        <v>25</v>
      </c>
      <c r="F43" s="146" t="s">
        <v>22</v>
      </c>
      <c r="G43" s="147">
        <v>4</v>
      </c>
      <c r="H43" s="148"/>
      <c r="I43" s="149">
        <v>0</v>
      </c>
      <c r="J43" s="148"/>
      <c r="K43" s="143"/>
      <c r="L43" s="67">
        <v>0</v>
      </c>
      <c r="M43" s="143"/>
      <c r="N43" s="311" t="e">
        <f t="shared" si="4"/>
        <v>#DIV/0!</v>
      </c>
      <c r="O43" s="34"/>
      <c r="S43" s="179"/>
      <c r="T43" s="180"/>
      <c r="U43" s="77"/>
      <c r="V43" s="77"/>
      <c r="W43" s="109"/>
    </row>
    <row r="44" spans="2:23" ht="12.75" customHeight="1">
      <c r="B44" s="142">
        <f t="shared" si="6"/>
        <v>8</v>
      </c>
      <c r="C44" s="143" t="s">
        <v>68</v>
      </c>
      <c r="D44" s="144">
        <v>22302</v>
      </c>
      <c r="E44" s="145">
        <v>18</v>
      </c>
      <c r="F44" s="146" t="s">
        <v>38</v>
      </c>
      <c r="G44" s="147">
        <v>4</v>
      </c>
      <c r="H44" s="148"/>
      <c r="I44" s="149">
        <v>0</v>
      </c>
      <c r="J44" s="148"/>
      <c r="K44" s="143"/>
      <c r="L44" s="59">
        <v>0</v>
      </c>
      <c r="M44" s="144"/>
      <c r="N44" s="311" t="e">
        <f t="shared" si="4"/>
        <v>#DIV/0!</v>
      </c>
      <c r="O44" s="34"/>
      <c r="S44" s="179"/>
      <c r="T44" s="180"/>
      <c r="U44" s="77"/>
      <c r="V44" s="77"/>
      <c r="W44" s="109"/>
    </row>
    <row r="45" spans="2:23" ht="12.75" customHeight="1">
      <c r="B45" s="142">
        <f>B63+1</f>
        <v>11</v>
      </c>
      <c r="C45" s="143" t="s">
        <v>70</v>
      </c>
      <c r="D45" s="144">
        <v>22368</v>
      </c>
      <c r="E45" s="145">
        <v>15</v>
      </c>
      <c r="F45" s="146" t="s">
        <v>26</v>
      </c>
      <c r="G45" s="147">
        <v>4</v>
      </c>
      <c r="H45" s="148"/>
      <c r="I45" s="149">
        <v>0</v>
      </c>
      <c r="J45" s="148"/>
      <c r="K45" s="143"/>
      <c r="L45" s="59">
        <v>0</v>
      </c>
      <c r="M45" s="166"/>
      <c r="N45" s="311" t="e">
        <f t="shared" si="4"/>
        <v>#DIV/0!</v>
      </c>
      <c r="O45" s="34"/>
      <c r="S45" s="77"/>
      <c r="T45" s="77"/>
      <c r="U45" s="77"/>
      <c r="V45" s="77"/>
      <c r="W45" s="77"/>
    </row>
    <row r="46" spans="2:23" ht="12.75" customHeight="1">
      <c r="B46" s="142">
        <f t="shared" si="6"/>
        <v>12</v>
      </c>
      <c r="C46" s="143" t="s">
        <v>71</v>
      </c>
      <c r="D46" s="144">
        <v>22324</v>
      </c>
      <c r="E46" s="145">
        <v>15</v>
      </c>
      <c r="F46" s="146" t="s">
        <v>26</v>
      </c>
      <c r="G46" s="147">
        <v>4</v>
      </c>
      <c r="H46" s="148"/>
      <c r="I46" s="149">
        <v>0</v>
      </c>
      <c r="J46" s="148"/>
      <c r="K46" s="143"/>
      <c r="L46" s="59">
        <v>0</v>
      </c>
      <c r="M46" s="166"/>
      <c r="N46" s="312" t="e">
        <f t="shared" si="4"/>
        <v>#DIV/0!</v>
      </c>
      <c r="O46" s="31"/>
    </row>
    <row r="47" spans="2:23" ht="12.75" customHeight="1">
      <c r="B47" s="247">
        <f>B38+1</f>
        <v>11</v>
      </c>
      <c r="C47" s="16" t="s">
        <v>72</v>
      </c>
      <c r="D47" s="23">
        <v>22301</v>
      </c>
      <c r="E47" s="18">
        <v>13.776999999999999</v>
      </c>
      <c r="F47" s="19" t="s">
        <v>26</v>
      </c>
      <c r="G47" s="20">
        <v>4</v>
      </c>
      <c r="H47" s="33"/>
      <c r="I47" s="101">
        <f>IF(G47=4,E47,0)</f>
        <v>13.776999999999999</v>
      </c>
      <c r="J47" s="296"/>
      <c r="K47" s="16"/>
      <c r="L47" s="102">
        <v>11.8</v>
      </c>
      <c r="M47" s="128"/>
      <c r="N47" s="104">
        <f t="shared" si="4"/>
        <v>0.85649996370762871</v>
      </c>
      <c r="O47" s="34"/>
    </row>
    <row r="48" spans="2:23" ht="12.75" customHeight="1">
      <c r="B48" s="142">
        <f>B46+1</f>
        <v>13</v>
      </c>
      <c r="C48" s="143" t="s">
        <v>73</v>
      </c>
      <c r="D48" s="144">
        <v>22304</v>
      </c>
      <c r="E48" s="145">
        <v>10</v>
      </c>
      <c r="F48" s="146" t="s">
        <v>38</v>
      </c>
      <c r="G48" s="147">
        <v>4</v>
      </c>
      <c r="H48" s="148"/>
      <c r="I48" s="149">
        <v>0</v>
      </c>
      <c r="J48" s="148"/>
      <c r="K48" s="143"/>
      <c r="L48" s="59">
        <v>0</v>
      </c>
      <c r="M48" s="143"/>
      <c r="N48" s="311" t="e">
        <f t="shared" si="4"/>
        <v>#DIV/0!</v>
      </c>
      <c r="O48" s="34"/>
    </row>
    <row r="49" spans="1:23" ht="12.75" customHeight="1">
      <c r="B49" s="142">
        <f t="shared" si="6"/>
        <v>14</v>
      </c>
      <c r="C49" s="143" t="s">
        <v>74</v>
      </c>
      <c r="D49" s="144">
        <v>22327</v>
      </c>
      <c r="E49" s="168">
        <v>8</v>
      </c>
      <c r="F49" s="146" t="s">
        <v>22</v>
      </c>
      <c r="G49" s="147">
        <v>4</v>
      </c>
      <c r="H49" s="169"/>
      <c r="I49" s="170">
        <v>0</v>
      </c>
      <c r="J49" s="169"/>
      <c r="K49" s="143"/>
      <c r="L49" s="59">
        <v>0</v>
      </c>
      <c r="M49" s="143"/>
      <c r="N49" s="311" t="e">
        <f t="shared" si="4"/>
        <v>#DIV/0!</v>
      </c>
      <c r="O49" s="31"/>
    </row>
    <row r="50" spans="1:23" ht="12.75" customHeight="1">
      <c r="E50" s="39"/>
      <c r="F50" s="19"/>
      <c r="G50" s="41" t="s">
        <v>75</v>
      </c>
      <c r="H50" s="43"/>
      <c r="I50" s="199">
        <f>SUM(I27:I35,I38,I47)</f>
        <v>20828.767</v>
      </c>
      <c r="J50" s="43"/>
      <c r="L50" s="213">
        <f>SUM(L27:L35,L38,L47)</f>
        <v>19368.12</v>
      </c>
      <c r="N50" s="45">
        <f>L50/I68</f>
        <v>0.92987357340931409</v>
      </c>
      <c r="O50" s="34"/>
    </row>
    <row r="51" spans="1:23">
      <c r="A51" s="5"/>
      <c r="B51" s="5"/>
      <c r="C51" s="5"/>
      <c r="D51" s="5"/>
      <c r="E51" s="305"/>
      <c r="F51" s="306"/>
      <c r="G51" s="306"/>
      <c r="H51" s="307"/>
      <c r="I51" s="307"/>
      <c r="J51" s="307"/>
      <c r="K51" s="5"/>
      <c r="L51" s="5"/>
      <c r="M51" s="5"/>
      <c r="N51" s="5"/>
      <c r="O51" s="5"/>
      <c r="P51" s="5"/>
      <c r="Q51" s="5"/>
      <c r="R51" s="5"/>
      <c r="S51" s="5"/>
    </row>
    <row r="52" spans="1:23">
      <c r="A52" s="88"/>
      <c r="B52" s="88"/>
      <c r="C52" s="88"/>
      <c r="D52" s="88"/>
      <c r="E52" s="345"/>
      <c r="F52" s="346"/>
      <c r="G52" s="346"/>
      <c r="H52" s="347"/>
      <c r="I52" s="347"/>
      <c r="J52" s="347"/>
      <c r="K52" s="88"/>
      <c r="L52" s="88"/>
      <c r="M52" s="88"/>
      <c r="N52" s="88"/>
      <c r="O52" s="88"/>
      <c r="P52" s="88"/>
      <c r="Q52" s="88"/>
      <c r="R52" s="88"/>
      <c r="S52" s="88"/>
    </row>
    <row r="53" spans="1:23">
      <c r="E53" s="39"/>
      <c r="F53" s="19"/>
      <c r="G53" s="19"/>
      <c r="H53" s="43"/>
      <c r="I53" s="43"/>
      <c r="J53" s="43"/>
    </row>
    <row r="54" spans="1:23" ht="12.75" customHeight="1">
      <c r="B54" s="71">
        <f>1</f>
        <v>1</v>
      </c>
      <c r="C54" s="16" t="s">
        <v>76</v>
      </c>
      <c r="D54" s="23">
        <v>22316</v>
      </c>
      <c r="E54" s="18">
        <v>6461.232</v>
      </c>
      <c r="F54" s="19" t="s">
        <v>22</v>
      </c>
      <c r="G54" s="20">
        <v>3</v>
      </c>
      <c r="H54" s="33"/>
      <c r="I54" s="33"/>
      <c r="J54" s="101">
        <f>IF(G54=3,E54,0)</f>
        <v>6461.232</v>
      </c>
      <c r="K54" s="16"/>
      <c r="L54" s="102">
        <v>6410</v>
      </c>
      <c r="M54" s="16"/>
      <c r="N54" s="175">
        <f>L54/J54</f>
        <v>0.99207086202755146</v>
      </c>
      <c r="O54" s="34"/>
      <c r="R54" s="26" t="s">
        <v>14</v>
      </c>
      <c r="T54" s="105"/>
    </row>
    <row r="55" spans="1:23" ht="12.75" customHeight="1">
      <c r="B55" s="86">
        <f>B54+1</f>
        <v>2</v>
      </c>
      <c r="C55" s="16" t="s">
        <v>77</v>
      </c>
      <c r="D55" s="23">
        <v>22335</v>
      </c>
      <c r="E55" s="18">
        <v>864.82799999999997</v>
      </c>
      <c r="F55" s="19" t="s">
        <v>22</v>
      </c>
      <c r="G55" s="20">
        <v>3</v>
      </c>
      <c r="H55" s="33"/>
      <c r="I55" s="101"/>
      <c r="J55" s="101">
        <f>IF(G55=3,E55,0)</f>
        <v>864.82799999999997</v>
      </c>
      <c r="K55" s="16"/>
      <c r="L55" s="102">
        <v>761.5</v>
      </c>
      <c r="M55" s="128"/>
      <c r="N55" s="348">
        <f>L55/J55</f>
        <v>0.88052190724629642</v>
      </c>
      <c r="O55" s="34"/>
      <c r="P55" s="179" t="s">
        <v>19</v>
      </c>
      <c r="Q55" s="287" t="s">
        <v>45</v>
      </c>
      <c r="R55" s="88"/>
      <c r="S55" s="88"/>
      <c r="T55" s="107"/>
    </row>
    <row r="56" spans="1:23" ht="12.75" customHeight="1">
      <c r="B56" s="71">
        <f>B55+1</f>
        <v>3</v>
      </c>
      <c r="C56" s="16" t="s">
        <v>79</v>
      </c>
      <c r="D56" s="23">
        <v>22342</v>
      </c>
      <c r="E56" s="46">
        <v>500</v>
      </c>
      <c r="F56" s="19" t="s">
        <v>22</v>
      </c>
      <c r="G56" s="20">
        <v>3</v>
      </c>
      <c r="H56" s="43"/>
      <c r="I56" s="43"/>
      <c r="J56" s="174">
        <f t="shared" ref="J56:J67" si="7">IF(G56=3,E56,0)</f>
        <v>500</v>
      </c>
      <c r="K56" s="16"/>
      <c r="L56" s="102">
        <v>379.84</v>
      </c>
      <c r="M56" s="16"/>
      <c r="N56" s="175">
        <f t="shared" ref="N56:N68" si="8">L56/J56</f>
        <v>0.75967999999999991</v>
      </c>
      <c r="O56" s="34"/>
      <c r="P56" s="231" t="s">
        <v>23</v>
      </c>
      <c r="Q56" s="249" t="s">
        <v>45</v>
      </c>
      <c r="R56" s="310"/>
      <c r="S56" s="310"/>
      <c r="T56" s="109"/>
    </row>
    <row r="57" spans="1:23" ht="12.75" customHeight="1">
      <c r="B57" s="71">
        <f>B56+1</f>
        <v>4</v>
      </c>
      <c r="C57" s="16" t="s">
        <v>80</v>
      </c>
      <c r="D57" s="23">
        <v>102950</v>
      </c>
      <c r="E57" s="18">
        <v>500</v>
      </c>
      <c r="F57" s="19" t="s">
        <v>26</v>
      </c>
      <c r="G57" s="20">
        <v>3</v>
      </c>
      <c r="H57" s="33"/>
      <c r="I57" s="33"/>
      <c r="J57" s="101">
        <f t="shared" si="7"/>
        <v>500</v>
      </c>
      <c r="K57" s="16"/>
      <c r="L57" s="102">
        <v>478.27</v>
      </c>
      <c r="M57" s="16"/>
      <c r="N57" s="335">
        <f t="shared" si="8"/>
        <v>0.95653999999999995</v>
      </c>
      <c r="O57" s="34"/>
      <c r="P57" s="28" t="s">
        <v>27</v>
      </c>
      <c r="Q57" s="47" t="s">
        <v>48</v>
      </c>
      <c r="T57" s="109"/>
    </row>
    <row r="58" spans="1:23" ht="12.75" customHeight="1">
      <c r="B58" s="71">
        <f>B57+1</f>
        <v>5</v>
      </c>
      <c r="C58" s="16" t="s">
        <v>80</v>
      </c>
      <c r="D58" s="23">
        <v>22321</v>
      </c>
      <c r="E58" s="30">
        <v>400</v>
      </c>
      <c r="F58" s="19" t="s">
        <v>26</v>
      </c>
      <c r="G58" s="20">
        <v>3</v>
      </c>
      <c r="H58" s="33"/>
      <c r="I58" s="33"/>
      <c r="J58" s="101">
        <f t="shared" si="7"/>
        <v>400</v>
      </c>
      <c r="K58" s="16"/>
      <c r="L58" s="102">
        <v>385.5</v>
      </c>
      <c r="M58" s="16"/>
      <c r="N58" s="335">
        <f t="shared" si="8"/>
        <v>0.96375</v>
      </c>
      <c r="O58" s="34"/>
      <c r="P58" s="28" t="s">
        <v>30</v>
      </c>
      <c r="Q58" s="29" t="s">
        <v>51</v>
      </c>
      <c r="T58" s="109"/>
    </row>
    <row r="59" spans="1:23" ht="12.75" customHeight="1">
      <c r="B59" s="71">
        <f>B58+1</f>
        <v>6</v>
      </c>
      <c r="C59" s="16" t="s">
        <v>83</v>
      </c>
      <c r="D59" s="23">
        <v>22326</v>
      </c>
      <c r="E59" s="18">
        <v>29</v>
      </c>
      <c r="F59" s="19" t="s">
        <v>38</v>
      </c>
      <c r="G59" s="20">
        <v>3</v>
      </c>
      <c r="H59" s="33"/>
      <c r="I59" s="33"/>
      <c r="J59" s="101">
        <f t="shared" si="7"/>
        <v>29</v>
      </c>
      <c r="K59" s="16"/>
      <c r="L59" s="102">
        <v>27.35</v>
      </c>
      <c r="M59" s="16"/>
      <c r="N59" s="129">
        <f t="shared" si="8"/>
        <v>0.94310344827586212</v>
      </c>
      <c r="O59" s="31"/>
      <c r="P59" s="28" t="s">
        <v>33</v>
      </c>
      <c r="Q59" s="29" t="s">
        <v>34</v>
      </c>
      <c r="T59" s="77"/>
    </row>
    <row r="60" spans="1:23" ht="12.75" customHeight="1">
      <c r="B60" s="71">
        <f t="shared" ref="B60:B67" si="9">B59+1</f>
        <v>7</v>
      </c>
      <c r="C60" s="16" t="s">
        <v>84</v>
      </c>
      <c r="D60" s="23">
        <v>22339</v>
      </c>
      <c r="E60" s="18">
        <v>18.125</v>
      </c>
      <c r="F60" s="19" t="s">
        <v>26</v>
      </c>
      <c r="G60" s="20">
        <v>3</v>
      </c>
      <c r="H60" s="33"/>
      <c r="I60" s="33"/>
      <c r="J60" s="101">
        <f t="shared" si="7"/>
        <v>18.125</v>
      </c>
      <c r="K60" s="16"/>
      <c r="L60" s="102">
        <v>18.03</v>
      </c>
      <c r="M60" s="16"/>
      <c r="N60" s="349">
        <f t="shared" si="8"/>
        <v>0.99475862068965526</v>
      </c>
      <c r="O60" s="34"/>
      <c r="P60" s="28" t="s">
        <v>35</v>
      </c>
      <c r="Q60" s="29" t="s">
        <v>36</v>
      </c>
      <c r="T60" s="77"/>
    </row>
    <row r="61" spans="1:23" ht="12.75" customHeight="1">
      <c r="B61" s="71">
        <f t="shared" si="9"/>
        <v>8</v>
      </c>
      <c r="C61" s="16" t="s">
        <v>85</v>
      </c>
      <c r="D61" s="23">
        <v>22308</v>
      </c>
      <c r="E61" s="18">
        <v>17.145</v>
      </c>
      <c r="F61" s="19" t="s">
        <v>38</v>
      </c>
      <c r="G61" s="20">
        <v>3</v>
      </c>
      <c r="H61" s="33"/>
      <c r="I61" s="33"/>
      <c r="J61" s="101">
        <f t="shared" si="7"/>
        <v>17.145</v>
      </c>
      <c r="K61" s="16"/>
      <c r="L61" s="102">
        <v>17.07</v>
      </c>
      <c r="M61" s="16"/>
      <c r="N61" s="349">
        <f t="shared" si="8"/>
        <v>0.99562554680664916</v>
      </c>
      <c r="O61" s="34"/>
      <c r="P61" s="77"/>
      <c r="Q61" s="77"/>
      <c r="R61" s="77"/>
      <c r="S61" s="77"/>
      <c r="T61" s="77"/>
    </row>
    <row r="62" spans="1:23" ht="12.75" customHeight="1">
      <c r="B62" s="71">
        <f t="shared" si="9"/>
        <v>9</v>
      </c>
      <c r="C62" s="16" t="s">
        <v>86</v>
      </c>
      <c r="D62" s="23">
        <v>22300</v>
      </c>
      <c r="E62" s="18">
        <v>16.655000000000001</v>
      </c>
      <c r="F62" s="19" t="s">
        <v>22</v>
      </c>
      <c r="G62" s="20">
        <v>3</v>
      </c>
      <c r="H62" s="33"/>
      <c r="I62" s="33"/>
      <c r="J62" s="101">
        <f t="shared" si="7"/>
        <v>16.655000000000001</v>
      </c>
      <c r="K62" s="16"/>
      <c r="L62" s="110">
        <v>16.38</v>
      </c>
      <c r="M62" s="16"/>
      <c r="N62" s="349">
        <f t="shared" si="8"/>
        <v>0.98348844190933637</v>
      </c>
      <c r="O62" s="31"/>
    </row>
    <row r="63" spans="1:23" ht="12.75" customHeight="1">
      <c r="B63" s="71">
        <f t="shared" si="9"/>
        <v>10</v>
      </c>
      <c r="C63" s="350" t="s">
        <v>69</v>
      </c>
      <c r="D63" s="248">
        <v>22332</v>
      </c>
      <c r="E63" s="351">
        <v>15</v>
      </c>
      <c r="F63" s="352" t="s">
        <v>38</v>
      </c>
      <c r="G63" s="20">
        <v>3</v>
      </c>
      <c r="H63" s="313"/>
      <c r="I63" s="353"/>
      <c r="J63" s="101">
        <f t="shared" si="7"/>
        <v>15</v>
      </c>
      <c r="K63" s="354"/>
      <c r="L63" s="22">
        <v>14.925000000000001</v>
      </c>
      <c r="M63" s="355"/>
      <c r="N63" s="349">
        <f t="shared" si="8"/>
        <v>0.995</v>
      </c>
      <c r="O63" s="34"/>
      <c r="S63" s="179"/>
      <c r="T63" s="180"/>
      <c r="U63" s="77"/>
      <c r="V63" s="77"/>
      <c r="W63" s="109"/>
    </row>
    <row r="64" spans="1:23" ht="12.75" customHeight="1">
      <c r="B64" s="71">
        <f t="shared" si="9"/>
        <v>11</v>
      </c>
      <c r="C64" s="16" t="s">
        <v>87</v>
      </c>
      <c r="D64" s="23">
        <v>22336</v>
      </c>
      <c r="E64" s="18">
        <v>14.634</v>
      </c>
      <c r="F64" s="19" t="s">
        <v>26</v>
      </c>
      <c r="G64" s="20">
        <v>3</v>
      </c>
      <c r="H64" s="33"/>
      <c r="I64" s="33"/>
      <c r="J64" s="101">
        <f>IF(G64=3,E64,0)</f>
        <v>14.634</v>
      </c>
      <c r="K64" s="16"/>
      <c r="L64" s="102">
        <v>14.18</v>
      </c>
      <c r="M64" s="16"/>
      <c r="N64" s="349">
        <f>L64/J64</f>
        <v>0.96897635643023095</v>
      </c>
      <c r="O64" s="34"/>
    </row>
    <row r="65" spans="2:15" ht="12.75" customHeight="1">
      <c r="B65" s="71">
        <f t="shared" si="9"/>
        <v>12</v>
      </c>
      <c r="C65" s="32" t="s">
        <v>173</v>
      </c>
      <c r="D65" s="23">
        <v>103962</v>
      </c>
      <c r="E65" s="30">
        <v>10</v>
      </c>
      <c r="F65" s="19" t="s">
        <v>26</v>
      </c>
      <c r="G65" s="20">
        <v>3</v>
      </c>
      <c r="H65" s="33"/>
      <c r="I65" s="33"/>
      <c r="J65" s="101">
        <f t="shared" si="7"/>
        <v>10</v>
      </c>
      <c r="K65" s="16"/>
      <c r="L65" s="102">
        <v>9.9</v>
      </c>
      <c r="M65" s="16"/>
      <c r="N65" s="349">
        <f t="shared" si="8"/>
        <v>0.99</v>
      </c>
      <c r="O65" s="31"/>
    </row>
    <row r="66" spans="2:15" ht="12.75" customHeight="1">
      <c r="B66" s="71">
        <f t="shared" si="9"/>
        <v>13</v>
      </c>
      <c r="C66" s="16" t="s">
        <v>89</v>
      </c>
      <c r="D66" s="23">
        <v>22341</v>
      </c>
      <c r="E66" s="73">
        <v>8.4190000000000005</v>
      </c>
      <c r="F66" s="19" t="s">
        <v>26</v>
      </c>
      <c r="G66" s="20">
        <v>3</v>
      </c>
      <c r="H66" s="33"/>
      <c r="I66" s="33"/>
      <c r="J66" s="101">
        <f t="shared" si="7"/>
        <v>8.4190000000000005</v>
      </c>
      <c r="K66" s="16"/>
      <c r="L66" s="102">
        <v>8.3699999999999992</v>
      </c>
      <c r="M66" s="16"/>
      <c r="N66" s="356">
        <f t="shared" si="8"/>
        <v>0.99417983133388743</v>
      </c>
      <c r="O66" s="34"/>
    </row>
    <row r="67" spans="2:15" ht="12.75" customHeight="1">
      <c r="B67" s="357">
        <f t="shared" si="9"/>
        <v>14</v>
      </c>
      <c r="C67" s="16" t="s">
        <v>90</v>
      </c>
      <c r="D67" s="74">
        <v>22340</v>
      </c>
      <c r="E67" s="75">
        <v>4.9749999999999996</v>
      </c>
      <c r="F67" s="19" t="s">
        <v>22</v>
      </c>
      <c r="G67" s="20">
        <v>3</v>
      </c>
      <c r="H67" s="316"/>
      <c r="I67" s="316"/>
      <c r="J67" s="181">
        <f t="shared" si="7"/>
        <v>4.9749999999999996</v>
      </c>
      <c r="K67" s="16"/>
      <c r="L67" s="110">
        <v>4.9749999999999996</v>
      </c>
      <c r="M67" s="16"/>
      <c r="N67" s="335">
        <f t="shared" si="8"/>
        <v>1</v>
      </c>
      <c r="O67" s="34"/>
    </row>
    <row r="68" spans="2:15" ht="12.75" customHeight="1">
      <c r="E68" s="78">
        <f>SUM(E9:E11)+E14+E16+SUM(E17:E21)+SUM(E27:E35)+E38+E47+SUM(E54:E67)</f>
        <v>45329.614000000001</v>
      </c>
      <c r="F68" s="19"/>
      <c r="G68" s="19"/>
      <c r="H68" s="79">
        <f>SUM(H9:H21)</f>
        <v>15640.833999999999</v>
      </c>
      <c r="I68" s="79">
        <f>I50</f>
        <v>20828.767</v>
      </c>
      <c r="J68" s="79">
        <f>SUM(J54:J55,J56:J57,J58:J67,)</f>
        <v>8860.0130000000008</v>
      </c>
      <c r="K68" s="182"/>
      <c r="L68" s="44">
        <f>SUM(L54:L67)</f>
        <v>8546.2900000000009</v>
      </c>
      <c r="N68" s="45">
        <f t="shared" si="8"/>
        <v>0.96459113547576059</v>
      </c>
      <c r="O68" s="34"/>
    </row>
    <row r="69" spans="2:15">
      <c r="F69" s="19"/>
      <c r="G69" s="81" t="s">
        <v>91</v>
      </c>
      <c r="H69" s="82">
        <f>H68/I70</f>
        <v>0.3450467061113735</v>
      </c>
      <c r="I69" s="82">
        <f>I68/I70</f>
        <v>0.4594957945152589</v>
      </c>
      <c r="J69" s="82">
        <f>J68/I70</f>
        <v>0.19545749937336776</v>
      </c>
      <c r="L69" s="83"/>
    </row>
    <row r="70" spans="2:15">
      <c r="B70" s="247">
        <f>B31+B47+B67</f>
        <v>30</v>
      </c>
      <c r="C70" s="71" t="s">
        <v>163</v>
      </c>
      <c r="D70" s="71"/>
      <c r="E70" s="317"/>
      <c r="F70" s="19"/>
      <c r="G70" s="318"/>
      <c r="I70" s="84">
        <f>H68+I68+J68</f>
        <v>45329.613999999994</v>
      </c>
      <c r="L70" s="44">
        <f>L23+L50+L68</f>
        <v>42773.409999999996</v>
      </c>
      <c r="N70" s="45">
        <f>L70/I70</f>
        <v>0.94360852046964272</v>
      </c>
    </row>
    <row r="71" spans="2:15">
      <c r="B71" s="20"/>
      <c r="C71" s="71"/>
      <c r="D71" s="23"/>
      <c r="E71" s="317"/>
      <c r="F71" s="19"/>
      <c r="G71" s="19"/>
      <c r="I71" s="183"/>
      <c r="L71" s="80"/>
      <c r="M71" s="88"/>
      <c r="N71" s="319"/>
    </row>
    <row r="72" spans="2:15">
      <c r="B72" s="320"/>
      <c r="C72" s="320"/>
      <c r="D72" s="320"/>
      <c r="E72" s="322"/>
      <c r="F72" s="19"/>
      <c r="G72" s="323"/>
      <c r="I72" s="183"/>
    </row>
    <row r="73" spans="2:15">
      <c r="B73" s="324"/>
      <c r="C73" s="325"/>
      <c r="D73" s="325"/>
      <c r="E73" s="326"/>
      <c r="F73" s="19"/>
      <c r="G73" s="19"/>
      <c r="I73" s="183"/>
    </row>
    <row r="74" spans="2:15">
      <c r="B74" s="71"/>
      <c r="C74" s="327"/>
      <c r="I74" s="183"/>
      <c r="L74" s="91">
        <f>L23+L50+L68</f>
        <v>42773.409999999996</v>
      </c>
      <c r="M74" s="92" t="s">
        <v>174</v>
      </c>
      <c r="N74" s="93"/>
    </row>
    <row r="75" spans="2:15" ht="15" customHeight="1">
      <c r="B75" s="179"/>
      <c r="C75" s="358"/>
      <c r="L75" s="91">
        <f>I70-L70</f>
        <v>2556.2039999999979</v>
      </c>
      <c r="M75" s="92" t="s">
        <v>102</v>
      </c>
      <c r="N75" s="93"/>
    </row>
    <row r="76" spans="2:15">
      <c r="L76" s="96">
        <f>L75/SUM(L75+L74)</f>
        <v>5.6391479530357315E-2</v>
      </c>
      <c r="M76" s="92" t="s">
        <v>102</v>
      </c>
      <c r="N76" s="93"/>
    </row>
    <row r="77" spans="2:15">
      <c r="I77" s="80"/>
    </row>
  </sheetData>
  <phoneticPr fontId="0" type="noConversion"/>
  <printOptions horizontalCentered="1" verticalCentered="1" gridLines="1"/>
  <pageMargins left="0.2" right="0.2" top="0.75" bottom="0.75" header="0.5" footer="0.5"/>
  <pageSetup scale="51" orientation="landscape" r:id="rId1"/>
  <headerFooter alignWithMargins="0">
    <oddFooter>&amp;L&amp;F&amp;R&amp;T  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74"/>
  <sheetViews>
    <sheetView topLeftCell="H34" zoomScale="75" workbookViewId="0">
      <selection activeCell="N69" sqref="N69"/>
    </sheetView>
  </sheetViews>
  <sheetFormatPr defaultRowHeight="12.75"/>
  <cols>
    <col min="3" max="3" width="30.7109375" style="223" customWidth="1"/>
    <col min="4" max="11" width="13.7109375" customWidth="1"/>
    <col min="12" max="12" width="10.7109375" customWidth="1"/>
    <col min="14" max="14" width="9.42578125" customWidth="1"/>
    <col min="16" max="16" width="10.7109375" customWidth="1"/>
  </cols>
  <sheetData>
    <row r="3" spans="1:24" ht="20.25">
      <c r="B3" s="288"/>
      <c r="C3" s="289"/>
      <c r="D3" s="288"/>
      <c r="E3" s="1" t="s">
        <v>148</v>
      </c>
      <c r="F3" s="288"/>
      <c r="G3" s="288"/>
      <c r="H3" s="288"/>
      <c r="I3" s="288"/>
      <c r="K3" s="2"/>
      <c r="L3" s="3" t="s">
        <v>1</v>
      </c>
      <c r="M3" s="4"/>
      <c r="N3" s="3" t="s">
        <v>152</v>
      </c>
      <c r="O3" s="2"/>
    </row>
    <row r="5" spans="1:24">
      <c r="A5" s="5"/>
      <c r="B5" s="5"/>
      <c r="C5" s="29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4">
      <c r="L6" s="291"/>
      <c r="M6" s="291"/>
      <c r="N6" s="6" t="s">
        <v>2</v>
      </c>
      <c r="O6" s="7"/>
      <c r="P6" s="7"/>
      <c r="Q6" s="7"/>
      <c r="R6" s="7"/>
      <c r="S6" s="7"/>
    </row>
    <row r="7" spans="1:24">
      <c r="K7" s="189"/>
      <c r="L7" s="6" t="s">
        <v>4</v>
      </c>
      <c r="M7" s="8"/>
      <c r="N7" s="6" t="s">
        <v>5</v>
      </c>
      <c r="O7" s="9"/>
      <c r="P7" s="292"/>
      <c r="Q7" s="10" t="s">
        <v>3</v>
      </c>
      <c r="R7" s="292"/>
      <c r="S7" s="292"/>
    </row>
    <row r="8" spans="1:24" ht="15.75">
      <c r="C8" s="224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225"/>
      <c r="L8" s="13" t="s">
        <v>15</v>
      </c>
      <c r="M8" s="13"/>
      <c r="N8" s="13" t="s">
        <v>16</v>
      </c>
      <c r="O8" s="9"/>
      <c r="P8" s="14" t="s">
        <v>155</v>
      </c>
      <c r="Q8" s="293"/>
      <c r="R8" s="294"/>
      <c r="S8" s="295"/>
    </row>
    <row r="9" spans="1:24" ht="13.5" customHeight="1">
      <c r="B9" s="20">
        <f>1</f>
        <v>1</v>
      </c>
      <c r="C9" s="226" t="s">
        <v>46</v>
      </c>
      <c r="D9" s="23">
        <v>23613</v>
      </c>
      <c r="E9" s="46">
        <f>6009.08</f>
        <v>6009.08</v>
      </c>
      <c r="F9" s="19" t="s">
        <v>26</v>
      </c>
      <c r="G9" s="20">
        <v>1</v>
      </c>
      <c r="H9" s="227">
        <f t="shared" ref="H9:H19" si="0">IF(G9=1,E9,0)</f>
        <v>6009.08</v>
      </c>
      <c r="I9" s="227"/>
      <c r="J9" s="296"/>
      <c r="K9" s="22"/>
      <c r="L9" s="228">
        <v>2914</v>
      </c>
      <c r="M9" s="111"/>
      <c r="N9" s="230">
        <f t="shared" ref="N9:N19" si="1">L9/H9</f>
        <v>0.48493280169343728</v>
      </c>
      <c r="O9" s="93"/>
      <c r="R9" s="26" t="s">
        <v>12</v>
      </c>
      <c r="T9" s="171"/>
      <c r="X9" s="77"/>
    </row>
    <row r="10" spans="1:24" ht="13.5" customHeight="1">
      <c r="B10" s="20">
        <f>B9+1</f>
        <v>2</v>
      </c>
      <c r="C10" s="226" t="s">
        <v>21</v>
      </c>
      <c r="D10" s="23">
        <v>22319</v>
      </c>
      <c r="E10" s="18">
        <v>3500</v>
      </c>
      <c r="F10" s="19" t="s">
        <v>22</v>
      </c>
      <c r="G10" s="20">
        <v>1</v>
      </c>
      <c r="H10" s="227">
        <f t="shared" si="0"/>
        <v>3500</v>
      </c>
      <c r="I10" s="296"/>
      <c r="J10" s="296"/>
      <c r="K10" s="22"/>
      <c r="L10" s="228">
        <v>2524</v>
      </c>
      <c r="M10" s="192"/>
      <c r="N10" s="104">
        <f t="shared" si="1"/>
        <v>0.7211428571428572</v>
      </c>
      <c r="O10" s="229"/>
      <c r="P10" s="179" t="s">
        <v>19</v>
      </c>
      <c r="Q10" s="180" t="s">
        <v>20</v>
      </c>
      <c r="R10" s="297"/>
      <c r="S10" s="298"/>
      <c r="T10" s="109"/>
      <c r="U10" s="77"/>
    </row>
    <row r="11" spans="1:24" ht="13.5" customHeight="1">
      <c r="B11" s="20">
        <f>B10+1</f>
        <v>3</v>
      </c>
      <c r="C11" s="223" t="s">
        <v>17</v>
      </c>
      <c r="D11" s="23">
        <v>105153</v>
      </c>
      <c r="E11" s="72">
        <v>3874.8220000000001</v>
      </c>
      <c r="F11" s="19" t="s">
        <v>18</v>
      </c>
      <c r="G11" s="20">
        <v>1</v>
      </c>
      <c r="H11" s="227">
        <f t="shared" si="0"/>
        <v>3874.8220000000001</v>
      </c>
      <c r="I11" s="227"/>
      <c r="J11" s="101"/>
      <c r="K11" s="190"/>
      <c r="L11" s="228">
        <v>2066</v>
      </c>
      <c r="M11" s="111"/>
      <c r="N11" s="104">
        <f>L11/H11</f>
        <v>0.53318578246949144</v>
      </c>
      <c r="O11" s="93"/>
      <c r="P11" s="231" t="s">
        <v>23</v>
      </c>
      <c r="Q11" s="232" t="s">
        <v>24</v>
      </c>
      <c r="R11" s="299"/>
      <c r="S11" s="299"/>
      <c r="T11" s="107"/>
      <c r="U11" s="77"/>
      <c r="V11" s="191">
        <f>83.5 - (83.5-33.5)*(0.5)</f>
        <v>58.5</v>
      </c>
      <c r="X11" s="77"/>
    </row>
    <row r="12" spans="1:24" ht="13.5" customHeight="1">
      <c r="B12" s="20">
        <f>B11+1</f>
        <v>4</v>
      </c>
      <c r="C12" s="226" t="s">
        <v>25</v>
      </c>
      <c r="D12" s="23">
        <v>22298</v>
      </c>
      <c r="E12" s="18">
        <v>2747.5329999999999</v>
      </c>
      <c r="F12" s="19" t="s">
        <v>26</v>
      </c>
      <c r="G12" s="20">
        <v>1</v>
      </c>
      <c r="H12" s="227">
        <f t="shared" si="0"/>
        <v>2747.5329999999999</v>
      </c>
      <c r="I12" s="296"/>
      <c r="J12" s="296"/>
      <c r="K12" s="22"/>
      <c r="L12" s="228">
        <v>1705</v>
      </c>
      <c r="M12" s="106"/>
      <c r="N12" s="104">
        <f t="shared" si="1"/>
        <v>0.62055669577035111</v>
      </c>
      <c r="O12" s="233"/>
      <c r="P12" s="20" t="s">
        <v>27</v>
      </c>
      <c r="Q12" s="35" t="s">
        <v>28</v>
      </c>
      <c r="R12" s="35"/>
      <c r="S12" s="300"/>
      <c r="T12" s="77"/>
      <c r="U12" s="77"/>
      <c r="X12" s="77"/>
    </row>
    <row r="13" spans="1:24" ht="13.5" customHeight="1">
      <c r="B13" s="234">
        <f>1</f>
        <v>1</v>
      </c>
      <c r="C13" s="235" t="s">
        <v>156</v>
      </c>
      <c r="D13" s="202">
        <v>102831</v>
      </c>
      <c r="E13" s="203">
        <v>2438.4319999999998</v>
      </c>
      <c r="F13" s="204" t="s">
        <v>26</v>
      </c>
      <c r="G13" s="112">
        <v>1</v>
      </c>
      <c r="H13" s="236">
        <f t="shared" si="0"/>
        <v>2438.4319999999998</v>
      </c>
      <c r="I13" s="205" t="s">
        <v>50</v>
      </c>
      <c r="J13" s="301"/>
      <c r="K13" s="237"/>
      <c r="L13" s="238">
        <v>0</v>
      </c>
      <c r="M13" s="207"/>
      <c r="N13" s="208">
        <f>L13/H13</f>
        <v>0</v>
      </c>
      <c r="O13" s="239"/>
      <c r="P13" s="28" t="s">
        <v>30</v>
      </c>
      <c r="Q13" s="29" t="s">
        <v>31</v>
      </c>
      <c r="R13" s="37"/>
      <c r="S13" s="77"/>
      <c r="T13" s="77"/>
      <c r="U13" s="77"/>
      <c r="V13" s="191">
        <f>100 - (100-83.5)*(22/31)</f>
        <v>88.290322580645153</v>
      </c>
      <c r="X13" s="77"/>
    </row>
    <row r="14" spans="1:24" ht="13.5" customHeight="1">
      <c r="A14" s="195" t="s">
        <v>39</v>
      </c>
      <c r="B14" s="209">
        <f>B12+1</f>
        <v>5</v>
      </c>
      <c r="C14" s="240" t="s">
        <v>40</v>
      </c>
      <c r="D14" s="196">
        <v>106706</v>
      </c>
      <c r="E14" s="197">
        <v>2438.4319999999998</v>
      </c>
      <c r="F14" s="19" t="s">
        <v>38</v>
      </c>
      <c r="G14" s="20">
        <v>1</v>
      </c>
      <c r="H14" s="227">
        <f t="shared" si="0"/>
        <v>2438.4319999999998</v>
      </c>
      <c r="I14" s="227"/>
      <c r="J14" s="296"/>
      <c r="K14" s="22"/>
      <c r="L14" s="228">
        <v>1736</v>
      </c>
      <c r="M14" s="16"/>
      <c r="N14" s="241">
        <f>L14/H14</f>
        <v>0.71193291426621708</v>
      </c>
      <c r="O14" s="239"/>
      <c r="P14" s="28" t="s">
        <v>33</v>
      </c>
      <c r="Q14" s="29" t="s">
        <v>34</v>
      </c>
      <c r="R14" s="37"/>
      <c r="S14" s="77"/>
      <c r="V14" s="193"/>
      <c r="X14" s="77"/>
    </row>
    <row r="15" spans="1:24" ht="13.5" customHeight="1">
      <c r="B15" s="209">
        <f>B14+1</f>
        <v>6</v>
      </c>
      <c r="C15" s="226" t="s">
        <v>29</v>
      </c>
      <c r="D15" s="23">
        <v>102817</v>
      </c>
      <c r="E15" s="30">
        <v>2000</v>
      </c>
      <c r="F15" s="19" t="s">
        <v>26</v>
      </c>
      <c r="G15" s="20">
        <v>1</v>
      </c>
      <c r="H15" s="227">
        <f t="shared" si="0"/>
        <v>2000</v>
      </c>
      <c r="I15" s="227"/>
      <c r="J15" s="296"/>
      <c r="K15" s="22"/>
      <c r="L15" s="228">
        <v>1430.5</v>
      </c>
      <c r="M15" s="16"/>
      <c r="N15" s="129">
        <f>L15/H15</f>
        <v>0.71525000000000005</v>
      </c>
      <c r="O15" s="239"/>
      <c r="P15" s="28" t="s">
        <v>35</v>
      </c>
      <c r="Q15" s="29" t="s">
        <v>36</v>
      </c>
      <c r="T15" s="109"/>
      <c r="U15" s="77"/>
      <c r="V15" s="191">
        <f>74 - (74-33.5)*(22/31)</f>
        <v>45.258064516129032</v>
      </c>
    </row>
    <row r="16" spans="1:24" ht="13.5" customHeight="1">
      <c r="B16" s="20">
        <f>B15+1</f>
        <v>7</v>
      </c>
      <c r="C16" s="223" t="s">
        <v>32</v>
      </c>
      <c r="D16" s="23">
        <v>23281</v>
      </c>
      <c r="E16" s="30">
        <v>1000</v>
      </c>
      <c r="F16" s="19" t="s">
        <v>18</v>
      </c>
      <c r="G16" s="20">
        <v>1</v>
      </c>
      <c r="H16" s="227">
        <f t="shared" si="0"/>
        <v>1000</v>
      </c>
      <c r="I16" s="296"/>
      <c r="J16" s="296"/>
      <c r="K16" s="190"/>
      <c r="L16" s="228">
        <v>184</v>
      </c>
      <c r="M16" s="106"/>
      <c r="N16" s="242">
        <f t="shared" si="1"/>
        <v>0.184</v>
      </c>
      <c r="O16" s="243"/>
      <c r="P16" s="179"/>
      <c r="Q16" s="180"/>
      <c r="R16" s="77"/>
      <c r="S16" s="77"/>
      <c r="T16" s="109"/>
      <c r="U16" s="77"/>
      <c r="V16" s="302"/>
      <c r="X16" s="77"/>
    </row>
    <row r="17" spans="1:24" ht="13.5" customHeight="1">
      <c r="B17" s="20">
        <f>B16+1</f>
        <v>8</v>
      </c>
      <c r="C17" s="244" t="s">
        <v>157</v>
      </c>
      <c r="D17" s="23">
        <v>22305</v>
      </c>
      <c r="E17" s="18">
        <v>1000</v>
      </c>
      <c r="F17" s="19" t="s">
        <v>22</v>
      </c>
      <c r="G17" s="20">
        <v>1</v>
      </c>
      <c r="H17" s="227">
        <f t="shared" si="0"/>
        <v>1000</v>
      </c>
      <c r="J17" s="296"/>
      <c r="K17" s="190"/>
      <c r="L17" s="228">
        <v>876.5</v>
      </c>
      <c r="M17" s="106"/>
      <c r="N17" s="273">
        <f t="shared" si="1"/>
        <v>0.87649999999999995</v>
      </c>
      <c r="O17" s="243"/>
      <c r="W17" s="77"/>
      <c r="X17" s="77"/>
    </row>
    <row r="18" spans="1:24" ht="13.5" customHeight="1">
      <c r="B18" s="20">
        <f>B17+1</f>
        <v>9</v>
      </c>
      <c r="C18" s="245" t="s">
        <v>153</v>
      </c>
      <c r="D18" s="23">
        <v>23282</v>
      </c>
      <c r="E18" s="30">
        <v>500</v>
      </c>
      <c r="F18" s="19" t="s">
        <v>18</v>
      </c>
      <c r="G18" s="20">
        <v>1</v>
      </c>
      <c r="H18" s="227">
        <f t="shared" si="0"/>
        <v>500</v>
      </c>
      <c r="I18" s="296"/>
      <c r="J18" s="296"/>
      <c r="K18" s="22"/>
      <c r="L18" s="246">
        <v>237.5</v>
      </c>
      <c r="M18" s="111"/>
      <c r="N18" s="230">
        <f t="shared" si="1"/>
        <v>0.47499999999999998</v>
      </c>
      <c r="O18" s="243"/>
      <c r="P18" s="179"/>
      <c r="Q18" s="180"/>
      <c r="R18" s="303"/>
      <c r="S18" s="77"/>
      <c r="T18" s="109"/>
      <c r="U18" s="77"/>
      <c r="V18" s="304"/>
      <c r="W18" s="77"/>
      <c r="X18" s="77"/>
    </row>
    <row r="19" spans="1:24" ht="13.5" customHeight="1">
      <c r="B19" s="247">
        <f>B18+1</f>
        <v>10</v>
      </c>
      <c r="C19" s="226" t="s">
        <v>37</v>
      </c>
      <c r="D19" s="23">
        <v>22307</v>
      </c>
      <c r="E19" s="18">
        <v>267.54700000000003</v>
      </c>
      <c r="F19" s="19" t="s">
        <v>38</v>
      </c>
      <c r="G19" s="20">
        <v>1</v>
      </c>
      <c r="H19" s="227">
        <f t="shared" si="0"/>
        <v>267.54700000000003</v>
      </c>
      <c r="I19" s="296"/>
      <c r="J19" s="296"/>
      <c r="K19" s="22"/>
      <c r="L19" s="246">
        <v>199</v>
      </c>
      <c r="M19" s="111"/>
      <c r="N19" s="104">
        <f t="shared" si="1"/>
        <v>0.7437945482475975</v>
      </c>
      <c r="O19" s="93"/>
      <c r="P19" s="179"/>
      <c r="Q19" s="180"/>
      <c r="R19" s="303"/>
      <c r="S19" s="77"/>
      <c r="T19" s="77"/>
      <c r="U19" s="77"/>
      <c r="V19" s="77"/>
      <c r="W19" s="77"/>
      <c r="X19" s="77"/>
    </row>
    <row r="20" spans="1:24" ht="13.5" customHeight="1">
      <c r="G20" s="41" t="s">
        <v>43</v>
      </c>
      <c r="H20" s="16"/>
      <c r="I20" s="16"/>
      <c r="J20" s="16"/>
      <c r="K20" s="248"/>
      <c r="L20" s="16"/>
      <c r="M20" s="16"/>
      <c r="N20" s="16"/>
      <c r="O20" s="93"/>
      <c r="P20" s="77"/>
      <c r="Q20" s="77"/>
      <c r="R20" s="77"/>
      <c r="S20" s="77"/>
      <c r="T20" s="77"/>
      <c r="U20" s="77"/>
      <c r="V20" s="304"/>
      <c r="W20" s="77"/>
      <c r="X20" s="77"/>
    </row>
    <row r="21" spans="1:24" ht="13.5" customHeight="1">
      <c r="E21" s="39"/>
      <c r="F21" s="19"/>
      <c r="G21" s="19"/>
      <c r="H21" s="199">
        <f>SUM(H9:H19)-H13</f>
        <v>23337.413999999997</v>
      </c>
      <c r="I21" s="43"/>
      <c r="J21" s="43"/>
      <c r="K21" s="190"/>
      <c r="L21" s="213">
        <f>SUM(L9:L19)-L13</f>
        <v>13872.5</v>
      </c>
      <c r="M21" s="37"/>
      <c r="N21" s="45">
        <f>L21/H65</f>
        <v>0.59443175666335613</v>
      </c>
      <c r="O21" s="34"/>
      <c r="P21" s="77"/>
      <c r="Q21" s="77"/>
      <c r="R21" s="77"/>
      <c r="S21" s="77"/>
      <c r="T21" s="77"/>
      <c r="U21" s="77"/>
      <c r="V21" s="77"/>
      <c r="W21" s="77"/>
      <c r="X21" s="77"/>
    </row>
    <row r="22" spans="1:24">
      <c r="A22" s="5"/>
      <c r="B22" s="5"/>
      <c r="C22" s="290"/>
      <c r="D22" s="5"/>
      <c r="E22" s="305"/>
      <c r="F22" s="306"/>
      <c r="G22" s="306"/>
      <c r="H22" s="307"/>
      <c r="I22" s="307"/>
      <c r="J22" s="307"/>
      <c r="K22" s="306"/>
      <c r="L22" s="308"/>
      <c r="M22" s="308"/>
      <c r="N22" s="308"/>
      <c r="O22" s="5"/>
      <c r="P22" s="309"/>
      <c r="Q22" s="309"/>
      <c r="R22" s="309"/>
      <c r="S22" s="309"/>
      <c r="T22" s="77"/>
      <c r="U22" s="77"/>
      <c r="V22" s="77"/>
      <c r="W22" s="77"/>
      <c r="X22" s="77"/>
    </row>
    <row r="23" spans="1:24" ht="13.5" customHeight="1">
      <c r="E23" s="39"/>
      <c r="F23" s="19"/>
      <c r="G23" s="19"/>
      <c r="H23" s="43"/>
      <c r="I23" s="43"/>
      <c r="J23" s="43"/>
      <c r="K23" s="19"/>
      <c r="L23" s="37"/>
      <c r="M23" s="37"/>
      <c r="N23" s="37"/>
      <c r="R23" s="26" t="s">
        <v>13</v>
      </c>
      <c r="S23" s="77"/>
      <c r="T23" s="105"/>
      <c r="U23" s="77"/>
      <c r="V23" s="77"/>
      <c r="W23" s="77"/>
      <c r="X23" s="77"/>
    </row>
    <row r="24" spans="1:24" ht="13.5" customHeight="1">
      <c r="B24" s="20">
        <f>1</f>
        <v>1</v>
      </c>
      <c r="C24" s="226" t="s">
        <v>44</v>
      </c>
      <c r="D24" s="23">
        <v>22337</v>
      </c>
      <c r="E24" s="18">
        <f>6400+75</f>
        <v>6475</v>
      </c>
      <c r="F24" s="19" t="s">
        <v>38</v>
      </c>
      <c r="G24" s="20">
        <v>4</v>
      </c>
      <c r="H24" s="33"/>
      <c r="I24" s="227">
        <f t="shared" ref="I24:I30" si="2">IF(G24=4,E24,0)</f>
        <v>6475</v>
      </c>
      <c r="J24" s="296"/>
      <c r="K24" s="190"/>
      <c r="L24" s="228">
        <v>4210.6000000000004</v>
      </c>
      <c r="M24" s="111"/>
      <c r="N24" s="175">
        <f t="shared" ref="N24:N46" si="3">L24/I24</f>
        <v>0.65028571428571436</v>
      </c>
      <c r="O24" s="239"/>
      <c r="P24" s="179" t="s">
        <v>19</v>
      </c>
      <c r="Q24" s="287" t="s">
        <v>45</v>
      </c>
      <c r="R24" s="88"/>
      <c r="S24" s="77"/>
      <c r="T24" s="107"/>
      <c r="U24" s="77"/>
      <c r="V24" s="77"/>
      <c r="W24" s="77"/>
      <c r="X24" s="77"/>
    </row>
    <row r="25" spans="1:24" ht="13.5" customHeight="1">
      <c r="B25" s="20">
        <f t="shared" ref="B25:B30" si="4">B24+1</f>
        <v>2</v>
      </c>
      <c r="C25" s="250" t="s">
        <v>158</v>
      </c>
      <c r="D25" s="23">
        <v>102835</v>
      </c>
      <c r="E25" s="72">
        <v>3000</v>
      </c>
      <c r="F25" s="19" t="s">
        <v>18</v>
      </c>
      <c r="G25" s="20">
        <v>4</v>
      </c>
      <c r="H25" s="33"/>
      <c r="I25" s="227">
        <f t="shared" si="2"/>
        <v>3000</v>
      </c>
      <c r="J25" s="101"/>
      <c r="K25" s="22"/>
      <c r="L25" s="228">
        <v>1915</v>
      </c>
      <c r="M25" s="111"/>
      <c r="N25" s="104">
        <f t="shared" si="3"/>
        <v>0.63833333333333331</v>
      </c>
      <c r="O25" s="93"/>
      <c r="P25" s="231" t="s">
        <v>23</v>
      </c>
      <c r="Q25" s="249" t="s">
        <v>45</v>
      </c>
      <c r="R25" s="310"/>
      <c r="S25" s="299"/>
      <c r="T25" s="109"/>
      <c r="U25" s="77"/>
      <c r="V25" s="77"/>
      <c r="W25" s="77"/>
      <c r="X25" s="77"/>
    </row>
    <row r="26" spans="1:24" ht="13.5" customHeight="1">
      <c r="B26" s="20">
        <f t="shared" si="4"/>
        <v>3</v>
      </c>
      <c r="C26" s="226" t="s">
        <v>53</v>
      </c>
      <c r="D26" s="23">
        <v>23544</v>
      </c>
      <c r="E26" s="18">
        <v>1250</v>
      </c>
      <c r="F26" s="19" t="s">
        <v>38</v>
      </c>
      <c r="G26" s="20">
        <v>4</v>
      </c>
      <c r="H26" s="33"/>
      <c r="I26" s="227">
        <f>IF(G26=4,E26,0)</f>
        <v>1250</v>
      </c>
      <c r="J26" s="296"/>
      <c r="K26" s="22"/>
      <c r="L26" s="228">
        <v>959.5</v>
      </c>
      <c r="M26" s="128"/>
      <c r="N26" s="230">
        <f t="shared" si="3"/>
        <v>0.76759999999999995</v>
      </c>
      <c r="O26" s="239"/>
      <c r="P26" s="28" t="s">
        <v>27</v>
      </c>
      <c r="Q26" s="47" t="s">
        <v>48</v>
      </c>
      <c r="S26" s="77"/>
      <c r="T26" s="109"/>
    </row>
    <row r="27" spans="1:24" ht="13.5" customHeight="1">
      <c r="B27" s="20">
        <f t="shared" si="4"/>
        <v>4</v>
      </c>
      <c r="C27" s="223" t="s">
        <v>159</v>
      </c>
      <c r="D27" s="19">
        <v>103938</v>
      </c>
      <c r="E27" s="18">
        <v>1000</v>
      </c>
      <c r="F27" s="19" t="s">
        <v>55</v>
      </c>
      <c r="G27" s="20">
        <v>4</v>
      </c>
      <c r="I27" s="227">
        <f t="shared" si="2"/>
        <v>1000</v>
      </c>
      <c r="K27" s="190"/>
      <c r="L27" s="251">
        <v>748.9</v>
      </c>
      <c r="N27" s="104">
        <f t="shared" si="3"/>
        <v>0.74890000000000001</v>
      </c>
      <c r="O27" s="239"/>
      <c r="P27" s="28" t="s">
        <v>30</v>
      </c>
      <c r="Q27" s="29" t="s">
        <v>51</v>
      </c>
      <c r="S27" s="77"/>
    </row>
    <row r="28" spans="1:24" ht="13.5" customHeight="1">
      <c r="B28" s="20">
        <f t="shared" si="4"/>
        <v>5</v>
      </c>
      <c r="C28" s="226" t="s">
        <v>40</v>
      </c>
      <c r="D28" s="23">
        <v>22334</v>
      </c>
      <c r="E28" s="18">
        <v>562.5</v>
      </c>
      <c r="F28" s="19" t="s">
        <v>38</v>
      </c>
      <c r="G28" s="20">
        <v>4</v>
      </c>
      <c r="H28" s="33"/>
      <c r="I28" s="227">
        <f t="shared" si="2"/>
        <v>562.5</v>
      </c>
      <c r="J28" s="296"/>
      <c r="K28" s="190"/>
      <c r="L28" s="228">
        <v>287</v>
      </c>
      <c r="M28" s="111"/>
      <c r="N28" s="104">
        <f>L28/I28</f>
        <v>0.51022222222222224</v>
      </c>
      <c r="O28" s="93"/>
      <c r="P28" s="28" t="s">
        <v>33</v>
      </c>
      <c r="Q28" s="29" t="s">
        <v>34</v>
      </c>
      <c r="S28" s="77"/>
    </row>
    <row r="29" spans="1:24" ht="13.5" customHeight="1">
      <c r="B29" s="131">
        <f t="shared" si="4"/>
        <v>6</v>
      </c>
      <c r="C29" s="252" t="s">
        <v>56</v>
      </c>
      <c r="D29" s="253">
        <v>103665</v>
      </c>
      <c r="E29" s="254">
        <f>620.91-75</f>
        <v>545.91</v>
      </c>
      <c r="F29" s="255" t="s">
        <v>38</v>
      </c>
      <c r="G29" s="136">
        <v>4</v>
      </c>
      <c r="H29" s="137"/>
      <c r="I29" s="256">
        <f t="shared" si="2"/>
        <v>545.91</v>
      </c>
      <c r="J29" s="137"/>
      <c r="K29" s="190"/>
      <c r="L29" s="257">
        <v>297.5</v>
      </c>
      <c r="M29" s="140"/>
      <c r="N29" s="104">
        <f>L29/I29</f>
        <v>0.54496162371086809</v>
      </c>
      <c r="O29" s="239"/>
      <c r="P29" s="28" t="s">
        <v>35</v>
      </c>
      <c r="Q29" s="29" t="s">
        <v>36</v>
      </c>
    </row>
    <row r="30" spans="1:24" ht="13.5" customHeight="1">
      <c r="B30" s="20">
        <f t="shared" si="4"/>
        <v>7</v>
      </c>
      <c r="C30" s="226" t="s">
        <v>57</v>
      </c>
      <c r="D30" s="23">
        <v>22312</v>
      </c>
      <c r="E30" s="18">
        <f>136+114</f>
        <v>250</v>
      </c>
      <c r="F30" s="19" t="s">
        <v>26</v>
      </c>
      <c r="G30" s="20">
        <v>4</v>
      </c>
      <c r="H30" s="33"/>
      <c r="I30" s="227">
        <f t="shared" si="2"/>
        <v>250</v>
      </c>
      <c r="J30" s="296"/>
      <c r="K30" s="22"/>
      <c r="L30" s="228">
        <v>186.2</v>
      </c>
      <c r="M30" s="211"/>
      <c r="N30" s="104">
        <f>L30/I30</f>
        <v>0.74479999999999991</v>
      </c>
      <c r="O30" s="239"/>
      <c r="P30" s="28"/>
      <c r="Q30" s="29"/>
    </row>
    <row r="31" spans="1:24" ht="13.5" customHeight="1">
      <c r="B31" s="142">
        <f>1</f>
        <v>1</v>
      </c>
      <c r="C31" s="258" t="s">
        <v>58</v>
      </c>
      <c r="D31" s="144">
        <v>22309</v>
      </c>
      <c r="E31" s="145">
        <v>202.51</v>
      </c>
      <c r="F31" s="146" t="s">
        <v>38</v>
      </c>
      <c r="G31" s="147">
        <v>4</v>
      </c>
      <c r="H31" s="148"/>
      <c r="I31" s="259">
        <v>0</v>
      </c>
      <c r="J31" s="148"/>
      <c r="K31" s="144"/>
      <c r="L31" s="260">
        <v>0</v>
      </c>
      <c r="M31" s="150"/>
      <c r="N31" s="311" t="e">
        <f>L31/I31</f>
        <v>#DIV/0!</v>
      </c>
      <c r="O31" s="239"/>
    </row>
    <row r="32" spans="1:24" ht="13.5" customHeight="1">
      <c r="B32" s="142">
        <f>B31+1</f>
        <v>2</v>
      </c>
      <c r="C32" s="261" t="s">
        <v>60</v>
      </c>
      <c r="D32" s="144">
        <v>22315</v>
      </c>
      <c r="E32" s="145">
        <v>79.448999999999998</v>
      </c>
      <c r="F32" s="146" t="s">
        <v>38</v>
      </c>
      <c r="G32" s="147">
        <v>4</v>
      </c>
      <c r="H32" s="148"/>
      <c r="I32" s="259">
        <v>0</v>
      </c>
      <c r="J32" s="148"/>
      <c r="K32" s="144"/>
      <c r="L32" s="260">
        <v>0</v>
      </c>
      <c r="M32" s="160"/>
      <c r="N32" s="312" t="e">
        <f t="shared" si="3"/>
        <v>#DIV/0!</v>
      </c>
      <c r="O32" s="239"/>
    </row>
    <row r="33" spans="1:23" ht="13.5" customHeight="1">
      <c r="B33" s="262">
        <f>B13+1</f>
        <v>2</v>
      </c>
      <c r="C33" s="263" t="s">
        <v>160</v>
      </c>
      <c r="D33" s="237">
        <v>22322</v>
      </c>
      <c r="E33" s="264">
        <v>75</v>
      </c>
      <c r="F33" s="265" t="s">
        <v>38</v>
      </c>
      <c r="G33" s="266">
        <v>4</v>
      </c>
      <c r="H33" s="267" t="s">
        <v>50</v>
      </c>
      <c r="I33" s="268">
        <f>IF(G33=4,E33,0)</f>
        <v>75</v>
      </c>
      <c r="J33" s="313"/>
      <c r="K33" s="248"/>
      <c r="L33" s="269">
        <v>0</v>
      </c>
      <c r="M33" s="270"/>
      <c r="N33" s="208">
        <f t="shared" si="3"/>
        <v>0</v>
      </c>
      <c r="O33" s="239"/>
    </row>
    <row r="34" spans="1:23" ht="13.5" customHeight="1">
      <c r="B34" s="20">
        <f>B30+1</f>
        <v>8</v>
      </c>
      <c r="C34" s="226" t="s">
        <v>62</v>
      </c>
      <c r="D34" s="19">
        <v>22344</v>
      </c>
      <c r="E34" s="18">
        <v>50</v>
      </c>
      <c r="F34" s="19" t="s">
        <v>22</v>
      </c>
      <c r="G34" s="20">
        <v>4</v>
      </c>
      <c r="H34" s="33"/>
      <c r="I34" s="227">
        <f>IF(G34=4,E34,0)</f>
        <v>50</v>
      </c>
      <c r="J34" s="296"/>
      <c r="K34" s="22"/>
      <c r="L34" s="246">
        <v>23.1</v>
      </c>
      <c r="M34" s="16"/>
      <c r="N34" s="271">
        <f t="shared" si="3"/>
        <v>0.46200000000000002</v>
      </c>
      <c r="O34" s="93"/>
    </row>
    <row r="35" spans="1:23" ht="13.5" customHeight="1">
      <c r="B35" s="142">
        <f>B32+1</f>
        <v>3</v>
      </c>
      <c r="C35" s="258" t="s">
        <v>63</v>
      </c>
      <c r="D35" s="144">
        <v>22311</v>
      </c>
      <c r="E35" s="145">
        <v>45</v>
      </c>
      <c r="F35" s="146" t="s">
        <v>22</v>
      </c>
      <c r="G35" s="147">
        <v>4</v>
      </c>
      <c r="H35" s="148"/>
      <c r="I35" s="259">
        <v>0</v>
      </c>
      <c r="J35" s="148"/>
      <c r="K35" s="144"/>
      <c r="L35" s="260">
        <v>0</v>
      </c>
      <c r="M35" s="143"/>
      <c r="N35" s="311" t="e">
        <f t="shared" si="3"/>
        <v>#DIV/0!</v>
      </c>
      <c r="O35" s="239"/>
    </row>
    <row r="36" spans="1:23" ht="13.5" customHeight="1">
      <c r="B36" s="142">
        <f t="shared" ref="B36:B46" si="5">B35+1</f>
        <v>4</v>
      </c>
      <c r="C36" s="258" t="s">
        <v>64</v>
      </c>
      <c r="D36" s="144">
        <v>22323</v>
      </c>
      <c r="E36" s="145">
        <v>45</v>
      </c>
      <c r="F36" s="146" t="s">
        <v>22</v>
      </c>
      <c r="G36" s="147">
        <v>4</v>
      </c>
      <c r="H36" s="148"/>
      <c r="I36" s="259">
        <v>0</v>
      </c>
      <c r="J36" s="148"/>
      <c r="K36" s="144"/>
      <c r="L36" s="260">
        <v>0</v>
      </c>
      <c r="M36" s="162"/>
      <c r="N36" s="311" t="e">
        <f t="shared" si="3"/>
        <v>#DIV/0!</v>
      </c>
      <c r="O36" s="239"/>
    </row>
    <row r="37" spans="1:23" ht="13.5" customHeight="1">
      <c r="B37" s="142">
        <f t="shared" si="5"/>
        <v>5</v>
      </c>
      <c r="C37" s="258" t="s">
        <v>65</v>
      </c>
      <c r="D37" s="144">
        <v>105214</v>
      </c>
      <c r="E37" s="145">
        <v>35.551000000000002</v>
      </c>
      <c r="F37" s="146" t="s">
        <v>22</v>
      </c>
      <c r="G37" s="147">
        <v>4</v>
      </c>
      <c r="H37" s="148"/>
      <c r="I37" s="259">
        <v>0</v>
      </c>
      <c r="J37" s="148"/>
      <c r="K37" s="144"/>
      <c r="L37" s="260">
        <v>0</v>
      </c>
      <c r="M37" s="162"/>
      <c r="N37" s="311" t="e">
        <f>L37/I37</f>
        <v>#DIV/0!</v>
      </c>
      <c r="O37" s="93"/>
    </row>
    <row r="38" spans="1:23" ht="13.5" customHeight="1">
      <c r="B38" s="142">
        <f t="shared" si="5"/>
        <v>6</v>
      </c>
      <c r="C38" s="258" t="s">
        <v>66</v>
      </c>
      <c r="D38" s="144">
        <v>22303</v>
      </c>
      <c r="E38" s="145">
        <v>32.4</v>
      </c>
      <c r="F38" s="146" t="s">
        <v>38</v>
      </c>
      <c r="G38" s="147">
        <v>4</v>
      </c>
      <c r="H38" s="148"/>
      <c r="I38" s="259">
        <v>0</v>
      </c>
      <c r="J38" s="148"/>
      <c r="K38" s="144"/>
      <c r="L38" s="260">
        <v>0</v>
      </c>
      <c r="M38" s="143"/>
      <c r="N38" s="311" t="e">
        <f t="shared" si="3"/>
        <v>#DIV/0!</v>
      </c>
      <c r="O38" s="93"/>
      <c r="U38" s="77"/>
    </row>
    <row r="39" spans="1:23" ht="13.5" customHeight="1">
      <c r="B39" s="142">
        <f t="shared" si="5"/>
        <v>7</v>
      </c>
      <c r="C39" s="258" t="s">
        <v>67</v>
      </c>
      <c r="D39" s="144">
        <v>22328</v>
      </c>
      <c r="E39" s="145">
        <v>25</v>
      </c>
      <c r="F39" s="146" t="s">
        <v>22</v>
      </c>
      <c r="G39" s="147">
        <v>4</v>
      </c>
      <c r="H39" s="148"/>
      <c r="I39" s="259">
        <v>0</v>
      </c>
      <c r="J39" s="148"/>
      <c r="K39" s="144"/>
      <c r="L39" s="272">
        <v>0</v>
      </c>
      <c r="M39" s="143"/>
      <c r="N39" s="311" t="e">
        <f t="shared" si="3"/>
        <v>#DIV/0!</v>
      </c>
      <c r="O39" s="93"/>
      <c r="Q39" s="37"/>
      <c r="R39" s="37"/>
      <c r="S39" s="179"/>
      <c r="T39" s="180"/>
      <c r="U39" s="297"/>
    </row>
    <row r="40" spans="1:23" ht="13.5" customHeight="1">
      <c r="B40" s="142">
        <f t="shared" si="5"/>
        <v>8</v>
      </c>
      <c r="C40" s="258" t="s">
        <v>68</v>
      </c>
      <c r="D40" s="144">
        <v>22302</v>
      </c>
      <c r="E40" s="145">
        <v>18</v>
      </c>
      <c r="F40" s="146" t="s">
        <v>38</v>
      </c>
      <c r="G40" s="147">
        <v>4</v>
      </c>
      <c r="H40" s="148"/>
      <c r="I40" s="259">
        <v>0</v>
      </c>
      <c r="J40" s="148"/>
      <c r="K40" s="144"/>
      <c r="L40" s="260">
        <v>0</v>
      </c>
      <c r="M40" s="144"/>
      <c r="N40" s="311" t="e">
        <f t="shared" si="3"/>
        <v>#DIV/0!</v>
      </c>
      <c r="O40" s="93"/>
      <c r="Q40" s="37"/>
      <c r="R40" s="37"/>
      <c r="S40" s="179"/>
      <c r="T40" s="180"/>
      <c r="U40" s="297"/>
      <c r="V40" s="298"/>
      <c r="W40" s="107"/>
    </row>
    <row r="41" spans="1:23" ht="13.5" customHeight="1">
      <c r="B41" s="142">
        <f t="shared" si="5"/>
        <v>9</v>
      </c>
      <c r="C41" s="258" t="s">
        <v>69</v>
      </c>
      <c r="D41" s="144">
        <v>22332</v>
      </c>
      <c r="E41" s="145">
        <v>15</v>
      </c>
      <c r="F41" s="146" t="s">
        <v>38</v>
      </c>
      <c r="G41" s="147">
        <v>4</v>
      </c>
      <c r="H41" s="148"/>
      <c r="I41" s="259">
        <v>0</v>
      </c>
      <c r="J41" s="148"/>
      <c r="K41" s="144"/>
      <c r="L41" s="260">
        <v>0</v>
      </c>
      <c r="M41" s="166"/>
      <c r="N41" s="311" t="e">
        <f t="shared" si="3"/>
        <v>#DIV/0!</v>
      </c>
      <c r="O41" s="239"/>
      <c r="S41" s="77"/>
      <c r="T41" s="77"/>
      <c r="U41" s="77"/>
      <c r="V41" s="77"/>
      <c r="W41" s="77"/>
    </row>
    <row r="42" spans="1:23" ht="13.5" customHeight="1">
      <c r="B42" s="142">
        <f t="shared" si="5"/>
        <v>10</v>
      </c>
      <c r="C42" s="258" t="s">
        <v>70</v>
      </c>
      <c r="D42" s="144">
        <v>22368</v>
      </c>
      <c r="E42" s="145">
        <v>15</v>
      </c>
      <c r="F42" s="146" t="s">
        <v>26</v>
      </c>
      <c r="G42" s="147">
        <v>4</v>
      </c>
      <c r="H42" s="148"/>
      <c r="I42" s="259">
        <v>0</v>
      </c>
      <c r="J42" s="148"/>
      <c r="K42" s="144"/>
      <c r="L42" s="260">
        <v>0</v>
      </c>
      <c r="M42" s="166"/>
      <c r="N42" s="311" t="e">
        <f t="shared" si="3"/>
        <v>#DIV/0!</v>
      </c>
      <c r="O42" s="93"/>
      <c r="S42" s="179"/>
      <c r="T42" s="180"/>
      <c r="U42" s="77"/>
      <c r="V42" s="77"/>
      <c r="W42" s="109"/>
    </row>
    <row r="43" spans="1:23" ht="13.5" customHeight="1">
      <c r="B43" s="142">
        <f t="shared" si="5"/>
        <v>11</v>
      </c>
      <c r="C43" s="258" t="s">
        <v>71</v>
      </c>
      <c r="D43" s="144">
        <v>22324</v>
      </c>
      <c r="E43" s="145">
        <v>15</v>
      </c>
      <c r="F43" s="146" t="s">
        <v>26</v>
      </c>
      <c r="G43" s="147">
        <v>4</v>
      </c>
      <c r="H43" s="148"/>
      <c r="I43" s="259">
        <v>0</v>
      </c>
      <c r="J43" s="148"/>
      <c r="K43" s="144"/>
      <c r="L43" s="260">
        <v>0</v>
      </c>
      <c r="M43" s="166"/>
      <c r="N43" s="312" t="e">
        <f t="shared" si="3"/>
        <v>#DIV/0!</v>
      </c>
      <c r="O43" s="93"/>
      <c r="S43" s="179"/>
      <c r="T43" s="180"/>
      <c r="U43" s="77"/>
      <c r="V43" s="77"/>
      <c r="W43" s="109"/>
    </row>
    <row r="44" spans="1:23" ht="13.5" customHeight="1">
      <c r="B44" s="247">
        <f>B34+1</f>
        <v>9</v>
      </c>
      <c r="C44" s="226" t="s">
        <v>72</v>
      </c>
      <c r="D44" s="23">
        <v>22301</v>
      </c>
      <c r="E44" s="18">
        <v>13.776999999999999</v>
      </c>
      <c r="F44" s="19" t="s">
        <v>26</v>
      </c>
      <c r="G44" s="20">
        <v>4</v>
      </c>
      <c r="H44" s="33"/>
      <c r="I44" s="227">
        <f>IF(G44=4,E44,0)</f>
        <v>13.776999999999999</v>
      </c>
      <c r="J44" s="296"/>
      <c r="K44" s="22"/>
      <c r="L44" s="228">
        <v>7.9</v>
      </c>
      <c r="M44" s="128"/>
      <c r="N44" s="241">
        <f t="shared" si="3"/>
        <v>0.57341946722798876</v>
      </c>
      <c r="O44" s="93"/>
      <c r="S44" s="179"/>
      <c r="T44" s="180"/>
      <c r="U44" s="77"/>
      <c r="V44" s="77"/>
      <c r="W44" s="109"/>
    </row>
    <row r="45" spans="1:23" ht="13.5" customHeight="1">
      <c r="B45" s="142">
        <f>B43+1</f>
        <v>12</v>
      </c>
      <c r="C45" s="258" t="s">
        <v>73</v>
      </c>
      <c r="D45" s="144">
        <v>22304</v>
      </c>
      <c r="E45" s="145">
        <v>10</v>
      </c>
      <c r="F45" s="146" t="s">
        <v>38</v>
      </c>
      <c r="G45" s="147">
        <v>4</v>
      </c>
      <c r="H45" s="148"/>
      <c r="I45" s="259">
        <v>0</v>
      </c>
      <c r="J45" s="148"/>
      <c r="K45" s="144"/>
      <c r="L45" s="260">
        <v>0</v>
      </c>
      <c r="M45" s="143"/>
      <c r="N45" s="311" t="e">
        <f t="shared" si="3"/>
        <v>#DIV/0!</v>
      </c>
      <c r="O45" s="93"/>
      <c r="S45" s="77"/>
      <c r="T45" s="77"/>
      <c r="U45" s="77"/>
      <c r="V45" s="77"/>
      <c r="W45" s="77"/>
    </row>
    <row r="46" spans="1:23" ht="13.5" customHeight="1">
      <c r="B46" s="142">
        <f t="shared" si="5"/>
        <v>13</v>
      </c>
      <c r="C46" s="258" t="s">
        <v>74</v>
      </c>
      <c r="D46" s="144">
        <v>22327</v>
      </c>
      <c r="E46" s="168">
        <v>8</v>
      </c>
      <c r="F46" s="146" t="s">
        <v>22</v>
      </c>
      <c r="G46" s="147">
        <v>4</v>
      </c>
      <c r="H46" s="169"/>
      <c r="I46" s="274">
        <v>0</v>
      </c>
      <c r="J46" s="169"/>
      <c r="K46" s="144"/>
      <c r="L46" s="260">
        <v>0</v>
      </c>
      <c r="M46" s="143"/>
      <c r="N46" s="311" t="e">
        <f t="shared" si="3"/>
        <v>#DIV/0!</v>
      </c>
      <c r="O46" s="239"/>
    </row>
    <row r="47" spans="1:23" ht="13.5" customHeight="1">
      <c r="E47" s="39"/>
      <c r="F47" s="19"/>
      <c r="G47" s="41" t="s">
        <v>75</v>
      </c>
      <c r="H47" s="43"/>
      <c r="I47" s="199">
        <f>SUM(I24:I30)+I34+I44</f>
        <v>13147.187</v>
      </c>
      <c r="J47" s="43"/>
      <c r="K47" s="125"/>
      <c r="L47" s="213">
        <f>SUM(L24:L30)+L34+L44</f>
        <v>8635.7000000000007</v>
      </c>
      <c r="N47" s="45">
        <f>L47/I65</f>
        <v>0.65684773480441105</v>
      </c>
      <c r="O47" s="93"/>
    </row>
    <row r="48" spans="1:23">
      <c r="A48" s="5"/>
      <c r="B48" s="5"/>
      <c r="C48" s="290"/>
      <c r="D48" s="5"/>
      <c r="E48" s="305"/>
      <c r="F48" s="306"/>
      <c r="G48" s="306"/>
      <c r="H48" s="307"/>
      <c r="I48" s="307"/>
      <c r="J48" s="307"/>
      <c r="K48" s="306"/>
      <c r="L48" s="5"/>
      <c r="M48" s="5"/>
      <c r="N48" s="5"/>
      <c r="O48" s="5"/>
      <c r="P48" s="5"/>
      <c r="Q48" s="5"/>
      <c r="R48" s="5"/>
      <c r="S48" s="5"/>
    </row>
    <row r="49" spans="2:21" ht="13.5" customHeight="1">
      <c r="E49" s="39"/>
      <c r="F49" s="19"/>
      <c r="G49" s="19"/>
      <c r="H49" s="43"/>
      <c r="I49" s="43"/>
      <c r="J49" s="43"/>
      <c r="K49" s="19"/>
      <c r="R49" s="26" t="s">
        <v>14</v>
      </c>
      <c r="T49" s="105"/>
      <c r="U49" s="77"/>
    </row>
    <row r="50" spans="2:21" ht="13.5" customHeight="1">
      <c r="B50" s="20">
        <f>1</f>
        <v>1</v>
      </c>
      <c r="C50" s="226" t="s">
        <v>76</v>
      </c>
      <c r="D50" s="23">
        <v>22316</v>
      </c>
      <c r="E50" s="18">
        <v>6461.232</v>
      </c>
      <c r="F50" s="19" t="s">
        <v>22</v>
      </c>
      <c r="G50" s="20">
        <v>3</v>
      </c>
      <c r="H50" s="33"/>
      <c r="I50" s="33"/>
      <c r="J50" s="227">
        <f>IF(G50=3,E50,0)</f>
        <v>6461.232</v>
      </c>
      <c r="K50" s="190"/>
      <c r="L50" s="228">
        <v>4794</v>
      </c>
      <c r="M50" s="16"/>
      <c r="N50" s="314">
        <f>L50/J50</f>
        <v>0.74196376170984113</v>
      </c>
      <c r="O50" s="93"/>
      <c r="P50" s="179" t="s">
        <v>19</v>
      </c>
      <c r="Q50" s="287" t="s">
        <v>45</v>
      </c>
      <c r="R50" s="88"/>
      <c r="S50" s="88"/>
      <c r="T50" s="107"/>
      <c r="U50" s="77"/>
    </row>
    <row r="51" spans="2:21" ht="13.5" customHeight="1">
      <c r="B51" s="20">
        <f>B50+1</f>
        <v>2</v>
      </c>
      <c r="C51" s="226" t="s">
        <v>77</v>
      </c>
      <c r="D51" s="23">
        <v>22335</v>
      </c>
      <c r="E51" s="18">
        <v>864.82799999999997</v>
      </c>
      <c r="F51" s="19" t="s">
        <v>22</v>
      </c>
      <c r="G51" s="20">
        <v>3</v>
      </c>
      <c r="H51" s="33"/>
      <c r="I51" s="101"/>
      <c r="J51" s="227">
        <f>IF(G51=3,E51,0)</f>
        <v>864.82799999999997</v>
      </c>
      <c r="K51" s="22"/>
      <c r="L51" s="228">
        <v>574.20000000000005</v>
      </c>
      <c r="M51" s="128"/>
      <c r="N51" s="175">
        <f>L51/J51</f>
        <v>0.66394705074303795</v>
      </c>
      <c r="O51" s="93"/>
      <c r="P51" s="231" t="s">
        <v>23</v>
      </c>
      <c r="Q51" s="249" t="s">
        <v>45</v>
      </c>
      <c r="R51" s="310"/>
      <c r="S51" s="310"/>
      <c r="T51" s="109"/>
      <c r="U51" s="77"/>
    </row>
    <row r="52" spans="2:21" ht="13.5" customHeight="1">
      <c r="B52" s="151">
        <f>B33+1</f>
        <v>3</v>
      </c>
      <c r="C52" s="275" t="s">
        <v>78</v>
      </c>
      <c r="D52" s="153">
        <v>22306</v>
      </c>
      <c r="E52" s="154">
        <v>0</v>
      </c>
      <c r="F52" s="155" t="s">
        <v>22</v>
      </c>
      <c r="G52" s="156">
        <v>3</v>
      </c>
      <c r="H52" s="267" t="s">
        <v>50</v>
      </c>
      <c r="I52" s="33"/>
      <c r="J52" s="276">
        <f t="shared" ref="J52:J64" si="6">IF(G52=3,E52,0)</f>
        <v>0</v>
      </c>
      <c r="K52" s="248"/>
      <c r="L52" s="238">
        <v>0</v>
      </c>
      <c r="M52" s="16"/>
      <c r="N52" s="315" t="e">
        <f t="shared" ref="N52:N65" si="7">L52/J52</f>
        <v>#DIV/0!</v>
      </c>
      <c r="O52" s="93"/>
      <c r="P52" s="28" t="s">
        <v>27</v>
      </c>
      <c r="Q52" s="47" t="s">
        <v>48</v>
      </c>
      <c r="T52" s="109"/>
      <c r="U52" s="77"/>
    </row>
    <row r="53" spans="2:21" ht="13.5" customHeight="1">
      <c r="B53" s="20">
        <f>B51+1</f>
        <v>3</v>
      </c>
      <c r="C53" s="226" t="s">
        <v>79</v>
      </c>
      <c r="D53" s="23">
        <v>22342</v>
      </c>
      <c r="E53" s="46">
        <v>500</v>
      </c>
      <c r="F53" s="19" t="s">
        <v>22</v>
      </c>
      <c r="G53" s="20">
        <v>3</v>
      </c>
      <c r="H53" s="43"/>
      <c r="I53" s="43"/>
      <c r="J53" s="277">
        <f t="shared" si="6"/>
        <v>500</v>
      </c>
      <c r="K53" s="190"/>
      <c r="L53" s="228">
        <v>328.5</v>
      </c>
      <c r="M53" s="16"/>
      <c r="N53" s="241">
        <f t="shared" si="7"/>
        <v>0.65700000000000003</v>
      </c>
      <c r="O53" s="93"/>
      <c r="P53" s="28" t="s">
        <v>30</v>
      </c>
      <c r="Q53" s="29" t="s">
        <v>51</v>
      </c>
      <c r="T53" s="109"/>
      <c r="U53" s="77"/>
    </row>
    <row r="54" spans="2:21" ht="13.5" customHeight="1">
      <c r="B54" s="20">
        <f>B53+1</f>
        <v>4</v>
      </c>
      <c r="C54" s="223" t="s">
        <v>161</v>
      </c>
      <c r="D54" s="23">
        <v>102950</v>
      </c>
      <c r="E54" s="30">
        <f>300+200</f>
        <v>500</v>
      </c>
      <c r="F54" s="19" t="s">
        <v>26</v>
      </c>
      <c r="G54" s="20">
        <v>3</v>
      </c>
      <c r="H54" s="33"/>
      <c r="I54" s="33"/>
      <c r="J54" s="277">
        <f t="shared" si="6"/>
        <v>500</v>
      </c>
      <c r="K54" s="22"/>
      <c r="L54" s="228">
        <v>318.5</v>
      </c>
      <c r="M54" s="16"/>
      <c r="N54" s="104">
        <f t="shared" si="7"/>
        <v>0.63700000000000001</v>
      </c>
      <c r="O54" s="93"/>
      <c r="P54" s="28" t="s">
        <v>33</v>
      </c>
      <c r="Q54" s="29" t="s">
        <v>34</v>
      </c>
      <c r="T54" s="77"/>
      <c r="U54" s="77"/>
    </row>
    <row r="55" spans="2:21" ht="13.5" customHeight="1">
      <c r="B55" s="20">
        <f>B54+1</f>
        <v>5</v>
      </c>
      <c r="C55" s="226" t="s">
        <v>80</v>
      </c>
      <c r="D55" s="23">
        <v>22321</v>
      </c>
      <c r="E55" s="278">
        <f>400</f>
        <v>400</v>
      </c>
      <c r="F55" s="19" t="s">
        <v>26</v>
      </c>
      <c r="G55" s="20">
        <v>3</v>
      </c>
      <c r="H55" s="33"/>
      <c r="I55" s="33"/>
      <c r="J55" s="277">
        <f t="shared" si="6"/>
        <v>400</v>
      </c>
      <c r="K55" s="22"/>
      <c r="L55" s="228">
        <v>252.8</v>
      </c>
      <c r="M55" s="16"/>
      <c r="N55" s="104">
        <f t="shared" si="7"/>
        <v>0.63200000000000001</v>
      </c>
      <c r="O55" s="93"/>
      <c r="P55" s="28" t="s">
        <v>35</v>
      </c>
      <c r="Q55" s="29" t="s">
        <v>36</v>
      </c>
      <c r="T55" s="77"/>
      <c r="U55" s="77"/>
    </row>
    <row r="56" spans="2:21" ht="13.5" customHeight="1">
      <c r="B56" s="212">
        <f>B52+1</f>
        <v>4</v>
      </c>
      <c r="C56" s="279" t="s">
        <v>80</v>
      </c>
      <c r="D56" s="114">
        <v>102949</v>
      </c>
      <c r="E56" s="280">
        <v>200</v>
      </c>
      <c r="F56" s="116" t="s">
        <v>26</v>
      </c>
      <c r="G56" s="112">
        <v>3</v>
      </c>
      <c r="H56" s="267" t="s">
        <v>50</v>
      </c>
      <c r="I56" s="33"/>
      <c r="J56" s="268">
        <f t="shared" si="6"/>
        <v>200</v>
      </c>
      <c r="K56" s="22"/>
      <c r="L56" s="238">
        <v>0</v>
      </c>
      <c r="M56" s="16"/>
      <c r="N56" s="121">
        <f t="shared" si="7"/>
        <v>0</v>
      </c>
      <c r="O56" s="93"/>
      <c r="P56" s="77"/>
      <c r="Q56" s="77"/>
      <c r="R56" s="77"/>
      <c r="S56" s="77"/>
      <c r="T56" s="77"/>
      <c r="U56" s="77"/>
    </row>
    <row r="57" spans="2:21" ht="13.5" customHeight="1">
      <c r="B57" s="20">
        <f>B55+1</f>
        <v>6</v>
      </c>
      <c r="C57" s="226" t="s">
        <v>83</v>
      </c>
      <c r="D57" s="23">
        <v>22326</v>
      </c>
      <c r="E57" s="18">
        <v>29</v>
      </c>
      <c r="F57" s="19" t="s">
        <v>38</v>
      </c>
      <c r="G57" s="20">
        <v>3</v>
      </c>
      <c r="H57" s="33"/>
      <c r="I57" s="33"/>
      <c r="J57" s="227">
        <f t="shared" si="6"/>
        <v>29</v>
      </c>
      <c r="K57" s="22"/>
      <c r="L57" s="228">
        <v>17.399999999999999</v>
      </c>
      <c r="M57" s="16"/>
      <c r="N57" s="273">
        <f t="shared" si="7"/>
        <v>0.6</v>
      </c>
      <c r="O57" s="93"/>
    </row>
    <row r="58" spans="2:21" ht="13.5" customHeight="1">
      <c r="B58" s="20">
        <f t="shared" ref="B58:B64" si="8">B57+1</f>
        <v>7</v>
      </c>
      <c r="C58" s="226" t="s">
        <v>84</v>
      </c>
      <c r="D58" s="23">
        <v>22339</v>
      </c>
      <c r="E58" s="18">
        <v>18.125</v>
      </c>
      <c r="F58" s="19" t="s">
        <v>26</v>
      </c>
      <c r="G58" s="20">
        <v>3</v>
      </c>
      <c r="H58" s="33"/>
      <c r="I58" s="33"/>
      <c r="J58" s="227">
        <f t="shared" si="6"/>
        <v>18.125</v>
      </c>
      <c r="K58" s="22"/>
      <c r="L58" s="228">
        <v>12.6</v>
      </c>
      <c r="M58" s="16"/>
      <c r="N58" s="104">
        <f t="shared" si="7"/>
        <v>0.69517241379310346</v>
      </c>
      <c r="O58" s="93"/>
    </row>
    <row r="59" spans="2:21" ht="13.5" customHeight="1">
      <c r="B59" s="20">
        <f t="shared" si="8"/>
        <v>8</v>
      </c>
      <c r="C59" s="226" t="s">
        <v>85</v>
      </c>
      <c r="D59" s="23">
        <v>22308</v>
      </c>
      <c r="E59" s="18">
        <v>17.145</v>
      </c>
      <c r="F59" s="19" t="s">
        <v>38</v>
      </c>
      <c r="G59" s="20">
        <v>3</v>
      </c>
      <c r="H59" s="33"/>
      <c r="I59" s="33"/>
      <c r="J59" s="227">
        <f t="shared" si="6"/>
        <v>17.145</v>
      </c>
      <c r="K59" s="22"/>
      <c r="L59" s="228">
        <v>12.7</v>
      </c>
      <c r="M59" s="16"/>
      <c r="N59" s="104">
        <f t="shared" si="7"/>
        <v>0.7407407407407407</v>
      </c>
      <c r="O59" s="93"/>
      <c r="P59" s="28"/>
      <c r="Q59" s="29"/>
    </row>
    <row r="60" spans="2:21" ht="13.5" customHeight="1">
      <c r="B60" s="20">
        <f t="shared" si="8"/>
        <v>9</v>
      </c>
      <c r="C60" s="226" t="s">
        <v>86</v>
      </c>
      <c r="D60" s="23">
        <v>22300</v>
      </c>
      <c r="E60" s="18">
        <v>16.655000000000001</v>
      </c>
      <c r="F60" s="19" t="s">
        <v>22</v>
      </c>
      <c r="G60" s="20">
        <v>3</v>
      </c>
      <c r="H60" s="33"/>
      <c r="I60" s="33"/>
      <c r="J60" s="227">
        <f t="shared" si="6"/>
        <v>16.655000000000001</v>
      </c>
      <c r="K60" s="22"/>
      <c r="L60" s="246">
        <v>12.2</v>
      </c>
      <c r="M60" s="16"/>
      <c r="N60" s="129">
        <f t="shared" si="7"/>
        <v>0.73251275893125178</v>
      </c>
      <c r="O60" s="93"/>
      <c r="P60" s="28"/>
      <c r="Q60" s="29"/>
    </row>
    <row r="61" spans="2:21" ht="13.5" customHeight="1">
      <c r="B61" s="20">
        <f t="shared" si="8"/>
        <v>10</v>
      </c>
      <c r="C61" s="226" t="s">
        <v>87</v>
      </c>
      <c r="D61" s="23">
        <v>22336</v>
      </c>
      <c r="E61" s="18">
        <v>14.634</v>
      </c>
      <c r="F61" s="19" t="s">
        <v>26</v>
      </c>
      <c r="G61" s="20">
        <v>3</v>
      </c>
      <c r="H61" s="33"/>
      <c r="I61" s="33"/>
      <c r="J61" s="227">
        <f t="shared" si="6"/>
        <v>14.634</v>
      </c>
      <c r="K61" s="22"/>
      <c r="L61" s="228">
        <v>10.199999999999999</v>
      </c>
      <c r="M61" s="16"/>
      <c r="N61" s="129">
        <f t="shared" si="7"/>
        <v>0.69700697006970058</v>
      </c>
      <c r="O61" s="239"/>
    </row>
    <row r="62" spans="2:21" ht="13.5" customHeight="1">
      <c r="B62" s="20">
        <f t="shared" si="8"/>
        <v>11</v>
      </c>
      <c r="C62" s="223" t="s">
        <v>162</v>
      </c>
      <c r="D62" s="23">
        <v>103962</v>
      </c>
      <c r="E62" s="30">
        <v>10</v>
      </c>
      <c r="F62" s="19" t="s">
        <v>26</v>
      </c>
      <c r="G62" s="20">
        <v>3</v>
      </c>
      <c r="H62" s="33"/>
      <c r="I62" s="33"/>
      <c r="J62" s="227">
        <f t="shared" si="6"/>
        <v>10</v>
      </c>
      <c r="K62" s="22"/>
      <c r="L62" s="228">
        <v>7.2</v>
      </c>
      <c r="M62" s="16"/>
      <c r="N62" s="104">
        <f t="shared" si="7"/>
        <v>0.72</v>
      </c>
      <c r="O62" s="93"/>
    </row>
    <row r="63" spans="2:21" ht="13.5" customHeight="1">
      <c r="B63" s="20">
        <f t="shared" si="8"/>
        <v>12</v>
      </c>
      <c r="C63" s="226" t="s">
        <v>89</v>
      </c>
      <c r="D63" s="23">
        <v>22341</v>
      </c>
      <c r="E63" s="73">
        <v>8.4190000000000005</v>
      </c>
      <c r="F63" s="19" t="s">
        <v>26</v>
      </c>
      <c r="G63" s="20">
        <v>3</v>
      </c>
      <c r="H63" s="33"/>
      <c r="I63" s="33"/>
      <c r="J63" s="227">
        <f t="shared" si="6"/>
        <v>8.4190000000000005</v>
      </c>
      <c r="K63" s="22"/>
      <c r="L63" s="228">
        <v>6.2</v>
      </c>
      <c r="M63" s="16"/>
      <c r="N63" s="126">
        <f t="shared" si="7"/>
        <v>0.7364295046917686</v>
      </c>
      <c r="O63" s="93"/>
    </row>
    <row r="64" spans="2:21" ht="13.5" customHeight="1">
      <c r="B64" s="247">
        <f t="shared" si="8"/>
        <v>13</v>
      </c>
      <c r="C64" s="226" t="s">
        <v>90</v>
      </c>
      <c r="D64" s="74">
        <v>22340</v>
      </c>
      <c r="E64" s="75">
        <v>4.9749999999999996</v>
      </c>
      <c r="F64" s="19" t="s">
        <v>22</v>
      </c>
      <c r="G64" s="20">
        <v>3</v>
      </c>
      <c r="H64" s="316"/>
      <c r="I64" s="316"/>
      <c r="J64" s="281">
        <f t="shared" si="6"/>
        <v>4.9749999999999996</v>
      </c>
      <c r="K64" s="22"/>
      <c r="L64" s="246">
        <v>3</v>
      </c>
      <c r="M64" s="16"/>
      <c r="N64" s="104">
        <f t="shared" si="7"/>
        <v>0.60301507537688448</v>
      </c>
      <c r="O64" s="239"/>
    </row>
    <row r="65" spans="2:19">
      <c r="E65" s="78">
        <f>SUM(E10:E12,E14:E19,E24:E30,E34,E44,E50:E51,E53:E55,E57:E64,)</f>
        <v>39320.533999999992</v>
      </c>
      <c r="F65" s="19"/>
      <c r="G65" s="19"/>
      <c r="H65" s="79">
        <f>H21</f>
        <v>23337.413999999997</v>
      </c>
      <c r="I65" s="79">
        <f>I47</f>
        <v>13147.187</v>
      </c>
      <c r="J65" s="79">
        <f>SUM(J50:J51,J53:J54,J55:J64,)-J56</f>
        <v>8845.0130000000008</v>
      </c>
      <c r="K65" s="215"/>
      <c r="L65" s="44">
        <f>SUM(L50:L64)</f>
        <v>6349.4999999999991</v>
      </c>
      <c r="N65" s="45">
        <f t="shared" si="7"/>
        <v>0.71786214446490904</v>
      </c>
      <c r="O65" s="93"/>
    </row>
    <row r="66" spans="2:19" ht="13.5" customHeight="1">
      <c r="F66" s="19"/>
      <c r="G66" s="81" t="s">
        <v>91</v>
      </c>
      <c r="H66" s="82">
        <f>H65/I67</f>
        <v>0.51483813649946364</v>
      </c>
      <c r="I66" s="82">
        <f>I65/I67</f>
        <v>0.29003527362928794</v>
      </c>
      <c r="J66" s="82">
        <f>J65/I67</f>
        <v>0.19512658987124845</v>
      </c>
      <c r="K66" s="77"/>
      <c r="L66" s="83"/>
      <c r="O66" s="282"/>
    </row>
    <row r="67" spans="2:19">
      <c r="B67" s="247">
        <f>B19+B44+B64</f>
        <v>32</v>
      </c>
      <c r="C67" s="283" t="s">
        <v>163</v>
      </c>
      <c r="D67" s="71"/>
      <c r="E67" s="317"/>
      <c r="F67" s="19"/>
      <c r="G67" s="318"/>
      <c r="I67" s="84">
        <f>H65+I65+J65</f>
        <v>45329.613999999994</v>
      </c>
      <c r="K67" s="77"/>
      <c r="L67" s="44">
        <f>L21+L47+L65</f>
        <v>28857.7</v>
      </c>
      <c r="N67" s="284">
        <f>L67/I67</f>
        <v>0.63661914262053954</v>
      </c>
      <c r="O67" s="88"/>
    </row>
    <row r="68" spans="2:19">
      <c r="B68" s="20"/>
      <c r="C68" s="283"/>
      <c r="D68" s="71"/>
      <c r="E68" s="317"/>
      <c r="F68" s="19"/>
      <c r="G68" s="19"/>
      <c r="H68" s="86" t="s">
        <v>93</v>
      </c>
      <c r="I68" s="87">
        <v>-1774</v>
      </c>
      <c r="J68" s="189"/>
      <c r="K68" s="215"/>
      <c r="L68" s="80"/>
      <c r="M68" s="88"/>
      <c r="N68" s="319"/>
      <c r="O68" s="88"/>
    </row>
    <row r="69" spans="2:19">
      <c r="B69" s="320"/>
      <c r="C69" s="321"/>
      <c r="D69" s="320"/>
      <c r="E69" s="322"/>
      <c r="F69" s="19"/>
      <c r="G69" s="323"/>
      <c r="I69" s="20" t="s">
        <v>149</v>
      </c>
      <c r="K69" s="285" t="s">
        <v>95</v>
      </c>
      <c r="P69" s="5"/>
      <c r="Q69" s="89" t="s">
        <v>150</v>
      </c>
      <c r="R69" s="5"/>
    </row>
    <row r="70" spans="2:19">
      <c r="B70" s="324"/>
      <c r="C70" s="321"/>
      <c r="D70" s="325"/>
      <c r="E70" s="326"/>
      <c r="F70" s="19"/>
      <c r="G70" s="19"/>
      <c r="I70" s="90">
        <f>I67+I68</f>
        <v>43555.613999999994</v>
      </c>
      <c r="K70" s="286" t="s">
        <v>154</v>
      </c>
      <c r="L70" s="91">
        <f>I70-L67-5908</f>
        <v>8789.9139999999934</v>
      </c>
      <c r="M70" s="92" t="s">
        <v>97</v>
      </c>
      <c r="N70" s="93"/>
      <c r="P70" s="217" t="s">
        <v>107</v>
      </c>
      <c r="Q70" s="91">
        <v>9169.1140000000014</v>
      </c>
    </row>
    <row r="71" spans="2:19">
      <c r="B71" s="71"/>
      <c r="C71" s="245"/>
      <c r="D71" s="327"/>
      <c r="E71" s="328"/>
      <c r="F71" s="19"/>
      <c r="G71" s="19"/>
      <c r="I71" s="183"/>
      <c r="L71" s="91">
        <f>I70-L67</f>
        <v>14697.913999999993</v>
      </c>
      <c r="M71" s="92" t="s">
        <v>99</v>
      </c>
      <c r="N71" s="93"/>
      <c r="Q71" s="91">
        <v>9798.1140000000014</v>
      </c>
    </row>
    <row r="72" spans="2:19" ht="18">
      <c r="B72" s="179"/>
      <c r="C72" s="329"/>
      <c r="D72" s="184" t="s">
        <v>100</v>
      </c>
      <c r="E72" s="185" t="s">
        <v>164</v>
      </c>
      <c r="F72" s="185"/>
      <c r="G72" s="186"/>
      <c r="L72" s="91">
        <f>L67</f>
        <v>28857.7</v>
      </c>
      <c r="M72" s="92" t="s">
        <v>102</v>
      </c>
      <c r="N72" s="93"/>
      <c r="Q72" s="91">
        <v>34813.5</v>
      </c>
      <c r="R72" s="95" t="s">
        <v>151</v>
      </c>
      <c r="S72" s="5"/>
    </row>
    <row r="73" spans="2:19">
      <c r="D73" s="186"/>
      <c r="E73" s="185" t="s">
        <v>104</v>
      </c>
      <c r="F73" s="185"/>
      <c r="G73" s="186"/>
      <c r="L73" s="96">
        <f>L72/SUM(L72+L71+1774)</f>
        <v>0.63661914262053954</v>
      </c>
      <c r="M73" s="92" t="s">
        <v>102</v>
      </c>
      <c r="N73" s="93"/>
      <c r="Q73" s="97">
        <v>0.76800786346868077</v>
      </c>
      <c r="R73" s="95" t="s">
        <v>151</v>
      </c>
      <c r="S73" s="5"/>
    </row>
    <row r="74" spans="2:19">
      <c r="F74" s="77"/>
      <c r="G74" s="77"/>
      <c r="H74" s="330"/>
      <c r="I74" s="80"/>
    </row>
  </sheetData>
  <phoneticPr fontId="0" type="noConversion"/>
  <printOptions horizontalCentered="1" verticalCentered="1" gridLines="1"/>
  <pageMargins left="0.75" right="0.75" top="0.75" bottom="0.75" header="0.5" footer="0.5"/>
  <pageSetup scale="48" orientation="landscape" horizontalDpi="4294967292" r:id="rId1"/>
  <headerFooter alignWithMargins="0">
    <oddHeader>&amp;A</oddHeader>
    <oddFooter>&amp;L&amp;F&amp;C&amp;P&amp;R&amp;T   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topLeftCell="F1" zoomScale="75" zoomScaleNormal="233" zoomScaleSheetLayoutView="116" workbookViewId="0">
      <selection activeCell="V13" sqref="V13"/>
    </sheetView>
  </sheetViews>
  <sheetFormatPr defaultRowHeight="12.75"/>
  <cols>
    <col min="3" max="3" width="30.7109375" customWidth="1"/>
    <col min="5" max="5" width="12.85546875" customWidth="1"/>
    <col min="8" max="8" width="12.5703125" customWidth="1"/>
    <col min="9" max="9" width="12.7109375" customWidth="1"/>
    <col min="10" max="10" width="12.28515625" customWidth="1"/>
  </cols>
  <sheetData>
    <row r="3" spans="1:22" ht="20.25">
      <c r="E3" s="1" t="s">
        <v>0</v>
      </c>
      <c r="K3" s="2"/>
      <c r="L3" s="3" t="s">
        <v>1</v>
      </c>
      <c r="M3" s="4"/>
      <c r="N3" s="3" t="s">
        <v>105</v>
      </c>
      <c r="O3" s="2"/>
    </row>
    <row r="6" spans="1:22">
      <c r="N6" s="6" t="s">
        <v>2</v>
      </c>
      <c r="Q6" s="10" t="s">
        <v>3</v>
      </c>
      <c r="V6" s="29"/>
    </row>
    <row r="7" spans="1:22">
      <c r="L7" s="6" t="s">
        <v>4</v>
      </c>
      <c r="M7" s="8"/>
      <c r="N7" s="6" t="s">
        <v>5</v>
      </c>
      <c r="O7" s="9"/>
      <c r="P7" s="14" t="s">
        <v>6</v>
      </c>
    </row>
    <row r="8" spans="1:22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9"/>
      <c r="R8" s="26" t="s">
        <v>12</v>
      </c>
    </row>
    <row r="9" spans="1:22">
      <c r="B9" s="15">
        <f>1</f>
        <v>1</v>
      </c>
      <c r="C9" s="32" t="s">
        <v>17</v>
      </c>
      <c r="D9" s="23">
        <v>105153</v>
      </c>
      <c r="E9" s="72">
        <v>3874.8220000000001</v>
      </c>
      <c r="F9" s="19" t="s">
        <v>18</v>
      </c>
      <c r="G9" s="20">
        <v>1</v>
      </c>
      <c r="H9" s="101">
        <f t="shared" ref="H9:H18" si="0">IF(G9=1,E9,0)</f>
        <v>3874.8220000000001</v>
      </c>
      <c r="L9" s="102">
        <v>3277.2</v>
      </c>
      <c r="M9" s="111"/>
      <c r="N9" s="104">
        <f t="shared" ref="N9:N18" si="1">L9/H9</f>
        <v>0.84576788301501327</v>
      </c>
      <c r="O9" s="25"/>
      <c r="P9" s="28" t="s">
        <v>19</v>
      </c>
      <c r="Q9" s="29" t="s">
        <v>20</v>
      </c>
      <c r="V9" s="191">
        <f>83.5 - (83.5-33.5)*(22/31)</f>
        <v>48.016129032258064</v>
      </c>
    </row>
    <row r="10" spans="1:22">
      <c r="B10" s="15">
        <f t="shared" ref="B10:B18" si="2">B9+1</f>
        <v>2</v>
      </c>
      <c r="C10" s="16" t="s">
        <v>21</v>
      </c>
      <c r="D10" s="23">
        <v>22319</v>
      </c>
      <c r="E10" s="18">
        <v>3500</v>
      </c>
      <c r="F10" s="19" t="s">
        <v>22</v>
      </c>
      <c r="G10" s="20">
        <v>1</v>
      </c>
      <c r="H10" s="101">
        <f t="shared" si="0"/>
        <v>3500</v>
      </c>
      <c r="L10" s="102">
        <v>2617.5</v>
      </c>
      <c r="M10" s="192"/>
      <c r="N10" s="104">
        <f t="shared" si="1"/>
        <v>0.74785714285714289</v>
      </c>
      <c r="O10" s="27"/>
      <c r="P10" s="28" t="s">
        <v>23</v>
      </c>
      <c r="Q10" s="29" t="s">
        <v>24</v>
      </c>
    </row>
    <row r="11" spans="1:22">
      <c r="B11" s="15">
        <f t="shared" si="2"/>
        <v>3</v>
      </c>
      <c r="C11" s="16" t="s">
        <v>25</v>
      </c>
      <c r="D11" s="23">
        <v>22298</v>
      </c>
      <c r="E11" s="18">
        <v>2747.5329999999999</v>
      </c>
      <c r="F11" s="19" t="s">
        <v>26</v>
      </c>
      <c r="G11" s="20">
        <v>1</v>
      </c>
      <c r="H11" s="101">
        <f t="shared" si="0"/>
        <v>2747.5329999999999</v>
      </c>
      <c r="L11" s="102">
        <v>2128.8000000000002</v>
      </c>
      <c r="M11" s="106"/>
      <c r="N11" s="104">
        <f t="shared" si="1"/>
        <v>0.77480416067796098</v>
      </c>
      <c r="O11" s="36"/>
      <c r="P11" s="20" t="s">
        <v>27</v>
      </c>
      <c r="Q11" s="35" t="s">
        <v>28</v>
      </c>
      <c r="V11" s="191">
        <f>100 - (100-83.5)*(22/31)</f>
        <v>88.290322580645153</v>
      </c>
    </row>
    <row r="12" spans="1:22">
      <c r="B12" s="15">
        <f t="shared" si="2"/>
        <v>4</v>
      </c>
      <c r="C12" s="16" t="s">
        <v>29</v>
      </c>
      <c r="D12" s="23">
        <v>102817</v>
      </c>
      <c r="E12" s="30">
        <v>2000</v>
      </c>
      <c r="F12" s="19" t="s">
        <v>26</v>
      </c>
      <c r="G12" s="20">
        <v>1</v>
      </c>
      <c r="H12" s="101">
        <f t="shared" si="0"/>
        <v>2000</v>
      </c>
      <c r="L12" s="102">
        <f>996.9+652.5</f>
        <v>1649.4</v>
      </c>
      <c r="M12" s="16"/>
      <c r="N12" s="104">
        <f t="shared" si="1"/>
        <v>0.8247000000000001</v>
      </c>
      <c r="O12" s="36"/>
      <c r="P12" s="28" t="s">
        <v>30</v>
      </c>
      <c r="Q12" s="29" t="s">
        <v>31</v>
      </c>
      <c r="V12" s="193"/>
    </row>
    <row r="13" spans="1:22">
      <c r="B13" s="15">
        <f t="shared" si="2"/>
        <v>5</v>
      </c>
      <c r="C13" s="32" t="s">
        <v>32</v>
      </c>
      <c r="D13" s="23">
        <v>23281</v>
      </c>
      <c r="E13" s="30">
        <v>1000</v>
      </c>
      <c r="F13" s="19" t="s">
        <v>18</v>
      </c>
      <c r="G13" s="20">
        <v>1</v>
      </c>
      <c r="H13" s="101">
        <f t="shared" si="0"/>
        <v>1000</v>
      </c>
      <c r="L13" s="102">
        <v>626.4</v>
      </c>
      <c r="M13" s="106"/>
      <c r="N13" s="104">
        <f t="shared" si="1"/>
        <v>0.62639999999999996</v>
      </c>
      <c r="O13" s="36"/>
      <c r="P13" s="28" t="s">
        <v>33</v>
      </c>
      <c r="Q13" s="29" t="s">
        <v>34</v>
      </c>
      <c r="V13" s="191">
        <f>74 - (74-33.5)*(22/31)</f>
        <v>45.258064516129032</v>
      </c>
    </row>
    <row r="14" spans="1:22">
      <c r="B14" s="15">
        <f t="shared" si="2"/>
        <v>6</v>
      </c>
      <c r="C14" s="32" t="s">
        <v>32</v>
      </c>
      <c r="D14" s="23">
        <v>23282</v>
      </c>
      <c r="E14" s="30">
        <v>500</v>
      </c>
      <c r="F14" s="19" t="s">
        <v>18</v>
      </c>
      <c r="G14" s="20">
        <v>1</v>
      </c>
      <c r="H14" s="101">
        <f t="shared" si="0"/>
        <v>500</v>
      </c>
      <c r="L14" s="110">
        <v>162.69999999999999</v>
      </c>
      <c r="M14" s="111"/>
      <c r="N14" s="219">
        <f t="shared" si="1"/>
        <v>0.32539999999999997</v>
      </c>
      <c r="O14" s="36"/>
      <c r="P14" s="28" t="s">
        <v>35</v>
      </c>
      <c r="Q14" s="29" t="s">
        <v>36</v>
      </c>
      <c r="T14" s="109"/>
      <c r="V14" s="194"/>
    </row>
    <row r="15" spans="1:22">
      <c r="B15" s="15">
        <f t="shared" si="2"/>
        <v>7</v>
      </c>
      <c r="C15" s="16" t="s">
        <v>37</v>
      </c>
      <c r="D15" s="23">
        <v>22307</v>
      </c>
      <c r="E15" s="18">
        <v>267.54700000000003</v>
      </c>
      <c r="F15" s="19" t="s">
        <v>38</v>
      </c>
      <c r="G15" s="20">
        <v>1</v>
      </c>
      <c r="H15" s="101">
        <f t="shared" si="0"/>
        <v>267.54700000000003</v>
      </c>
      <c r="L15" s="110">
        <v>217.4</v>
      </c>
      <c r="M15" s="111"/>
      <c r="N15" s="104">
        <f t="shared" si="1"/>
        <v>0.81256751150265183</v>
      </c>
      <c r="V15" s="194"/>
    </row>
    <row r="16" spans="1:22">
      <c r="A16" s="195" t="s">
        <v>39</v>
      </c>
      <c r="B16" s="15">
        <f t="shared" si="2"/>
        <v>8</v>
      </c>
      <c r="C16" s="195" t="s">
        <v>40</v>
      </c>
      <c r="D16" s="196">
        <v>105542</v>
      </c>
      <c r="E16" s="197">
        <v>1300</v>
      </c>
      <c r="F16" s="19" t="s">
        <v>38</v>
      </c>
      <c r="G16" s="20">
        <v>1</v>
      </c>
      <c r="H16" s="101">
        <f t="shared" si="0"/>
        <v>1300</v>
      </c>
      <c r="L16" s="102">
        <v>1052.8</v>
      </c>
      <c r="M16" s="16"/>
      <c r="N16" s="104">
        <f t="shared" si="1"/>
        <v>0.80984615384615377</v>
      </c>
      <c r="V16" s="194"/>
    </row>
    <row r="17" spans="1:22">
      <c r="A17" s="195" t="s">
        <v>39</v>
      </c>
      <c r="B17" s="15">
        <f t="shared" si="2"/>
        <v>9</v>
      </c>
      <c r="C17" s="195" t="s">
        <v>41</v>
      </c>
      <c r="D17" s="196">
        <v>105543</v>
      </c>
      <c r="E17" s="197">
        <v>1038.432</v>
      </c>
      <c r="F17" s="19" t="s">
        <v>22</v>
      </c>
      <c r="G17" s="20">
        <v>1</v>
      </c>
      <c r="H17" s="101">
        <f t="shared" si="0"/>
        <v>1038.432</v>
      </c>
      <c r="L17" s="22">
        <v>930.3</v>
      </c>
      <c r="M17" s="16"/>
      <c r="N17" s="219">
        <f t="shared" si="1"/>
        <v>0.89586992696681145</v>
      </c>
      <c r="V17" s="194"/>
    </row>
    <row r="18" spans="1:22">
      <c r="B18" s="15">
        <f t="shared" si="2"/>
        <v>10</v>
      </c>
      <c r="C18" s="198" t="s">
        <v>42</v>
      </c>
      <c r="D18" s="23">
        <v>22305</v>
      </c>
      <c r="E18" s="18">
        <v>1000</v>
      </c>
      <c r="F18" s="19" t="s">
        <v>22</v>
      </c>
      <c r="G18" s="20">
        <v>1</v>
      </c>
      <c r="H18" s="101">
        <f t="shared" si="0"/>
        <v>1000</v>
      </c>
      <c r="L18" s="22">
        <v>934.6</v>
      </c>
      <c r="M18" s="106"/>
      <c r="N18" s="219">
        <f t="shared" si="1"/>
        <v>0.93459999999999999</v>
      </c>
      <c r="V18" s="194"/>
    </row>
    <row r="19" spans="1:22">
      <c r="G19" s="41" t="s">
        <v>43</v>
      </c>
      <c r="H19" s="199">
        <f>SUM(H9:H18)</f>
        <v>17228.334000000003</v>
      </c>
      <c r="L19" s="44">
        <f>SUM(L9:L18)</f>
        <v>13597.099999999999</v>
      </c>
      <c r="M19" s="37"/>
      <c r="N19" s="45">
        <f>L19/H68</f>
        <v>0.78922895272404148</v>
      </c>
      <c r="O19" s="34"/>
      <c r="V19" s="194"/>
    </row>
    <row r="21" spans="1:22">
      <c r="R21" s="26" t="s">
        <v>13</v>
      </c>
    </row>
    <row r="22" spans="1:22" ht="20.25">
      <c r="B22" s="20">
        <f>1</f>
        <v>1</v>
      </c>
      <c r="C22" s="16" t="s">
        <v>44</v>
      </c>
      <c r="D22" s="23">
        <v>22337</v>
      </c>
      <c r="E22" s="18">
        <v>6400</v>
      </c>
      <c r="F22" s="19" t="s">
        <v>38</v>
      </c>
      <c r="G22" s="20">
        <v>4</v>
      </c>
      <c r="H22" s="33"/>
      <c r="I22" s="101">
        <f t="shared" ref="I22:I31" si="3">IF(G22=4,E22,0)</f>
        <v>6400</v>
      </c>
      <c r="L22" s="102">
        <f>2889.5+1625.5</f>
        <v>4515</v>
      </c>
      <c r="M22" s="111"/>
      <c r="N22" s="222">
        <f t="shared" ref="N22:N31" si="4">L22/I22</f>
        <v>0.70546874999999998</v>
      </c>
      <c r="O22" s="31"/>
      <c r="P22" s="28" t="s">
        <v>19</v>
      </c>
      <c r="Q22" s="47" t="s">
        <v>45</v>
      </c>
    </row>
    <row r="23" spans="1:22">
      <c r="B23" s="20">
        <f t="shared" ref="B23:B30" si="5">B22+1</f>
        <v>2</v>
      </c>
      <c r="C23" s="16" t="s">
        <v>46</v>
      </c>
      <c r="D23" s="23">
        <v>23613</v>
      </c>
      <c r="E23" s="46">
        <f>6009.08</f>
        <v>6009.08</v>
      </c>
      <c r="F23" s="19" t="s">
        <v>26</v>
      </c>
      <c r="G23" s="20">
        <v>4</v>
      </c>
      <c r="H23" s="33"/>
      <c r="I23" s="101">
        <f t="shared" si="3"/>
        <v>6009.08</v>
      </c>
      <c r="L23" s="102">
        <f>3936.3+323.8</f>
        <v>4260.1000000000004</v>
      </c>
      <c r="M23" s="111"/>
      <c r="N23" s="104">
        <f t="shared" si="4"/>
        <v>0.70894379838511057</v>
      </c>
      <c r="O23" s="34"/>
      <c r="P23" s="28" t="s">
        <v>23</v>
      </c>
      <c r="Q23" s="47" t="s">
        <v>45</v>
      </c>
    </row>
    <row r="24" spans="1:22">
      <c r="B24" s="20">
        <f t="shared" si="5"/>
        <v>3</v>
      </c>
      <c r="C24" s="32" t="s">
        <v>47</v>
      </c>
      <c r="D24" s="23">
        <v>102835</v>
      </c>
      <c r="E24" s="72">
        <v>3000</v>
      </c>
      <c r="F24" s="19" t="s">
        <v>18</v>
      </c>
      <c r="G24" s="20">
        <v>4</v>
      </c>
      <c r="H24" s="33"/>
      <c r="I24" s="101">
        <f t="shared" si="3"/>
        <v>3000</v>
      </c>
      <c r="L24" s="102">
        <v>2942.7</v>
      </c>
      <c r="M24" s="111"/>
      <c r="N24" s="219">
        <f t="shared" si="4"/>
        <v>0.98089999999999999</v>
      </c>
      <c r="O24" s="34"/>
      <c r="P24" s="28" t="s">
        <v>27</v>
      </c>
      <c r="Q24" s="47" t="s">
        <v>48</v>
      </c>
    </row>
    <row r="25" spans="1:22" ht="20.25">
      <c r="B25" s="200">
        <f>1</f>
        <v>1</v>
      </c>
      <c r="C25" s="201" t="s">
        <v>49</v>
      </c>
      <c r="D25" s="202">
        <v>102831</v>
      </c>
      <c r="E25" s="203">
        <v>2438.4319999999998</v>
      </c>
      <c r="F25" s="204" t="s">
        <v>26</v>
      </c>
      <c r="G25" s="112">
        <v>4</v>
      </c>
      <c r="H25" s="205" t="s">
        <v>50</v>
      </c>
      <c r="I25" s="206">
        <f t="shared" si="3"/>
        <v>2438.4319999999998</v>
      </c>
      <c r="L25" s="119">
        <v>0</v>
      </c>
      <c r="M25" s="207"/>
      <c r="N25" s="208">
        <f t="shared" si="4"/>
        <v>0</v>
      </c>
      <c r="O25" s="31"/>
      <c r="P25" s="28" t="s">
        <v>30</v>
      </c>
      <c r="Q25" s="29" t="s">
        <v>51</v>
      </c>
    </row>
    <row r="26" spans="1:22" ht="20.25">
      <c r="A26" s="195" t="s">
        <v>39</v>
      </c>
      <c r="B26" s="209">
        <f>B24+1</f>
        <v>4</v>
      </c>
      <c r="C26" s="195" t="s">
        <v>52</v>
      </c>
      <c r="D26" s="196">
        <v>105525</v>
      </c>
      <c r="E26" s="197">
        <v>100</v>
      </c>
      <c r="F26" s="19" t="s">
        <v>38</v>
      </c>
      <c r="G26" s="20">
        <v>4</v>
      </c>
      <c r="I26" s="101">
        <f t="shared" si="3"/>
        <v>100</v>
      </c>
      <c r="L26" s="102">
        <v>83.3</v>
      </c>
      <c r="M26" s="16"/>
      <c r="N26" s="104">
        <f t="shared" si="4"/>
        <v>0.83299999999999996</v>
      </c>
      <c r="O26" s="31"/>
      <c r="P26" s="28" t="s">
        <v>33</v>
      </c>
      <c r="Q26" s="29" t="s">
        <v>34</v>
      </c>
      <c r="S26" s="77"/>
    </row>
    <row r="27" spans="1:22" ht="20.25">
      <c r="B27" s="20">
        <f>B12+1</f>
        <v>5</v>
      </c>
      <c r="C27" s="16" t="s">
        <v>53</v>
      </c>
      <c r="D27" s="23">
        <v>23544</v>
      </c>
      <c r="E27" s="18">
        <v>1250</v>
      </c>
      <c r="F27" s="19" t="s">
        <v>38</v>
      </c>
      <c r="G27" s="20">
        <v>4</v>
      </c>
      <c r="H27" s="33"/>
      <c r="I27" s="101">
        <f>IF(G27=4,E27,0)</f>
        <v>1250</v>
      </c>
      <c r="L27" s="102">
        <v>1010.7</v>
      </c>
      <c r="M27" s="128"/>
      <c r="N27" s="129">
        <f t="shared" si="4"/>
        <v>0.80856000000000006</v>
      </c>
      <c r="O27" s="31"/>
      <c r="P27" s="28" t="s">
        <v>35</v>
      </c>
      <c r="Q27" s="29" t="s">
        <v>36</v>
      </c>
    </row>
    <row r="28" spans="1:22">
      <c r="B28" s="20">
        <f t="shared" si="5"/>
        <v>6</v>
      </c>
      <c r="C28" t="s">
        <v>54</v>
      </c>
      <c r="D28" s="19">
        <v>103938</v>
      </c>
      <c r="E28" s="18">
        <v>1000</v>
      </c>
      <c r="F28" s="19" t="s">
        <v>55</v>
      </c>
      <c r="G28" s="20">
        <v>4</v>
      </c>
      <c r="I28" s="101">
        <f t="shared" si="3"/>
        <v>1000</v>
      </c>
      <c r="K28" s="22"/>
      <c r="L28" s="130">
        <v>973.4</v>
      </c>
      <c r="N28" s="219">
        <f t="shared" si="4"/>
        <v>0.97339999999999993</v>
      </c>
      <c r="O28" s="34"/>
    </row>
    <row r="29" spans="1:22">
      <c r="B29" s="20">
        <f t="shared" si="5"/>
        <v>7</v>
      </c>
      <c r="C29" s="16" t="s">
        <v>40</v>
      </c>
      <c r="D29" s="23">
        <v>22334</v>
      </c>
      <c r="E29" s="18">
        <v>562.5</v>
      </c>
      <c r="F29" s="19" t="s">
        <v>38</v>
      </c>
      <c r="G29" s="20">
        <v>4</v>
      </c>
      <c r="H29" s="33"/>
      <c r="I29" s="101">
        <f t="shared" si="3"/>
        <v>562.5</v>
      </c>
      <c r="L29" s="102">
        <v>464.5</v>
      </c>
      <c r="M29" s="111"/>
      <c r="N29" s="104">
        <f t="shared" si="4"/>
        <v>0.82577777777777783</v>
      </c>
    </row>
    <row r="30" spans="1:22">
      <c r="B30" s="131">
        <f t="shared" si="5"/>
        <v>8</v>
      </c>
      <c r="C30" s="132" t="s">
        <v>56</v>
      </c>
      <c r="D30" s="133">
        <v>103665</v>
      </c>
      <c r="E30" s="134">
        <v>620.91</v>
      </c>
      <c r="F30" s="210" t="s">
        <v>38</v>
      </c>
      <c r="G30" s="136">
        <v>4</v>
      </c>
      <c r="H30" s="137"/>
      <c r="I30" s="138">
        <f t="shared" si="3"/>
        <v>620.91</v>
      </c>
      <c r="L30" s="139">
        <v>486</v>
      </c>
      <c r="M30" s="140"/>
      <c r="N30" s="104">
        <f t="shared" si="4"/>
        <v>0.78272213364255694</v>
      </c>
    </row>
    <row r="31" spans="1:22">
      <c r="B31" s="20">
        <f>B30+1</f>
        <v>9</v>
      </c>
      <c r="C31" s="16" t="s">
        <v>57</v>
      </c>
      <c r="D31" s="23">
        <v>22312</v>
      </c>
      <c r="E31" s="18">
        <f>136+114</f>
        <v>250</v>
      </c>
      <c r="F31" s="19" t="s">
        <v>26</v>
      </c>
      <c r="G31" s="20">
        <v>4</v>
      </c>
      <c r="H31" s="33"/>
      <c r="I31" s="101">
        <f t="shared" si="3"/>
        <v>250</v>
      </c>
      <c r="L31" s="102">
        <v>188.8</v>
      </c>
      <c r="M31" s="211"/>
      <c r="N31" s="104">
        <f t="shared" si="4"/>
        <v>0.75520000000000009</v>
      </c>
    </row>
    <row r="32" spans="1:22">
      <c r="B32" s="142">
        <f>1</f>
        <v>1</v>
      </c>
      <c r="C32" s="143" t="s">
        <v>58</v>
      </c>
      <c r="D32" s="144">
        <v>22309</v>
      </c>
      <c r="E32" s="145">
        <v>202.51</v>
      </c>
      <c r="F32" s="146" t="s">
        <v>38</v>
      </c>
      <c r="G32" s="147">
        <v>4</v>
      </c>
      <c r="H32" s="148"/>
      <c r="I32" s="149">
        <v>0</v>
      </c>
      <c r="L32" s="59">
        <v>0</v>
      </c>
      <c r="M32" s="150"/>
    </row>
    <row r="33" spans="2:18">
      <c r="B33" s="212">
        <f>B31+1</f>
        <v>10</v>
      </c>
      <c r="C33" s="152" t="s">
        <v>59</v>
      </c>
      <c r="D33" s="153">
        <v>103139</v>
      </c>
      <c r="E33" s="154">
        <v>0</v>
      </c>
      <c r="F33" s="155" t="s">
        <v>26</v>
      </c>
      <c r="G33" s="156">
        <v>4</v>
      </c>
      <c r="H33" s="33"/>
      <c r="I33" s="157">
        <v>0</v>
      </c>
      <c r="L33" s="158">
        <v>0</v>
      </c>
      <c r="M33" s="16"/>
      <c r="O33" s="34"/>
      <c r="R33" s="62"/>
    </row>
    <row r="34" spans="2:18" ht="20.25">
      <c r="B34" s="142">
        <f>B32+1</f>
        <v>2</v>
      </c>
      <c r="C34" s="159" t="s">
        <v>60</v>
      </c>
      <c r="D34" s="144">
        <v>22315</v>
      </c>
      <c r="E34" s="145">
        <v>79.448999999999998</v>
      </c>
      <c r="F34" s="146" t="s">
        <v>38</v>
      </c>
      <c r="G34" s="147">
        <v>4</v>
      </c>
      <c r="H34" s="148"/>
      <c r="I34" s="149">
        <v>0</v>
      </c>
      <c r="L34" s="59">
        <v>0</v>
      </c>
      <c r="M34" s="160"/>
      <c r="O34" s="31"/>
      <c r="R34" s="64"/>
    </row>
    <row r="35" spans="2:18" ht="20.25">
      <c r="B35" s="142">
        <f t="shared" ref="B35:B48" si="6">B34+1</f>
        <v>3</v>
      </c>
      <c r="C35" s="143" t="s">
        <v>61</v>
      </c>
      <c r="D35" s="144">
        <v>22322</v>
      </c>
      <c r="E35" s="161">
        <v>75</v>
      </c>
      <c r="F35" s="146" t="s">
        <v>38</v>
      </c>
      <c r="G35" s="147">
        <v>4</v>
      </c>
      <c r="H35" s="148"/>
      <c r="I35" s="149">
        <v>0</v>
      </c>
      <c r="L35" s="59">
        <v>0</v>
      </c>
      <c r="M35" s="162"/>
      <c r="O35" s="31"/>
    </row>
    <row r="36" spans="2:18">
      <c r="B36" s="20">
        <f>B31+1</f>
        <v>10</v>
      </c>
      <c r="C36" s="16" t="s">
        <v>62</v>
      </c>
      <c r="D36" s="19">
        <v>22344</v>
      </c>
      <c r="E36" s="18">
        <v>50</v>
      </c>
      <c r="F36" s="19" t="s">
        <v>22</v>
      </c>
      <c r="G36" s="20">
        <v>4</v>
      </c>
      <c r="H36" s="33"/>
      <c r="I36" s="101">
        <f>IF(G36=4,E36,0)</f>
        <v>50</v>
      </c>
      <c r="L36" s="110">
        <v>36.4</v>
      </c>
      <c r="M36" s="16"/>
      <c r="N36" s="104">
        <f>L36/I36</f>
        <v>0.72799999999999998</v>
      </c>
      <c r="O36" s="34"/>
    </row>
    <row r="37" spans="2:18">
      <c r="B37" s="142">
        <f>B35+1</f>
        <v>4</v>
      </c>
      <c r="C37" s="143" t="s">
        <v>63</v>
      </c>
      <c r="D37" s="144">
        <v>22311</v>
      </c>
      <c r="E37" s="145">
        <v>45</v>
      </c>
      <c r="F37" s="146" t="s">
        <v>22</v>
      </c>
      <c r="G37" s="147">
        <v>4</v>
      </c>
      <c r="H37" s="148"/>
      <c r="I37" s="149">
        <v>0</v>
      </c>
      <c r="L37" s="59">
        <v>0</v>
      </c>
      <c r="M37" s="143"/>
      <c r="O37" s="34"/>
    </row>
    <row r="38" spans="2:18">
      <c r="B38" s="142">
        <f t="shared" si="6"/>
        <v>5</v>
      </c>
      <c r="C38" s="143" t="s">
        <v>64</v>
      </c>
      <c r="D38" s="144">
        <v>22323</v>
      </c>
      <c r="E38" s="145">
        <v>45</v>
      </c>
      <c r="F38" s="146" t="s">
        <v>22</v>
      </c>
      <c r="G38" s="147">
        <v>4</v>
      </c>
      <c r="H38" s="148"/>
      <c r="I38" s="149">
        <v>0</v>
      </c>
      <c r="L38" s="59">
        <v>0</v>
      </c>
      <c r="M38" s="162"/>
      <c r="O38" s="34"/>
    </row>
    <row r="39" spans="2:18">
      <c r="B39" s="142">
        <f t="shared" si="6"/>
        <v>6</v>
      </c>
      <c r="C39" s="143" t="s">
        <v>65</v>
      </c>
      <c r="D39" s="144">
        <v>105214</v>
      </c>
      <c r="E39" s="145">
        <v>35.551000000000002</v>
      </c>
      <c r="F39" s="146" t="s">
        <v>22</v>
      </c>
      <c r="G39" s="147">
        <v>4</v>
      </c>
      <c r="H39" s="148"/>
      <c r="I39" s="149">
        <v>0</v>
      </c>
      <c r="L39" s="59">
        <v>0</v>
      </c>
      <c r="M39" s="162"/>
      <c r="O39" s="34"/>
    </row>
    <row r="40" spans="2:18" ht="20.25">
      <c r="B40" s="142">
        <f t="shared" si="6"/>
        <v>7</v>
      </c>
      <c r="C40" s="143" t="s">
        <v>66</v>
      </c>
      <c r="D40" s="144">
        <v>22303</v>
      </c>
      <c r="E40" s="145">
        <v>32.4</v>
      </c>
      <c r="F40" s="146" t="s">
        <v>38</v>
      </c>
      <c r="G40" s="147">
        <v>4</v>
      </c>
      <c r="H40" s="148"/>
      <c r="I40" s="149">
        <v>0</v>
      </c>
      <c r="L40" s="59">
        <v>0</v>
      </c>
      <c r="M40" s="143"/>
      <c r="O40" s="31"/>
    </row>
    <row r="41" spans="2:18">
      <c r="B41" s="142">
        <f t="shared" si="6"/>
        <v>8</v>
      </c>
      <c r="C41" s="143" t="s">
        <v>67</v>
      </c>
      <c r="D41" s="144">
        <v>22328</v>
      </c>
      <c r="E41" s="145">
        <v>25</v>
      </c>
      <c r="F41" s="146" t="s">
        <v>22</v>
      </c>
      <c r="G41" s="147">
        <v>4</v>
      </c>
      <c r="H41" s="148"/>
      <c r="I41" s="149">
        <v>0</v>
      </c>
      <c r="L41" s="67">
        <v>0</v>
      </c>
      <c r="M41" s="143"/>
      <c r="O41" s="34"/>
    </row>
    <row r="42" spans="2:18">
      <c r="B42" s="142">
        <f t="shared" si="6"/>
        <v>9</v>
      </c>
      <c r="C42" s="143" t="s">
        <v>68</v>
      </c>
      <c r="D42" s="144">
        <v>22302</v>
      </c>
      <c r="E42" s="145">
        <v>18</v>
      </c>
      <c r="F42" s="146" t="s">
        <v>38</v>
      </c>
      <c r="G42" s="147">
        <v>4</v>
      </c>
      <c r="H42" s="148"/>
      <c r="I42" s="149">
        <v>0</v>
      </c>
      <c r="L42" s="59">
        <v>0</v>
      </c>
      <c r="M42" s="144"/>
      <c r="O42" s="34"/>
    </row>
    <row r="43" spans="2:18">
      <c r="B43" s="142">
        <f t="shared" si="6"/>
        <v>10</v>
      </c>
      <c r="C43" s="143" t="s">
        <v>69</v>
      </c>
      <c r="D43" s="144">
        <v>22332</v>
      </c>
      <c r="E43" s="145">
        <v>15</v>
      </c>
      <c r="F43" s="146" t="s">
        <v>38</v>
      </c>
      <c r="G43" s="147">
        <v>4</v>
      </c>
      <c r="H43" s="148"/>
      <c r="I43" s="149">
        <v>0</v>
      </c>
      <c r="L43" s="59">
        <v>0</v>
      </c>
      <c r="M43" s="166"/>
      <c r="O43" s="34"/>
    </row>
    <row r="44" spans="2:18">
      <c r="B44" s="142">
        <f t="shared" si="6"/>
        <v>11</v>
      </c>
      <c r="C44" s="143" t="s">
        <v>70</v>
      </c>
      <c r="D44" s="144">
        <v>22368</v>
      </c>
      <c r="E44" s="145">
        <v>15</v>
      </c>
      <c r="F44" s="146" t="s">
        <v>26</v>
      </c>
      <c r="G44" s="147">
        <v>4</v>
      </c>
      <c r="H44" s="148"/>
      <c r="I44" s="149">
        <v>0</v>
      </c>
      <c r="L44" s="59">
        <v>0</v>
      </c>
      <c r="M44" s="166"/>
      <c r="O44" s="34"/>
    </row>
    <row r="45" spans="2:18" ht="20.25">
      <c r="B45" s="142">
        <f t="shared" si="6"/>
        <v>12</v>
      </c>
      <c r="C45" s="143" t="s">
        <v>71</v>
      </c>
      <c r="D45" s="144">
        <v>22324</v>
      </c>
      <c r="E45" s="145">
        <v>15</v>
      </c>
      <c r="F45" s="146" t="s">
        <v>26</v>
      </c>
      <c r="G45" s="147">
        <v>4</v>
      </c>
      <c r="H45" s="148"/>
      <c r="I45" s="149">
        <v>0</v>
      </c>
      <c r="L45" s="59">
        <v>0</v>
      </c>
      <c r="M45" s="166"/>
      <c r="O45" s="31"/>
    </row>
    <row r="46" spans="2:18">
      <c r="B46" s="20">
        <f>B36+1</f>
        <v>11</v>
      </c>
      <c r="C46" s="16" t="s">
        <v>72</v>
      </c>
      <c r="D46" s="23">
        <v>22301</v>
      </c>
      <c r="E46" s="18">
        <v>13.776999999999999</v>
      </c>
      <c r="F46" s="19" t="s">
        <v>26</v>
      </c>
      <c r="G46" s="20">
        <v>4</v>
      </c>
      <c r="H46" s="33"/>
      <c r="I46" s="101">
        <f>IF(G46=4,E46,0)</f>
        <v>13.776999999999999</v>
      </c>
      <c r="L46" s="102">
        <v>11.1</v>
      </c>
      <c r="M46" s="128"/>
      <c r="N46" s="104">
        <f>L46/I46</f>
        <v>0.80569064382666766</v>
      </c>
      <c r="O46" s="34"/>
    </row>
    <row r="47" spans="2:18">
      <c r="B47" s="142">
        <f>B45+1</f>
        <v>13</v>
      </c>
      <c r="C47" s="143" t="s">
        <v>73</v>
      </c>
      <c r="D47" s="144">
        <v>22304</v>
      </c>
      <c r="E47" s="145">
        <v>10</v>
      </c>
      <c r="F47" s="146" t="s">
        <v>38</v>
      </c>
      <c r="G47" s="147">
        <v>4</v>
      </c>
      <c r="H47" s="148"/>
      <c r="I47" s="149">
        <v>0</v>
      </c>
      <c r="L47" s="59">
        <v>0</v>
      </c>
      <c r="M47" s="143"/>
      <c r="O47" s="34"/>
    </row>
    <row r="48" spans="2:18" ht="20.25">
      <c r="B48" s="142">
        <f t="shared" si="6"/>
        <v>14</v>
      </c>
      <c r="C48" s="143" t="s">
        <v>74</v>
      </c>
      <c r="D48" s="144">
        <v>22327</v>
      </c>
      <c r="E48" s="168">
        <v>8</v>
      </c>
      <c r="F48" s="146" t="s">
        <v>22</v>
      </c>
      <c r="G48" s="147">
        <v>4</v>
      </c>
      <c r="H48" s="169"/>
      <c r="I48" s="170">
        <v>0</v>
      </c>
      <c r="L48" s="59">
        <v>0</v>
      </c>
      <c r="M48" s="143"/>
      <c r="O48" s="31"/>
    </row>
    <row r="49" spans="2:20">
      <c r="G49" s="41" t="s">
        <v>75</v>
      </c>
      <c r="H49" s="43"/>
      <c r="I49" s="199">
        <f>SUM(I22:I24,I26:I31,I36,I46)</f>
        <v>19256.267</v>
      </c>
      <c r="L49" s="213">
        <f>SUM(L22:L24,L26:L31,L36,L46)</f>
        <v>14971.999999999998</v>
      </c>
      <c r="N49" s="45">
        <f>L49/I68</f>
        <v>0.7775131078105636</v>
      </c>
      <c r="O49" s="34"/>
    </row>
    <row r="51" spans="2:20">
      <c r="R51" s="26" t="s">
        <v>14</v>
      </c>
      <c r="T51" s="105"/>
    </row>
    <row r="52" spans="2:20">
      <c r="B52" s="71">
        <f>1</f>
        <v>1</v>
      </c>
      <c r="C52" s="16" t="s">
        <v>76</v>
      </c>
      <c r="D52" s="23">
        <v>22316</v>
      </c>
      <c r="E52" s="18">
        <v>6461.232</v>
      </c>
      <c r="F52" s="19" t="s">
        <v>22</v>
      </c>
      <c r="G52" s="20">
        <v>3</v>
      </c>
      <c r="J52" s="101">
        <f>IF(G52=3,E52,0)</f>
        <v>6461.232</v>
      </c>
      <c r="K52" s="22"/>
      <c r="L52" s="102">
        <v>5559.1</v>
      </c>
      <c r="M52" s="16"/>
      <c r="N52" s="126">
        <f>L52/J52</f>
        <v>0.86037771124763829</v>
      </c>
      <c r="O52" s="34"/>
      <c r="P52" s="28" t="s">
        <v>19</v>
      </c>
      <c r="Q52" s="47" t="s">
        <v>45</v>
      </c>
      <c r="T52" s="107"/>
    </row>
    <row r="53" spans="2:20">
      <c r="B53" s="86">
        <f>B52+1</f>
        <v>2</v>
      </c>
      <c r="C53" s="16" t="s">
        <v>77</v>
      </c>
      <c r="D53" s="23">
        <v>22335</v>
      </c>
      <c r="E53" s="18">
        <v>864.82799999999997</v>
      </c>
      <c r="F53" s="19" t="s">
        <v>22</v>
      </c>
      <c r="G53" s="20">
        <v>3</v>
      </c>
      <c r="J53" s="101">
        <f>IF(G53=3,E53,0)</f>
        <v>864.82799999999997</v>
      </c>
      <c r="K53" s="22"/>
      <c r="L53" s="102">
        <v>598.6</v>
      </c>
      <c r="M53" s="128"/>
      <c r="N53" s="175">
        <f>L53/J53</f>
        <v>0.69216075335211169</v>
      </c>
      <c r="O53" s="34"/>
      <c r="P53" s="28" t="s">
        <v>23</v>
      </c>
      <c r="Q53" s="47" t="s">
        <v>45</v>
      </c>
      <c r="T53" s="109"/>
    </row>
    <row r="54" spans="2:20">
      <c r="B54" s="151">
        <f>B53+1</f>
        <v>3</v>
      </c>
      <c r="C54" s="152" t="s">
        <v>78</v>
      </c>
      <c r="D54" s="153">
        <v>22306</v>
      </c>
      <c r="E54" s="154">
        <v>0</v>
      </c>
      <c r="F54" s="155" t="s">
        <v>22</v>
      </c>
      <c r="G54" s="156">
        <v>3</v>
      </c>
      <c r="J54" s="157">
        <f t="shared" ref="J54:J67" si="7">IF(G54=3,E54,0)</f>
        <v>0</v>
      </c>
      <c r="K54" s="16"/>
      <c r="L54" s="119">
        <v>0</v>
      </c>
      <c r="M54" s="16"/>
      <c r="O54" s="34"/>
      <c r="P54" s="28" t="s">
        <v>27</v>
      </c>
      <c r="Q54" s="47" t="s">
        <v>48</v>
      </c>
      <c r="T54" s="109"/>
    </row>
    <row r="55" spans="2:20">
      <c r="B55" s="71">
        <f>B53+1</f>
        <v>3</v>
      </c>
      <c r="C55" s="16" t="s">
        <v>79</v>
      </c>
      <c r="D55" s="23">
        <v>22342</v>
      </c>
      <c r="E55" s="46">
        <v>500</v>
      </c>
      <c r="F55" s="19" t="s">
        <v>22</v>
      </c>
      <c r="G55" s="20">
        <v>3</v>
      </c>
      <c r="J55" s="174">
        <f t="shared" si="7"/>
        <v>500</v>
      </c>
      <c r="K55" s="22"/>
      <c r="L55" s="102">
        <v>337.5</v>
      </c>
      <c r="M55" s="16"/>
      <c r="N55" s="222">
        <v>0.67500000000000004</v>
      </c>
      <c r="O55" s="34"/>
      <c r="P55" s="28" t="s">
        <v>30</v>
      </c>
      <c r="Q55" s="29" t="s">
        <v>51</v>
      </c>
      <c r="T55" s="109"/>
    </row>
    <row r="56" spans="2:20">
      <c r="B56" s="71">
        <f>B55+1</f>
        <v>4</v>
      </c>
      <c r="C56" s="16" t="s">
        <v>80</v>
      </c>
      <c r="D56" s="23">
        <v>22321</v>
      </c>
      <c r="E56" s="18">
        <v>400</v>
      </c>
      <c r="F56" s="19" t="s">
        <v>26</v>
      </c>
      <c r="G56" s="20">
        <v>3</v>
      </c>
      <c r="J56" s="101">
        <f t="shared" si="7"/>
        <v>400</v>
      </c>
      <c r="K56" s="22"/>
      <c r="L56" s="102">
        <v>372.2</v>
      </c>
      <c r="M56" s="16"/>
      <c r="N56" s="219">
        <v>0.93049999999999999</v>
      </c>
      <c r="O56" s="34"/>
      <c r="P56" s="28" t="s">
        <v>33</v>
      </c>
      <c r="Q56" s="29" t="s">
        <v>34</v>
      </c>
      <c r="T56" s="77"/>
    </row>
    <row r="57" spans="2:20">
      <c r="B57" s="151">
        <f>B56+1</f>
        <v>5</v>
      </c>
      <c r="C57" s="176" t="s">
        <v>81</v>
      </c>
      <c r="D57" s="153">
        <v>102821</v>
      </c>
      <c r="E57" s="177">
        <v>0</v>
      </c>
      <c r="F57" s="155" t="s">
        <v>26</v>
      </c>
      <c r="G57" s="178">
        <v>3</v>
      </c>
      <c r="J57" s="157">
        <f t="shared" si="7"/>
        <v>0</v>
      </c>
      <c r="K57" s="16"/>
      <c r="L57" s="119">
        <v>0</v>
      </c>
      <c r="M57" s="16"/>
      <c r="O57" s="34"/>
      <c r="P57" s="28" t="s">
        <v>35</v>
      </c>
      <c r="Q57" s="29" t="s">
        <v>36</v>
      </c>
      <c r="T57" s="77"/>
    </row>
    <row r="58" spans="2:20">
      <c r="B58" s="71">
        <f>B56+1</f>
        <v>5</v>
      </c>
      <c r="C58" s="32" t="s">
        <v>82</v>
      </c>
      <c r="D58" s="23">
        <v>102950</v>
      </c>
      <c r="E58" s="30">
        <v>300</v>
      </c>
      <c r="F58" s="19" t="s">
        <v>26</v>
      </c>
      <c r="G58" s="20">
        <v>3</v>
      </c>
      <c r="J58" s="101">
        <f t="shared" si="7"/>
        <v>300</v>
      </c>
      <c r="K58" s="22"/>
      <c r="L58" s="102">
        <v>264.5</v>
      </c>
      <c r="M58" s="16"/>
      <c r="N58" s="104">
        <v>0.88166666666666671</v>
      </c>
    </row>
    <row r="59" spans="2:20">
      <c r="B59" s="71">
        <f>B57+1</f>
        <v>6</v>
      </c>
      <c r="C59" s="16" t="s">
        <v>80</v>
      </c>
      <c r="D59" s="23">
        <v>102949</v>
      </c>
      <c r="E59" s="18">
        <v>200</v>
      </c>
      <c r="F59" s="19" t="s">
        <v>26</v>
      </c>
      <c r="G59" s="20">
        <v>3</v>
      </c>
      <c r="J59" s="101">
        <f t="shared" si="7"/>
        <v>200</v>
      </c>
      <c r="K59" s="22"/>
      <c r="L59" s="102">
        <v>183</v>
      </c>
      <c r="M59" s="16"/>
      <c r="N59" s="220">
        <v>0.91500000000000004</v>
      </c>
    </row>
    <row r="60" spans="2:20" ht="20.25">
      <c r="B60" s="71">
        <f>B59+1</f>
        <v>7</v>
      </c>
      <c r="C60" s="16" t="s">
        <v>83</v>
      </c>
      <c r="D60" s="23">
        <v>22326</v>
      </c>
      <c r="E60" s="18">
        <v>29</v>
      </c>
      <c r="F60" s="19" t="s">
        <v>38</v>
      </c>
      <c r="G60" s="20">
        <v>3</v>
      </c>
      <c r="J60" s="101">
        <f t="shared" si="7"/>
        <v>29</v>
      </c>
      <c r="K60" s="22"/>
      <c r="L60" s="102">
        <v>25.9</v>
      </c>
      <c r="M60" s="16"/>
      <c r="N60" s="104">
        <v>0.89310344827586197</v>
      </c>
      <c r="O60" s="31"/>
    </row>
    <row r="61" spans="2:20">
      <c r="B61" s="71">
        <f t="shared" ref="B61:B67" si="8">B60+1</f>
        <v>8</v>
      </c>
      <c r="C61" s="16" t="s">
        <v>84</v>
      </c>
      <c r="D61" s="23">
        <v>22339</v>
      </c>
      <c r="E61" s="18">
        <v>18.125</v>
      </c>
      <c r="F61" s="19" t="s">
        <v>26</v>
      </c>
      <c r="G61" s="20">
        <v>3</v>
      </c>
      <c r="J61" s="101">
        <f t="shared" si="7"/>
        <v>18.125</v>
      </c>
      <c r="K61" s="22"/>
      <c r="L61" s="102">
        <v>16.399999999999999</v>
      </c>
      <c r="M61" s="16"/>
      <c r="N61" s="220">
        <v>0.90482758620689652</v>
      </c>
      <c r="O61" s="34"/>
    </row>
    <row r="62" spans="2:20">
      <c r="B62" s="71">
        <f t="shared" si="8"/>
        <v>9</v>
      </c>
      <c r="C62" s="16" t="s">
        <v>85</v>
      </c>
      <c r="D62" s="23">
        <v>22308</v>
      </c>
      <c r="E62" s="18">
        <v>17.145</v>
      </c>
      <c r="F62" s="19" t="s">
        <v>38</v>
      </c>
      <c r="G62" s="20">
        <v>3</v>
      </c>
      <c r="J62" s="101">
        <f t="shared" si="7"/>
        <v>17.145</v>
      </c>
      <c r="K62" s="22"/>
      <c r="L62" s="102">
        <v>15.3</v>
      </c>
      <c r="M62" s="16"/>
      <c r="N62" s="129">
        <v>0.8923884514435696</v>
      </c>
      <c r="O62" s="34"/>
    </row>
    <row r="63" spans="2:20" ht="20.25">
      <c r="B63" s="71">
        <f t="shared" si="8"/>
        <v>10</v>
      </c>
      <c r="C63" s="16" t="s">
        <v>86</v>
      </c>
      <c r="D63" s="23">
        <v>22300</v>
      </c>
      <c r="E63" s="18">
        <v>16.655000000000001</v>
      </c>
      <c r="F63" s="19" t="s">
        <v>22</v>
      </c>
      <c r="G63" s="20">
        <v>3</v>
      </c>
      <c r="J63" s="101">
        <f t="shared" si="7"/>
        <v>16.655000000000001</v>
      </c>
      <c r="K63" s="22"/>
      <c r="L63" s="110">
        <v>15.1</v>
      </c>
      <c r="M63" s="16"/>
      <c r="N63" s="219">
        <v>0.90663464425097562</v>
      </c>
      <c r="O63" s="31"/>
    </row>
    <row r="64" spans="2:20">
      <c r="B64" s="71">
        <f t="shared" si="8"/>
        <v>11</v>
      </c>
      <c r="C64" s="16" t="s">
        <v>87</v>
      </c>
      <c r="D64" s="23">
        <v>22336</v>
      </c>
      <c r="E64" s="18">
        <v>14.634</v>
      </c>
      <c r="F64" s="19" t="s">
        <v>26</v>
      </c>
      <c r="G64" s="20">
        <v>3</v>
      </c>
      <c r="J64" s="101">
        <f t="shared" si="7"/>
        <v>14.634</v>
      </c>
      <c r="K64" s="22"/>
      <c r="L64" s="102">
        <v>13.2</v>
      </c>
      <c r="M64" s="16"/>
      <c r="N64" s="220">
        <v>0.90200902009020079</v>
      </c>
      <c r="O64" s="34"/>
    </row>
    <row r="65" spans="2:18" ht="20.25">
      <c r="B65" s="71">
        <f t="shared" si="8"/>
        <v>12</v>
      </c>
      <c r="C65" s="32" t="s">
        <v>88</v>
      </c>
      <c r="D65" s="23">
        <v>103962</v>
      </c>
      <c r="E65" s="30">
        <v>10</v>
      </c>
      <c r="F65" s="19" t="s">
        <v>26</v>
      </c>
      <c r="G65" s="20">
        <v>3</v>
      </c>
      <c r="J65" s="101">
        <f t="shared" si="7"/>
        <v>10</v>
      </c>
      <c r="K65" s="22"/>
      <c r="L65" s="102">
        <v>9</v>
      </c>
      <c r="M65" s="16"/>
      <c r="N65" s="219">
        <v>0.9</v>
      </c>
      <c r="O65" s="31"/>
    </row>
    <row r="66" spans="2:18">
      <c r="B66" s="71">
        <f t="shared" si="8"/>
        <v>13</v>
      </c>
      <c r="C66" s="16" t="s">
        <v>89</v>
      </c>
      <c r="D66" s="23">
        <v>22341</v>
      </c>
      <c r="E66" s="73">
        <v>8.4190000000000005</v>
      </c>
      <c r="F66" s="19" t="s">
        <v>26</v>
      </c>
      <c r="G66" s="20">
        <v>3</v>
      </c>
      <c r="J66" s="101">
        <f t="shared" si="7"/>
        <v>8.4190000000000005</v>
      </c>
      <c r="K66" s="22"/>
      <c r="L66" s="102">
        <v>7.6</v>
      </c>
      <c r="M66" s="16"/>
      <c r="N66" s="221">
        <v>0.9027200380092647</v>
      </c>
      <c r="O66" s="34"/>
    </row>
    <row r="67" spans="2:18">
      <c r="B67" s="71">
        <f t="shared" si="8"/>
        <v>14</v>
      </c>
      <c r="C67" s="16" t="s">
        <v>90</v>
      </c>
      <c r="D67" s="74">
        <v>22340</v>
      </c>
      <c r="E67" s="75">
        <v>4.9749999999999996</v>
      </c>
      <c r="F67" s="19" t="s">
        <v>22</v>
      </c>
      <c r="G67" s="20">
        <v>3</v>
      </c>
      <c r="J67" s="181">
        <f t="shared" si="7"/>
        <v>4.9749999999999996</v>
      </c>
      <c r="K67" s="22"/>
      <c r="L67" s="110">
        <v>4.5</v>
      </c>
      <c r="M67" s="16"/>
      <c r="N67" s="219">
        <v>0.90452261306532666</v>
      </c>
      <c r="O67" s="34"/>
    </row>
    <row r="68" spans="2:18">
      <c r="E68" s="78">
        <f>SUM(E10:E15,E22:E31,E36,E46,E52:E53,E55:E56,E58:E67,)</f>
        <v>40554.791999999994</v>
      </c>
      <c r="F68" s="19"/>
      <c r="G68" s="81" t="s">
        <v>91</v>
      </c>
      <c r="H68" s="79">
        <f>SUM(H9:H18)</f>
        <v>17228.334000000003</v>
      </c>
      <c r="I68" s="214">
        <f>I49</f>
        <v>19256.267</v>
      </c>
      <c r="J68" s="79">
        <f>SUM(J52:J53,J55:J56,J58:J67,)</f>
        <v>8845.0130000000008</v>
      </c>
      <c r="K68" s="215"/>
      <c r="L68" s="44">
        <f>SUM(L52:L67)</f>
        <v>7421.9000000000005</v>
      </c>
      <c r="N68" s="45">
        <v>0.8391056067413355</v>
      </c>
      <c r="O68" s="34"/>
    </row>
    <row r="69" spans="2:18">
      <c r="F69" s="19"/>
      <c r="H69" s="82">
        <f>H68/I70</f>
        <v>0.38006796175233265</v>
      </c>
      <c r="I69" s="82">
        <f>I68/I70</f>
        <v>0.42480544837641898</v>
      </c>
      <c r="J69" s="82">
        <f>J68/I70</f>
        <v>0.19512658987124842</v>
      </c>
      <c r="L69" s="83"/>
    </row>
    <row r="70" spans="2:18">
      <c r="B70" s="20">
        <f>B18+B46+B67</f>
        <v>35</v>
      </c>
      <c r="C70" s="71" t="s">
        <v>92</v>
      </c>
      <c r="I70" s="84">
        <f>H68+I68+J68</f>
        <v>45329.614000000001</v>
      </c>
      <c r="L70" s="44">
        <f>L19+L49+L68</f>
        <v>35991</v>
      </c>
      <c r="N70" s="45">
        <f>L70/I70</f>
        <v>0.79398425938504569</v>
      </c>
    </row>
    <row r="71" spans="2:18">
      <c r="H71" s="86" t="s">
        <v>93</v>
      </c>
      <c r="I71" s="87">
        <v>-718</v>
      </c>
    </row>
    <row r="72" spans="2:18">
      <c r="I72" s="20" t="s">
        <v>94</v>
      </c>
      <c r="K72" s="216" t="s">
        <v>95</v>
      </c>
      <c r="P72" s="5"/>
      <c r="Q72" s="89" t="s">
        <v>96</v>
      </c>
      <c r="R72" s="5"/>
    </row>
    <row r="73" spans="2:18">
      <c r="I73" s="90">
        <f>I70+I71</f>
        <v>44611.614000000001</v>
      </c>
      <c r="K73" s="217" t="s">
        <v>106</v>
      </c>
      <c r="L73" s="91">
        <f>I73-L70-629</f>
        <v>7991.6140000000014</v>
      </c>
      <c r="M73" s="92" t="s">
        <v>97</v>
      </c>
      <c r="N73" s="93"/>
      <c r="P73" s="217" t="s">
        <v>98</v>
      </c>
      <c r="Q73" s="91">
        <v>7117</v>
      </c>
    </row>
    <row r="74" spans="2:18">
      <c r="I74" s="183"/>
      <c r="K74" s="218"/>
      <c r="L74" s="91">
        <f>I73-L70</f>
        <v>8620.6140000000014</v>
      </c>
      <c r="M74" s="92" t="s">
        <v>99</v>
      </c>
      <c r="N74" s="93"/>
      <c r="Q74" s="91">
        <v>8712</v>
      </c>
    </row>
    <row r="75" spans="2:18">
      <c r="D75" s="184" t="s">
        <v>100</v>
      </c>
      <c r="E75" s="185" t="s">
        <v>101</v>
      </c>
      <c r="L75" s="91">
        <f>L70</f>
        <v>35991</v>
      </c>
      <c r="M75" s="92" t="s">
        <v>102</v>
      </c>
      <c r="N75" s="93"/>
      <c r="Q75" s="91">
        <v>36396</v>
      </c>
      <c r="R75" s="95" t="s">
        <v>103</v>
      </c>
    </row>
    <row r="76" spans="2:18">
      <c r="D76" s="186"/>
      <c r="E76" s="185" t="s">
        <v>104</v>
      </c>
      <c r="L76" s="96">
        <f>L75/SUM(L75+L74+718)</f>
        <v>0.79398425938504569</v>
      </c>
      <c r="M76" s="92" t="s">
        <v>102</v>
      </c>
      <c r="N76" s="93"/>
      <c r="Q76" s="97">
        <f>Q75/SUM(Q75+Q74+222)</f>
        <v>0.80291197882197218</v>
      </c>
      <c r="R76" s="95" t="s">
        <v>103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89"/>
  <sheetViews>
    <sheetView topLeftCell="D53" zoomScale="75" zoomScaleNormal="231" zoomScaleSheetLayoutView="63" workbookViewId="0">
      <selection activeCell="N83" sqref="N83"/>
    </sheetView>
  </sheetViews>
  <sheetFormatPr defaultRowHeight="12.75"/>
  <cols>
    <col min="3" max="3" width="30.7109375" customWidth="1"/>
    <col min="5" max="5" width="12.85546875" customWidth="1"/>
    <col min="8" max="8" width="12.5703125" customWidth="1"/>
    <col min="9" max="9" width="12.7109375" customWidth="1"/>
    <col min="10" max="10" width="12.28515625" customWidth="1"/>
  </cols>
  <sheetData>
    <row r="3" spans="2:21" ht="18">
      <c r="K3" s="2"/>
      <c r="L3" s="3" t="s">
        <v>1</v>
      </c>
      <c r="M3" s="4"/>
      <c r="N3" s="3" t="s">
        <v>129</v>
      </c>
      <c r="O3" s="2"/>
    </row>
    <row r="6" spans="2:21">
      <c r="N6" s="6" t="s">
        <v>2</v>
      </c>
      <c r="Q6" s="10" t="s">
        <v>3</v>
      </c>
    </row>
    <row r="7" spans="2:21">
      <c r="L7" s="6" t="s">
        <v>4</v>
      </c>
      <c r="M7" s="8"/>
      <c r="N7" s="6" t="s">
        <v>5</v>
      </c>
      <c r="O7" s="9"/>
      <c r="P7" s="14" t="s">
        <v>6</v>
      </c>
    </row>
    <row r="8" spans="2:21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25"/>
      <c r="R8" s="26" t="s">
        <v>12</v>
      </c>
      <c r="S8" s="77"/>
    </row>
    <row r="9" spans="2:21" ht="15.75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101">
        <f t="shared" ref="H9:H23" si="0">IF(G9=1,E9,0)</f>
        <v>3500</v>
      </c>
      <c r="L9" s="102">
        <v>2589.5</v>
      </c>
      <c r="M9" s="103"/>
      <c r="N9" s="104">
        <f t="shared" ref="N9:N23" si="1">L9/H9</f>
        <v>0.73985714285714288</v>
      </c>
      <c r="O9" s="27"/>
      <c r="P9" s="28" t="s">
        <v>19</v>
      </c>
      <c r="Q9" s="29" t="s">
        <v>20</v>
      </c>
    </row>
    <row r="10" spans="2:21" ht="20.25">
      <c r="B10" s="15">
        <f t="shared" ref="B10:B23" si="2"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101">
        <f t="shared" si="0"/>
        <v>2747.5329999999999</v>
      </c>
      <c r="L10" s="102">
        <v>2227.5</v>
      </c>
      <c r="M10" s="106"/>
      <c r="N10" s="104">
        <f t="shared" si="1"/>
        <v>0.81072729608707161</v>
      </c>
      <c r="O10" s="31"/>
      <c r="P10" s="28" t="s">
        <v>23</v>
      </c>
      <c r="Q10" s="29" t="s">
        <v>24</v>
      </c>
    </row>
    <row r="11" spans="2:21">
      <c r="B11" s="15">
        <f t="shared" si="2"/>
        <v>3</v>
      </c>
      <c r="C11" s="16" t="s">
        <v>29</v>
      </c>
      <c r="D11" s="23">
        <v>102817</v>
      </c>
      <c r="E11" s="30">
        <v>2000</v>
      </c>
      <c r="F11" s="19" t="s">
        <v>26</v>
      </c>
      <c r="G11" s="20">
        <v>1</v>
      </c>
      <c r="H11" s="101">
        <f t="shared" si="0"/>
        <v>2000</v>
      </c>
      <c r="L11" s="102">
        <f>1025+543.5</f>
        <v>1568.5</v>
      </c>
      <c r="M11" s="16"/>
      <c r="N11" s="104">
        <f t="shared" si="1"/>
        <v>0.78425</v>
      </c>
      <c r="O11" s="36"/>
      <c r="P11" s="20" t="s">
        <v>27</v>
      </c>
      <c r="Q11" s="35" t="s">
        <v>28</v>
      </c>
    </row>
    <row r="12" spans="2:21" ht="18">
      <c r="B12" s="15">
        <f t="shared" si="2"/>
        <v>4</v>
      </c>
      <c r="C12" s="32" t="s">
        <v>108</v>
      </c>
      <c r="D12" s="23">
        <v>102831</v>
      </c>
      <c r="E12" s="30">
        <v>1750</v>
      </c>
      <c r="F12" s="19" t="s">
        <v>26</v>
      </c>
      <c r="G12" s="20">
        <v>1</v>
      </c>
      <c r="H12" s="101">
        <f t="shared" si="0"/>
        <v>1750</v>
      </c>
      <c r="L12" s="102">
        <v>1547.9</v>
      </c>
      <c r="M12" s="188" t="s">
        <v>130</v>
      </c>
      <c r="N12" s="104">
        <f t="shared" si="1"/>
        <v>0.88451428571428581</v>
      </c>
      <c r="O12" s="36"/>
      <c r="P12" s="28" t="s">
        <v>30</v>
      </c>
      <c r="Q12" s="29" t="s">
        <v>31</v>
      </c>
    </row>
    <row r="13" spans="2:21">
      <c r="B13" s="15">
        <f t="shared" si="2"/>
        <v>5</v>
      </c>
      <c r="C13" s="108" t="s">
        <v>42</v>
      </c>
      <c r="D13" s="23">
        <v>22305</v>
      </c>
      <c r="E13" s="18">
        <v>1000</v>
      </c>
      <c r="F13" s="19" t="s">
        <v>22</v>
      </c>
      <c r="G13" s="20">
        <v>1</v>
      </c>
      <c r="H13" s="101">
        <f t="shared" si="0"/>
        <v>1000</v>
      </c>
      <c r="L13" s="102">
        <v>808.6</v>
      </c>
      <c r="M13" s="106"/>
      <c r="N13" s="104">
        <f t="shared" si="1"/>
        <v>0.80859999999999999</v>
      </c>
      <c r="O13" s="36"/>
      <c r="P13" s="28" t="s">
        <v>33</v>
      </c>
      <c r="Q13" s="29" t="s">
        <v>34</v>
      </c>
    </row>
    <row r="14" spans="2:21">
      <c r="B14" s="15">
        <f t="shared" si="2"/>
        <v>6</v>
      </c>
      <c r="C14" s="32" t="s">
        <v>32</v>
      </c>
      <c r="D14" s="23">
        <v>23281</v>
      </c>
      <c r="E14" s="30">
        <v>1000</v>
      </c>
      <c r="F14" s="19" t="s">
        <v>18</v>
      </c>
      <c r="G14" s="20">
        <v>1</v>
      </c>
      <c r="H14" s="101">
        <f t="shared" si="0"/>
        <v>1000</v>
      </c>
      <c r="L14" s="102">
        <v>698.9</v>
      </c>
      <c r="M14" s="106"/>
      <c r="N14" s="104">
        <f t="shared" si="1"/>
        <v>0.69889999999999997</v>
      </c>
      <c r="O14" s="36"/>
      <c r="P14" s="28" t="s">
        <v>35</v>
      </c>
      <c r="Q14" s="29" t="s">
        <v>36</v>
      </c>
      <c r="T14" s="109"/>
    </row>
    <row r="15" spans="2:21" ht="18">
      <c r="B15" s="15">
        <f t="shared" si="2"/>
        <v>7</v>
      </c>
      <c r="C15" s="32" t="s">
        <v>32</v>
      </c>
      <c r="D15" s="23">
        <v>23282</v>
      </c>
      <c r="E15" s="30">
        <v>500</v>
      </c>
      <c r="F15" s="19" t="s">
        <v>18</v>
      </c>
      <c r="G15" s="20">
        <v>1</v>
      </c>
      <c r="H15" s="101">
        <f t="shared" si="0"/>
        <v>500</v>
      </c>
      <c r="L15" s="110">
        <v>225.1</v>
      </c>
      <c r="M15" s="127"/>
      <c r="N15" s="104">
        <f t="shared" si="1"/>
        <v>0.45019999999999999</v>
      </c>
      <c r="T15" s="109"/>
      <c r="U15" s="187" t="s">
        <v>109</v>
      </c>
    </row>
    <row r="16" spans="2:21" ht="18">
      <c r="B16" s="15">
        <f t="shared" si="2"/>
        <v>8</v>
      </c>
      <c r="C16" s="16" t="s">
        <v>52</v>
      </c>
      <c r="D16" s="23">
        <v>22296</v>
      </c>
      <c r="E16" s="18">
        <v>300</v>
      </c>
      <c r="F16" s="19" t="s">
        <v>38</v>
      </c>
      <c r="G16" s="20">
        <v>1</v>
      </c>
      <c r="H16" s="101">
        <f t="shared" si="0"/>
        <v>300</v>
      </c>
      <c r="L16" s="102">
        <v>285.10000000000002</v>
      </c>
      <c r="M16" s="188" t="s">
        <v>130</v>
      </c>
      <c r="N16" s="104">
        <f t="shared" si="1"/>
        <v>0.95033333333333336</v>
      </c>
      <c r="O16" s="34"/>
      <c r="U16" s="29">
        <f>74 - (74-33.5)*(8/31)</f>
        <v>63.548387096774192</v>
      </c>
    </row>
    <row r="17" spans="2:21">
      <c r="B17" s="15">
        <f t="shared" si="2"/>
        <v>9</v>
      </c>
      <c r="C17" s="16" t="s">
        <v>37</v>
      </c>
      <c r="D17" s="23">
        <v>22307</v>
      </c>
      <c r="E17" s="18">
        <v>267.54700000000003</v>
      </c>
      <c r="F17" s="19" t="s">
        <v>38</v>
      </c>
      <c r="G17" s="20">
        <v>1</v>
      </c>
      <c r="H17" s="101">
        <f t="shared" si="0"/>
        <v>267.54700000000003</v>
      </c>
      <c r="L17" s="110">
        <v>225.1</v>
      </c>
      <c r="M17" s="111"/>
      <c r="N17" s="104">
        <f t="shared" si="1"/>
        <v>0.84134750156047333</v>
      </c>
      <c r="O17" s="34"/>
      <c r="T17" s="77"/>
    </row>
    <row r="18" spans="2:21">
      <c r="B18" s="15">
        <f t="shared" si="2"/>
        <v>10</v>
      </c>
      <c r="C18" s="32" t="s">
        <v>110</v>
      </c>
      <c r="D18" s="23">
        <v>103989</v>
      </c>
      <c r="E18" s="30">
        <v>250</v>
      </c>
      <c r="F18" s="19" t="s">
        <v>111</v>
      </c>
      <c r="G18" s="20">
        <v>1</v>
      </c>
      <c r="H18" s="101">
        <f t="shared" si="0"/>
        <v>250</v>
      </c>
      <c r="L18" s="102">
        <v>210.1</v>
      </c>
      <c r="M18" s="16"/>
      <c r="N18" s="104">
        <f t="shared" si="1"/>
        <v>0.84039999999999992</v>
      </c>
    </row>
    <row r="19" spans="2:21" ht="18">
      <c r="B19" s="15">
        <f t="shared" si="2"/>
        <v>11</v>
      </c>
      <c r="C19" s="16" t="s">
        <v>112</v>
      </c>
      <c r="D19" s="23">
        <v>22333</v>
      </c>
      <c r="E19" s="18">
        <v>202</v>
      </c>
      <c r="F19" s="19" t="s">
        <v>22</v>
      </c>
      <c r="G19" s="20">
        <v>1</v>
      </c>
      <c r="H19" s="101">
        <f t="shared" si="0"/>
        <v>202</v>
      </c>
      <c r="L19" s="110">
        <v>191.5</v>
      </c>
      <c r="M19" s="188" t="s">
        <v>130</v>
      </c>
      <c r="N19" s="104">
        <f t="shared" si="1"/>
        <v>0.94801980198019797</v>
      </c>
      <c r="R19" s="29"/>
    </row>
    <row r="20" spans="2:21" ht="18">
      <c r="B20" s="15">
        <f t="shared" si="2"/>
        <v>12</v>
      </c>
      <c r="C20" s="16" t="s">
        <v>113</v>
      </c>
      <c r="D20" s="23">
        <v>22338</v>
      </c>
      <c r="E20" s="18">
        <v>155</v>
      </c>
      <c r="F20" s="19" t="s">
        <v>38</v>
      </c>
      <c r="G20" s="20">
        <v>1</v>
      </c>
      <c r="H20" s="101">
        <f t="shared" si="0"/>
        <v>155</v>
      </c>
      <c r="L20" s="102">
        <v>146.9</v>
      </c>
      <c r="M20" s="188" t="s">
        <v>130</v>
      </c>
      <c r="N20" s="104">
        <f t="shared" si="1"/>
        <v>0.94774193548387098</v>
      </c>
      <c r="U20" s="29">
        <f>100 - (100-83.5)*(8/31)</f>
        <v>95.741935483870975</v>
      </c>
    </row>
    <row r="21" spans="2:21" ht="15.75">
      <c r="B21" s="15">
        <f t="shared" si="2"/>
        <v>13</v>
      </c>
      <c r="C21" s="16" t="s">
        <v>114</v>
      </c>
      <c r="D21" s="23">
        <v>103969</v>
      </c>
      <c r="E21" s="18">
        <v>100</v>
      </c>
      <c r="F21" s="19" t="s">
        <v>18</v>
      </c>
      <c r="G21" s="20">
        <v>1</v>
      </c>
      <c r="H21" s="101">
        <f t="shared" si="0"/>
        <v>100</v>
      </c>
      <c r="L21" s="102">
        <v>81</v>
      </c>
      <c r="M21" s="103"/>
      <c r="N21" s="104">
        <f t="shared" si="1"/>
        <v>0.81</v>
      </c>
      <c r="O21" s="34"/>
    </row>
    <row r="22" spans="2:21" ht="18">
      <c r="B22" s="15">
        <f t="shared" si="2"/>
        <v>14</v>
      </c>
      <c r="C22" s="16" t="s">
        <v>115</v>
      </c>
      <c r="D22" s="23">
        <v>22325</v>
      </c>
      <c r="E22" s="18">
        <v>86.483000000000004</v>
      </c>
      <c r="F22" s="19" t="s">
        <v>38</v>
      </c>
      <c r="G22" s="20">
        <v>1</v>
      </c>
      <c r="H22" s="101">
        <f t="shared" si="0"/>
        <v>86.483000000000004</v>
      </c>
      <c r="L22" s="110">
        <v>83.5</v>
      </c>
      <c r="M22" s="188" t="s">
        <v>130</v>
      </c>
      <c r="N22" s="104">
        <f t="shared" si="1"/>
        <v>0.96550767202802856</v>
      </c>
      <c r="O22" s="34"/>
      <c r="R22" s="62"/>
    </row>
    <row r="23" spans="2:21">
      <c r="B23" s="112">
        <f t="shared" si="2"/>
        <v>15</v>
      </c>
      <c r="C23" s="113" t="s">
        <v>116</v>
      </c>
      <c r="D23" s="114">
        <v>22297</v>
      </c>
      <c r="E23" s="115">
        <v>50</v>
      </c>
      <c r="F23" s="116" t="s">
        <v>38</v>
      </c>
      <c r="G23" s="112">
        <v>1</v>
      </c>
      <c r="H23" s="117">
        <f t="shared" si="0"/>
        <v>50</v>
      </c>
      <c r="I23" s="118" t="s">
        <v>117</v>
      </c>
      <c r="L23" s="119">
        <v>0</v>
      </c>
      <c r="M23" s="120"/>
      <c r="N23" s="121">
        <f t="shared" si="1"/>
        <v>0</v>
      </c>
      <c r="O23" s="122"/>
    </row>
    <row r="24" spans="2:21">
      <c r="G24" s="41" t="s">
        <v>43</v>
      </c>
    </row>
    <row r="25" spans="2:21">
      <c r="H25" s="124">
        <f>SUM(H9:H22)</f>
        <v>13858.563</v>
      </c>
      <c r="L25" s="44">
        <f>SUM(L9:L23)</f>
        <v>10889.2</v>
      </c>
      <c r="M25" s="125"/>
      <c r="N25" s="45">
        <f>L25/H79</f>
        <v>0.78573803070347192</v>
      </c>
      <c r="O25" s="34"/>
    </row>
    <row r="27" spans="2:21">
      <c r="R27" s="26" t="s">
        <v>13</v>
      </c>
    </row>
    <row r="28" spans="2:21" ht="20.25">
      <c r="B28" s="20">
        <f>1</f>
        <v>1</v>
      </c>
      <c r="C28" s="16" t="s">
        <v>44</v>
      </c>
      <c r="D28" s="23">
        <v>22337</v>
      </c>
      <c r="E28" s="18">
        <v>6400</v>
      </c>
      <c r="F28" s="19" t="s">
        <v>38</v>
      </c>
      <c r="G28" s="20">
        <v>4</v>
      </c>
      <c r="H28" s="33"/>
      <c r="I28" s="101">
        <f t="shared" ref="I28:I35" si="3">IF(G28=4,E28,0)</f>
        <v>6400</v>
      </c>
      <c r="L28" s="102">
        <v>4608.1000000000004</v>
      </c>
      <c r="M28" s="111"/>
      <c r="N28" s="126">
        <f t="shared" ref="N28:N41" si="4">L28/I28</f>
        <v>0.72001562500000005</v>
      </c>
      <c r="O28" s="31"/>
      <c r="P28" s="28" t="s">
        <v>19</v>
      </c>
      <c r="Q28" s="47" t="s">
        <v>45</v>
      </c>
    </row>
    <row r="29" spans="2:21" ht="18">
      <c r="B29" s="20">
        <f t="shared" ref="B29:B35" si="5">B28+1</f>
        <v>2</v>
      </c>
      <c r="C29" s="16" t="s">
        <v>46</v>
      </c>
      <c r="D29" s="23">
        <v>23613</v>
      </c>
      <c r="E29" s="46">
        <f>6009.08</f>
        <v>6009.08</v>
      </c>
      <c r="F29" s="19" t="s">
        <v>26</v>
      </c>
      <c r="G29" s="20">
        <v>4</v>
      </c>
      <c r="H29" s="33"/>
      <c r="I29" s="101">
        <f t="shared" si="3"/>
        <v>6009.08</v>
      </c>
      <c r="L29" s="102">
        <v>4938.2</v>
      </c>
      <c r="M29" s="127"/>
      <c r="N29" s="104">
        <f t="shared" si="4"/>
        <v>0.82178969160004522</v>
      </c>
      <c r="O29" s="34"/>
      <c r="P29" s="28" t="s">
        <v>23</v>
      </c>
      <c r="Q29" s="47" t="s">
        <v>45</v>
      </c>
    </row>
    <row r="30" spans="2:21" ht="20.25">
      <c r="B30" s="20">
        <f t="shared" si="5"/>
        <v>3</v>
      </c>
      <c r="C30" s="16" t="s">
        <v>53</v>
      </c>
      <c r="D30" s="23">
        <v>23544</v>
      </c>
      <c r="E30" s="18">
        <f>2200+50</f>
        <v>2250</v>
      </c>
      <c r="F30" s="19" t="s">
        <v>38</v>
      </c>
      <c r="G30" s="20">
        <v>4</v>
      </c>
      <c r="H30" s="33"/>
      <c r="I30" s="101">
        <f t="shared" si="3"/>
        <v>2250</v>
      </c>
      <c r="L30" s="102">
        <v>1679.7</v>
      </c>
      <c r="M30" s="128"/>
      <c r="N30" s="129">
        <f t="shared" si="4"/>
        <v>0.74653333333333338</v>
      </c>
      <c r="O30" s="31"/>
      <c r="P30" s="28" t="s">
        <v>27</v>
      </c>
      <c r="Q30" s="47" t="s">
        <v>48</v>
      </c>
    </row>
    <row r="31" spans="2:21">
      <c r="B31" s="20">
        <f t="shared" si="5"/>
        <v>4</v>
      </c>
      <c r="C31" t="s">
        <v>54</v>
      </c>
      <c r="D31" s="19">
        <v>103938</v>
      </c>
      <c r="E31" s="18">
        <v>1000</v>
      </c>
      <c r="F31" s="19" t="s">
        <v>111</v>
      </c>
      <c r="G31" s="20">
        <v>4</v>
      </c>
      <c r="I31" s="101">
        <f t="shared" si="3"/>
        <v>1000</v>
      </c>
      <c r="L31" s="130">
        <v>786.8</v>
      </c>
      <c r="N31" s="129">
        <f t="shared" si="4"/>
        <v>0.78679999999999994</v>
      </c>
      <c r="O31" s="34"/>
      <c r="P31" s="28" t="s">
        <v>30</v>
      </c>
      <c r="Q31" s="29" t="s">
        <v>51</v>
      </c>
    </row>
    <row r="32" spans="2:21">
      <c r="B32" s="20">
        <f t="shared" si="5"/>
        <v>5</v>
      </c>
      <c r="C32" s="16" t="s">
        <v>77</v>
      </c>
      <c r="D32" s="23">
        <v>22335</v>
      </c>
      <c r="E32" s="18">
        <v>864.82799999999997</v>
      </c>
      <c r="F32" s="19" t="s">
        <v>22</v>
      </c>
      <c r="G32" s="20">
        <v>4</v>
      </c>
      <c r="H32" s="33"/>
      <c r="I32" s="101">
        <f t="shared" si="3"/>
        <v>864.82799999999997</v>
      </c>
      <c r="L32" s="102">
        <v>716.8</v>
      </c>
      <c r="M32" s="128"/>
      <c r="N32" s="104">
        <f t="shared" si="4"/>
        <v>0.82883532910590307</v>
      </c>
      <c r="O32" s="34"/>
      <c r="P32" s="28" t="s">
        <v>33</v>
      </c>
      <c r="Q32" s="29" t="s">
        <v>34</v>
      </c>
    </row>
    <row r="33" spans="2:21" ht="20.25">
      <c r="B33" s="20">
        <f t="shared" si="5"/>
        <v>6</v>
      </c>
      <c r="C33" s="16" t="s">
        <v>40</v>
      </c>
      <c r="D33" s="23">
        <v>22334</v>
      </c>
      <c r="E33" s="18">
        <v>750</v>
      </c>
      <c r="F33" s="19" t="s">
        <v>38</v>
      </c>
      <c r="G33" s="20">
        <v>4</v>
      </c>
      <c r="H33" s="33"/>
      <c r="I33" s="101">
        <f t="shared" si="3"/>
        <v>750</v>
      </c>
      <c r="L33" s="102">
        <v>596.4</v>
      </c>
      <c r="M33" s="127"/>
      <c r="N33" s="129">
        <f t="shared" si="4"/>
        <v>0.79520000000000002</v>
      </c>
      <c r="O33" s="31"/>
      <c r="P33" s="28" t="s">
        <v>35</v>
      </c>
      <c r="Q33" s="29" t="s">
        <v>36</v>
      </c>
    </row>
    <row r="34" spans="2:21">
      <c r="B34" s="131">
        <f t="shared" si="5"/>
        <v>7</v>
      </c>
      <c r="C34" s="132" t="s">
        <v>56</v>
      </c>
      <c r="D34" s="133">
        <v>103665</v>
      </c>
      <c r="E34" s="134">
        <v>585.35900000000004</v>
      </c>
      <c r="F34" s="135"/>
      <c r="G34" s="136">
        <v>4</v>
      </c>
      <c r="H34" s="137"/>
      <c r="I34" s="138">
        <f t="shared" si="3"/>
        <v>585.35900000000004</v>
      </c>
      <c r="L34" s="139">
        <v>511.2</v>
      </c>
      <c r="M34" s="140"/>
      <c r="N34" s="129">
        <f t="shared" si="4"/>
        <v>0.87331022500721767</v>
      </c>
    </row>
    <row r="35" spans="2:21" ht="18">
      <c r="B35" s="141">
        <f t="shared" si="5"/>
        <v>8</v>
      </c>
      <c r="C35" s="16" t="s">
        <v>57</v>
      </c>
      <c r="D35" s="23">
        <v>22312</v>
      </c>
      <c r="E35" s="18">
        <f>136+114</f>
        <v>250</v>
      </c>
      <c r="F35" s="19" t="s">
        <v>38</v>
      </c>
      <c r="G35" s="20">
        <v>4</v>
      </c>
      <c r="H35" s="33"/>
      <c r="I35" s="101">
        <f t="shared" si="3"/>
        <v>250</v>
      </c>
      <c r="L35" s="102">
        <v>188</v>
      </c>
      <c r="M35" s="127"/>
      <c r="N35" s="129">
        <f t="shared" si="4"/>
        <v>0.752</v>
      </c>
    </row>
    <row r="36" spans="2:21">
      <c r="B36" s="142">
        <f>1</f>
        <v>1</v>
      </c>
      <c r="C36" s="143" t="s">
        <v>58</v>
      </c>
      <c r="D36" s="144">
        <v>22309</v>
      </c>
      <c r="E36" s="145">
        <v>202.51</v>
      </c>
      <c r="F36" s="146" t="s">
        <v>38</v>
      </c>
      <c r="G36" s="147">
        <v>4</v>
      </c>
      <c r="H36" s="148"/>
      <c r="I36" s="149">
        <v>0</v>
      </c>
      <c r="L36" s="59">
        <v>0</v>
      </c>
      <c r="M36" s="150"/>
      <c r="R36" s="29"/>
    </row>
    <row r="37" spans="2:21">
      <c r="B37" s="151">
        <f>B35+1</f>
        <v>9</v>
      </c>
      <c r="C37" s="152" t="s">
        <v>59</v>
      </c>
      <c r="D37" s="153">
        <v>103139</v>
      </c>
      <c r="E37" s="154">
        <v>0</v>
      </c>
      <c r="F37" s="155" t="s">
        <v>26</v>
      </c>
      <c r="G37" s="156">
        <v>4</v>
      </c>
      <c r="H37" s="33"/>
      <c r="I37" s="157">
        <v>0</v>
      </c>
      <c r="L37" s="158">
        <v>0</v>
      </c>
      <c r="M37" s="16"/>
      <c r="O37" s="34"/>
      <c r="R37" s="62"/>
    </row>
    <row r="38" spans="2:21" ht="20.25">
      <c r="B38" s="142">
        <f>B36+1</f>
        <v>2</v>
      </c>
      <c r="C38" s="159" t="s">
        <v>60</v>
      </c>
      <c r="D38" s="144">
        <v>22315</v>
      </c>
      <c r="E38" s="145">
        <v>79.448999999999998</v>
      </c>
      <c r="F38" s="146" t="s">
        <v>38</v>
      </c>
      <c r="G38" s="147">
        <v>4</v>
      </c>
      <c r="H38" s="148"/>
      <c r="I38" s="149">
        <v>0</v>
      </c>
      <c r="L38" s="59">
        <v>0</v>
      </c>
      <c r="M38" s="160"/>
      <c r="O38" s="31"/>
      <c r="R38" s="64"/>
    </row>
    <row r="39" spans="2:21" ht="20.25">
      <c r="B39" s="142">
        <f t="shared" ref="B39:B52" si="6">B38+1</f>
        <v>3</v>
      </c>
      <c r="C39" s="143" t="s">
        <v>61</v>
      </c>
      <c r="D39" s="144">
        <v>22322</v>
      </c>
      <c r="E39" s="161">
        <v>75</v>
      </c>
      <c r="F39" s="146" t="s">
        <v>38</v>
      </c>
      <c r="G39" s="147">
        <v>4</v>
      </c>
      <c r="H39" s="148"/>
      <c r="I39" s="149">
        <v>0</v>
      </c>
      <c r="L39" s="59">
        <v>0</v>
      </c>
      <c r="M39" s="162"/>
      <c r="O39" s="31"/>
    </row>
    <row r="40" spans="2:21" ht="20.25">
      <c r="B40" s="20">
        <f>B35+1</f>
        <v>9</v>
      </c>
      <c r="C40" s="32" t="s">
        <v>118</v>
      </c>
      <c r="D40" s="23">
        <v>103964</v>
      </c>
      <c r="E40" s="30">
        <v>50</v>
      </c>
      <c r="F40" s="19" t="s">
        <v>26</v>
      </c>
      <c r="G40" s="20">
        <v>4</v>
      </c>
      <c r="H40" s="33"/>
      <c r="I40" s="101">
        <f>IF(G40=4,E40,0)</f>
        <v>50</v>
      </c>
      <c r="L40" s="102">
        <v>40.799999999999997</v>
      </c>
      <c r="M40" s="127"/>
      <c r="N40" s="129">
        <f t="shared" si="4"/>
        <v>0.81599999999999995</v>
      </c>
      <c r="O40" s="31"/>
      <c r="U40" s="163"/>
    </row>
    <row r="41" spans="2:21">
      <c r="B41" s="20">
        <f t="shared" si="6"/>
        <v>10</v>
      </c>
      <c r="C41" s="16" t="s">
        <v>62</v>
      </c>
      <c r="D41" s="19">
        <v>22344</v>
      </c>
      <c r="E41" s="18">
        <v>50</v>
      </c>
      <c r="F41" s="19" t="s">
        <v>22</v>
      </c>
      <c r="G41" s="20">
        <v>4</v>
      </c>
      <c r="H41" s="33"/>
      <c r="I41" s="101">
        <f>IF(G41=4,E41,0)</f>
        <v>50</v>
      </c>
      <c r="L41" s="110">
        <v>28.6</v>
      </c>
      <c r="M41" s="16"/>
      <c r="N41" s="129">
        <f t="shared" si="4"/>
        <v>0.57200000000000006</v>
      </c>
      <c r="O41" s="34"/>
    </row>
    <row r="42" spans="2:21">
      <c r="B42" s="142">
        <f>B39+1</f>
        <v>4</v>
      </c>
      <c r="C42" s="143" t="s">
        <v>63</v>
      </c>
      <c r="D42" s="144">
        <v>22311</v>
      </c>
      <c r="E42" s="145">
        <v>45</v>
      </c>
      <c r="F42" s="146" t="s">
        <v>22</v>
      </c>
      <c r="G42" s="147">
        <v>4</v>
      </c>
      <c r="H42" s="148"/>
      <c r="I42" s="149">
        <v>0</v>
      </c>
      <c r="L42" s="59">
        <v>0</v>
      </c>
      <c r="M42" s="143"/>
      <c r="O42" s="34"/>
    </row>
    <row r="43" spans="2:21">
      <c r="B43" s="142">
        <f t="shared" si="6"/>
        <v>5</v>
      </c>
      <c r="C43" s="143" t="s">
        <v>64</v>
      </c>
      <c r="D43" s="144">
        <v>22323</v>
      </c>
      <c r="E43" s="145">
        <v>45</v>
      </c>
      <c r="F43" s="146" t="s">
        <v>22</v>
      </c>
      <c r="G43" s="147">
        <v>4</v>
      </c>
      <c r="H43" s="148"/>
      <c r="I43" s="149">
        <v>0</v>
      </c>
      <c r="L43" s="59">
        <v>0</v>
      </c>
      <c r="M43" s="162"/>
      <c r="O43" s="34"/>
    </row>
    <row r="44" spans="2:21" ht="20.25">
      <c r="B44" s="142">
        <f t="shared" si="6"/>
        <v>6</v>
      </c>
      <c r="C44" s="143" t="s">
        <v>66</v>
      </c>
      <c r="D44" s="144">
        <v>22303</v>
      </c>
      <c r="E44" s="145">
        <v>32.4</v>
      </c>
      <c r="F44" s="146" t="s">
        <v>38</v>
      </c>
      <c r="G44" s="147">
        <v>4</v>
      </c>
      <c r="H44" s="148"/>
      <c r="I44" s="149">
        <v>0</v>
      </c>
      <c r="L44" s="59">
        <v>0</v>
      </c>
      <c r="M44" s="143"/>
      <c r="O44" s="31"/>
      <c r="S44" s="165"/>
    </row>
    <row r="45" spans="2:21">
      <c r="B45" s="142">
        <f t="shared" si="6"/>
        <v>7</v>
      </c>
      <c r="C45" s="143" t="s">
        <v>67</v>
      </c>
      <c r="D45" s="144">
        <v>22328</v>
      </c>
      <c r="E45" s="145">
        <v>25</v>
      </c>
      <c r="F45" s="146" t="s">
        <v>22</v>
      </c>
      <c r="G45" s="147">
        <v>4</v>
      </c>
      <c r="H45" s="148"/>
      <c r="I45" s="149">
        <v>0</v>
      </c>
      <c r="L45" s="67">
        <v>0</v>
      </c>
      <c r="M45" s="143"/>
      <c r="O45" s="34"/>
    </row>
    <row r="46" spans="2:21">
      <c r="B46" s="142">
        <f t="shared" si="6"/>
        <v>8</v>
      </c>
      <c r="C46" s="143" t="s">
        <v>68</v>
      </c>
      <c r="D46" s="144">
        <v>22302</v>
      </c>
      <c r="E46" s="145">
        <v>18</v>
      </c>
      <c r="F46" s="146" t="s">
        <v>38</v>
      </c>
      <c r="G46" s="147">
        <v>4</v>
      </c>
      <c r="H46" s="148"/>
      <c r="I46" s="149">
        <v>0</v>
      </c>
      <c r="L46" s="59">
        <v>0</v>
      </c>
      <c r="M46" s="144"/>
      <c r="O46" s="34"/>
    </row>
    <row r="47" spans="2:21">
      <c r="B47" s="142">
        <f t="shared" si="6"/>
        <v>9</v>
      </c>
      <c r="C47" s="143" t="s">
        <v>69</v>
      </c>
      <c r="D47" s="144">
        <v>22332</v>
      </c>
      <c r="E47" s="145">
        <v>15</v>
      </c>
      <c r="F47" s="146" t="s">
        <v>38</v>
      </c>
      <c r="G47" s="147">
        <v>4</v>
      </c>
      <c r="H47" s="148"/>
      <c r="I47" s="149">
        <v>0</v>
      </c>
      <c r="L47" s="59">
        <v>0</v>
      </c>
      <c r="M47" s="166"/>
      <c r="O47" s="34"/>
    </row>
    <row r="48" spans="2:21">
      <c r="B48" s="142">
        <f t="shared" si="6"/>
        <v>10</v>
      </c>
      <c r="C48" s="143" t="s">
        <v>70</v>
      </c>
      <c r="D48" s="144">
        <v>22368</v>
      </c>
      <c r="E48" s="145">
        <v>15</v>
      </c>
      <c r="F48" s="146" t="s">
        <v>26</v>
      </c>
      <c r="G48" s="147">
        <v>4</v>
      </c>
      <c r="H48" s="148"/>
      <c r="I48" s="149">
        <v>0</v>
      </c>
      <c r="L48" s="59">
        <v>0</v>
      </c>
      <c r="M48" s="166"/>
      <c r="O48" s="34"/>
    </row>
    <row r="49" spans="2:20" ht="20.25">
      <c r="B49" s="142">
        <f t="shared" si="6"/>
        <v>11</v>
      </c>
      <c r="C49" s="143" t="s">
        <v>71</v>
      </c>
      <c r="D49" s="144">
        <v>22324</v>
      </c>
      <c r="E49" s="145">
        <v>15</v>
      </c>
      <c r="F49" s="146" t="s">
        <v>26</v>
      </c>
      <c r="G49" s="147">
        <v>4</v>
      </c>
      <c r="H49" s="148"/>
      <c r="I49" s="149">
        <v>0</v>
      </c>
      <c r="L49" s="59">
        <v>0</v>
      </c>
      <c r="M49" s="166"/>
      <c r="O49" s="31"/>
    </row>
    <row r="50" spans="2:20" ht="18">
      <c r="B50" s="20">
        <f>B41+1</f>
        <v>11</v>
      </c>
      <c r="C50" s="16" t="s">
        <v>72</v>
      </c>
      <c r="D50" s="23">
        <v>22301</v>
      </c>
      <c r="E50" s="18">
        <v>13.776999999999999</v>
      </c>
      <c r="F50" s="19" t="s">
        <v>26</v>
      </c>
      <c r="G50" s="20">
        <v>4</v>
      </c>
      <c r="H50" s="33"/>
      <c r="I50" s="101">
        <f>IF(G50=4,E50,0)</f>
        <v>13.776999999999999</v>
      </c>
      <c r="L50" s="102">
        <v>10.7</v>
      </c>
      <c r="M50" s="127"/>
      <c r="N50" s="104">
        <v>0.77665674675183272</v>
      </c>
      <c r="O50" s="34"/>
    </row>
    <row r="51" spans="2:20">
      <c r="B51" s="142">
        <f>B49+1</f>
        <v>12</v>
      </c>
      <c r="C51" s="143" t="s">
        <v>73</v>
      </c>
      <c r="D51" s="144">
        <v>22304</v>
      </c>
      <c r="E51" s="145">
        <v>10</v>
      </c>
      <c r="F51" s="146" t="s">
        <v>38</v>
      </c>
      <c r="G51" s="147">
        <v>4</v>
      </c>
      <c r="H51" s="148"/>
      <c r="I51" s="149">
        <v>0</v>
      </c>
      <c r="L51" s="59">
        <v>0</v>
      </c>
      <c r="M51" s="167"/>
      <c r="O51" s="34"/>
    </row>
    <row r="52" spans="2:20" ht="20.25">
      <c r="B52" s="142">
        <f t="shared" si="6"/>
        <v>13</v>
      </c>
      <c r="C52" s="143" t="s">
        <v>74</v>
      </c>
      <c r="D52" s="144">
        <v>22327</v>
      </c>
      <c r="E52" s="168">
        <v>8</v>
      </c>
      <c r="F52" s="146" t="s">
        <v>22</v>
      </c>
      <c r="G52" s="147">
        <v>4</v>
      </c>
      <c r="H52" s="169"/>
      <c r="I52" s="170">
        <v>0</v>
      </c>
      <c r="L52" s="59">
        <v>0</v>
      </c>
      <c r="M52" s="123"/>
      <c r="O52" s="31"/>
    </row>
    <row r="53" spans="2:20">
      <c r="G53" s="41" t="s">
        <v>75</v>
      </c>
      <c r="H53" s="43"/>
      <c r="I53" s="124">
        <f>SUM(I28:I35,I40:I41,I50:I50)</f>
        <v>18223.043999999998</v>
      </c>
      <c r="J53" s="43"/>
      <c r="L53" s="70">
        <f>SUM(L28:L52)</f>
        <v>14105.3</v>
      </c>
      <c r="M53" s="125"/>
      <c r="N53" s="45">
        <f>L53/I79</f>
        <v>0.77403643430812108</v>
      </c>
      <c r="O53" s="34"/>
    </row>
    <row r="55" spans="2:20">
      <c r="R55" s="26" t="s">
        <v>14</v>
      </c>
      <c r="T55" s="171"/>
    </row>
    <row r="56" spans="2:20">
      <c r="B56" s="71">
        <f>1</f>
        <v>1</v>
      </c>
      <c r="C56" s="16" t="s">
        <v>76</v>
      </c>
      <c r="D56" s="23">
        <v>22316</v>
      </c>
      <c r="E56" s="18">
        <v>6461.232</v>
      </c>
      <c r="F56" s="19" t="s">
        <v>22</v>
      </c>
      <c r="G56" s="20">
        <v>3</v>
      </c>
      <c r="J56" s="101">
        <f t="shared" ref="J56:J71" si="7">IF(G56=3,E56,0)</f>
        <v>6461.232</v>
      </c>
      <c r="K56" s="16"/>
      <c r="L56" s="102">
        <v>5554.6</v>
      </c>
      <c r="M56" s="16"/>
      <c r="N56" s="126">
        <f t="shared" ref="N56:N71" si="8">L56/J56</f>
        <v>0.85968124964403081</v>
      </c>
      <c r="O56" s="34"/>
      <c r="P56" s="28" t="s">
        <v>19</v>
      </c>
      <c r="Q56" s="47" t="s">
        <v>45</v>
      </c>
      <c r="T56" s="107"/>
    </row>
    <row r="57" spans="2:20" ht="18">
      <c r="B57" s="71">
        <f>B56+1</f>
        <v>2</v>
      </c>
      <c r="C57" s="32" t="s">
        <v>47</v>
      </c>
      <c r="D57" s="23">
        <v>102835</v>
      </c>
      <c r="E57" s="72">
        <v>3000</v>
      </c>
      <c r="F57" s="19" t="s">
        <v>18</v>
      </c>
      <c r="G57" s="20">
        <v>3</v>
      </c>
      <c r="J57" s="101">
        <f t="shared" si="7"/>
        <v>3000</v>
      </c>
      <c r="K57" s="16"/>
      <c r="L57" s="102">
        <v>2797.5</v>
      </c>
      <c r="M57" s="188" t="s">
        <v>130</v>
      </c>
      <c r="N57" s="129">
        <f t="shared" si="8"/>
        <v>0.9325</v>
      </c>
      <c r="O57" s="34"/>
      <c r="P57" s="28" t="s">
        <v>23</v>
      </c>
      <c r="Q57" s="47" t="s">
        <v>45</v>
      </c>
      <c r="T57" s="172"/>
    </row>
    <row r="58" spans="2:20">
      <c r="B58" s="151">
        <f>B57+1</f>
        <v>3</v>
      </c>
      <c r="C58" s="152" t="s">
        <v>78</v>
      </c>
      <c r="D58" s="153">
        <v>22306</v>
      </c>
      <c r="E58" s="154">
        <v>0</v>
      </c>
      <c r="F58" s="155" t="s">
        <v>22</v>
      </c>
      <c r="G58" s="156">
        <v>3</v>
      </c>
      <c r="J58" s="157">
        <f t="shared" si="7"/>
        <v>0</v>
      </c>
      <c r="K58" s="16"/>
      <c r="L58" s="119">
        <v>0</v>
      </c>
      <c r="M58" s="16"/>
      <c r="O58" s="34"/>
      <c r="P58" s="28" t="s">
        <v>27</v>
      </c>
      <c r="Q58" s="47" t="s">
        <v>48</v>
      </c>
      <c r="T58" s="172"/>
    </row>
    <row r="59" spans="2:20">
      <c r="B59" s="71">
        <f>B57+1</f>
        <v>3</v>
      </c>
      <c r="C59" s="16" t="s">
        <v>119</v>
      </c>
      <c r="D59" s="23">
        <v>22313</v>
      </c>
      <c r="E59" s="18">
        <v>862.822</v>
      </c>
      <c r="F59" s="19" t="s">
        <v>22</v>
      </c>
      <c r="G59" s="20">
        <v>3</v>
      </c>
      <c r="J59" s="101">
        <f t="shared" si="7"/>
        <v>862.822</v>
      </c>
      <c r="K59" s="16"/>
      <c r="L59" s="110">
        <v>637.1</v>
      </c>
      <c r="M59" s="16"/>
      <c r="N59" s="104">
        <f t="shared" si="8"/>
        <v>0.73839100069307462</v>
      </c>
      <c r="O59" s="34"/>
      <c r="P59" s="28" t="s">
        <v>30</v>
      </c>
      <c r="Q59" s="29" t="s">
        <v>51</v>
      </c>
      <c r="T59" s="172"/>
    </row>
    <row r="60" spans="2:20" ht="15">
      <c r="B60" s="71">
        <f>B59+1</f>
        <v>4</v>
      </c>
      <c r="C60" t="s">
        <v>120</v>
      </c>
      <c r="D60" s="19">
        <v>103941</v>
      </c>
      <c r="E60" s="30">
        <v>800</v>
      </c>
      <c r="F60" s="19" t="s">
        <v>111</v>
      </c>
      <c r="G60" s="20">
        <v>3</v>
      </c>
      <c r="J60" s="101">
        <f t="shared" si="7"/>
        <v>800</v>
      </c>
      <c r="K60" s="164"/>
      <c r="L60" s="102">
        <v>629.20000000000005</v>
      </c>
      <c r="M60" s="173"/>
      <c r="N60" s="129">
        <f t="shared" si="8"/>
        <v>0.78650000000000009</v>
      </c>
      <c r="O60" s="34"/>
      <c r="P60" s="28" t="s">
        <v>33</v>
      </c>
      <c r="Q60" s="29" t="s">
        <v>34</v>
      </c>
      <c r="T60" s="7"/>
    </row>
    <row r="61" spans="2:20">
      <c r="B61" s="71">
        <f>B60+1</f>
        <v>5</v>
      </c>
      <c r="C61" s="16" t="s">
        <v>79</v>
      </c>
      <c r="D61" s="23">
        <v>22342</v>
      </c>
      <c r="E61" s="46">
        <v>500</v>
      </c>
      <c r="F61" s="19" t="s">
        <v>22</v>
      </c>
      <c r="G61" s="20">
        <v>3</v>
      </c>
      <c r="J61" s="174">
        <f t="shared" si="7"/>
        <v>500</v>
      </c>
      <c r="K61" s="16"/>
      <c r="L61" s="102">
        <v>387.7</v>
      </c>
      <c r="M61" s="16"/>
      <c r="N61" s="175">
        <f t="shared" si="8"/>
        <v>0.77539999999999998</v>
      </c>
      <c r="O61" s="34"/>
      <c r="P61" s="28" t="s">
        <v>35</v>
      </c>
      <c r="Q61" s="29" t="s">
        <v>36</v>
      </c>
      <c r="T61" s="7"/>
    </row>
    <row r="62" spans="2:20" ht="18">
      <c r="B62" s="71">
        <f>B61+1</f>
        <v>6</v>
      </c>
      <c r="C62" s="16" t="s">
        <v>80</v>
      </c>
      <c r="D62" s="23">
        <v>22321</v>
      </c>
      <c r="E62" s="18">
        <v>400</v>
      </c>
      <c r="F62" s="19" t="s">
        <v>26</v>
      </c>
      <c r="G62" s="20">
        <v>3</v>
      </c>
      <c r="J62" s="101">
        <f t="shared" si="7"/>
        <v>400</v>
      </c>
      <c r="K62" s="16"/>
      <c r="L62" s="102">
        <v>369.3</v>
      </c>
      <c r="M62" s="188" t="s">
        <v>130</v>
      </c>
      <c r="N62" s="129">
        <f t="shared" si="8"/>
        <v>0.92325000000000002</v>
      </c>
      <c r="O62" s="34"/>
    </row>
    <row r="63" spans="2:20">
      <c r="B63" s="151">
        <f>B62+1</f>
        <v>7</v>
      </c>
      <c r="C63" s="176" t="s">
        <v>81</v>
      </c>
      <c r="D63" s="153">
        <v>102821</v>
      </c>
      <c r="E63" s="177">
        <v>0</v>
      </c>
      <c r="F63" s="155" t="s">
        <v>26</v>
      </c>
      <c r="G63" s="178">
        <v>3</v>
      </c>
      <c r="J63" s="157">
        <f t="shared" si="7"/>
        <v>0</v>
      </c>
      <c r="K63" s="16"/>
      <c r="L63" s="119">
        <v>0</v>
      </c>
      <c r="M63" s="16"/>
      <c r="O63" s="34"/>
    </row>
    <row r="64" spans="2:20">
      <c r="B64" s="71">
        <f>B62+1</f>
        <v>7</v>
      </c>
      <c r="C64" s="32" t="s">
        <v>82</v>
      </c>
      <c r="D64" s="23">
        <v>102950</v>
      </c>
      <c r="E64" s="30">
        <v>300</v>
      </c>
      <c r="F64" s="19" t="s">
        <v>26</v>
      </c>
      <c r="G64" s="20">
        <v>3</v>
      </c>
      <c r="J64" s="101">
        <f t="shared" si="7"/>
        <v>300</v>
      </c>
      <c r="K64" s="16"/>
      <c r="L64" s="102">
        <v>250.2</v>
      </c>
      <c r="M64" s="16"/>
      <c r="N64" s="129">
        <f t="shared" si="8"/>
        <v>0.83399999999999996</v>
      </c>
    </row>
    <row r="65" spans="2:15" ht="15">
      <c r="B65" s="71">
        <f>B63+1</f>
        <v>8</v>
      </c>
      <c r="C65" s="32" t="s">
        <v>121</v>
      </c>
      <c r="D65" s="23">
        <v>104341</v>
      </c>
      <c r="E65" s="30">
        <v>200</v>
      </c>
      <c r="F65" s="19" t="s">
        <v>111</v>
      </c>
      <c r="G65" s="20">
        <v>3</v>
      </c>
      <c r="J65" s="101">
        <f t="shared" si="7"/>
        <v>200</v>
      </c>
      <c r="K65" s="16"/>
      <c r="L65" s="102">
        <v>158.1</v>
      </c>
      <c r="M65" s="173"/>
      <c r="N65" s="129">
        <f t="shared" si="8"/>
        <v>0.79049999999999998</v>
      </c>
    </row>
    <row r="66" spans="2:15">
      <c r="B66" s="71">
        <f t="shared" ref="B66:B78" si="9">B65+1</f>
        <v>9</v>
      </c>
      <c r="C66" s="16" t="s">
        <v>80</v>
      </c>
      <c r="D66" s="23">
        <v>102949</v>
      </c>
      <c r="E66" s="18">
        <v>200</v>
      </c>
      <c r="F66" s="19" t="s">
        <v>26</v>
      </c>
      <c r="G66" s="20">
        <v>3</v>
      </c>
      <c r="J66" s="101">
        <f t="shared" si="7"/>
        <v>200</v>
      </c>
      <c r="K66" s="16"/>
      <c r="L66" s="102">
        <v>175.9</v>
      </c>
      <c r="M66" s="16"/>
      <c r="N66" s="104">
        <f t="shared" si="8"/>
        <v>0.87950000000000006</v>
      </c>
    </row>
    <row r="67" spans="2:15" ht="18">
      <c r="B67" s="86">
        <f t="shared" si="9"/>
        <v>10</v>
      </c>
      <c r="C67" t="s">
        <v>122</v>
      </c>
      <c r="D67" s="19">
        <v>103940</v>
      </c>
      <c r="E67" s="18">
        <v>200</v>
      </c>
      <c r="F67" s="19" t="s">
        <v>111</v>
      </c>
      <c r="G67" s="20">
        <v>3</v>
      </c>
      <c r="J67" s="101">
        <f t="shared" si="7"/>
        <v>200</v>
      </c>
      <c r="K67" s="102"/>
      <c r="L67" s="102">
        <v>181</v>
      </c>
      <c r="M67" s="188" t="s">
        <v>130</v>
      </c>
      <c r="N67" s="104">
        <f t="shared" si="8"/>
        <v>0.90500000000000003</v>
      </c>
    </row>
    <row r="68" spans="2:15" ht="18">
      <c r="B68" s="86">
        <f t="shared" si="9"/>
        <v>11</v>
      </c>
      <c r="C68" s="16" t="s">
        <v>123</v>
      </c>
      <c r="D68" s="23">
        <v>22329</v>
      </c>
      <c r="E68" s="18">
        <v>150</v>
      </c>
      <c r="F68" s="19" t="s">
        <v>38</v>
      </c>
      <c r="G68" s="20">
        <v>3</v>
      </c>
      <c r="J68" s="101">
        <f t="shared" si="7"/>
        <v>150</v>
      </c>
      <c r="K68" s="16"/>
      <c r="L68" s="102">
        <v>117.1</v>
      </c>
      <c r="M68" s="127"/>
      <c r="N68" s="129">
        <f t="shared" si="8"/>
        <v>0.78066666666666662</v>
      </c>
    </row>
    <row r="69" spans="2:15">
      <c r="B69" s="71">
        <f t="shared" si="9"/>
        <v>12</v>
      </c>
      <c r="C69" s="32" t="s">
        <v>124</v>
      </c>
      <c r="D69" s="23">
        <v>102832</v>
      </c>
      <c r="E69" s="30">
        <v>30</v>
      </c>
      <c r="F69" s="19" t="s">
        <v>18</v>
      </c>
      <c r="G69" s="20">
        <v>3</v>
      </c>
      <c r="J69" s="101">
        <f t="shared" si="7"/>
        <v>30</v>
      </c>
      <c r="K69" s="16"/>
      <c r="L69" s="102">
        <v>23.1</v>
      </c>
      <c r="M69" s="16"/>
      <c r="N69" s="129">
        <f t="shared" si="8"/>
        <v>0.77</v>
      </c>
    </row>
    <row r="70" spans="2:15" ht="20.25">
      <c r="B70" s="71">
        <f t="shared" si="9"/>
        <v>13</v>
      </c>
      <c r="C70" s="16" t="s">
        <v>83</v>
      </c>
      <c r="D70" s="23">
        <v>22326</v>
      </c>
      <c r="E70" s="18">
        <v>29</v>
      </c>
      <c r="F70" s="19" t="s">
        <v>38</v>
      </c>
      <c r="G70" s="20">
        <v>3</v>
      </c>
      <c r="J70" s="101">
        <f t="shared" si="7"/>
        <v>29</v>
      </c>
      <c r="K70" s="16"/>
      <c r="L70" s="102">
        <v>25.3</v>
      </c>
      <c r="M70" s="16"/>
      <c r="N70" s="129">
        <f t="shared" si="8"/>
        <v>0.87241379310344835</v>
      </c>
      <c r="O70" s="31"/>
    </row>
    <row r="71" spans="2:15" ht="20.25">
      <c r="B71" s="71">
        <f t="shared" si="9"/>
        <v>14</v>
      </c>
      <c r="C71" s="16" t="s">
        <v>125</v>
      </c>
      <c r="D71" s="23">
        <v>22546</v>
      </c>
      <c r="E71" s="18">
        <v>25</v>
      </c>
      <c r="F71" s="19" t="s">
        <v>38</v>
      </c>
      <c r="G71" s="20">
        <v>3</v>
      </c>
      <c r="J71" s="101">
        <f t="shared" si="7"/>
        <v>25</v>
      </c>
      <c r="K71" s="16"/>
      <c r="L71" s="102">
        <v>19.899999999999999</v>
      </c>
      <c r="M71" s="16"/>
      <c r="N71" s="129">
        <f t="shared" si="8"/>
        <v>0.79599999999999993</v>
      </c>
      <c r="O71" s="31"/>
    </row>
    <row r="72" spans="2:15">
      <c r="B72" s="71">
        <f t="shared" si="9"/>
        <v>15</v>
      </c>
      <c r="C72" s="16" t="s">
        <v>84</v>
      </c>
      <c r="D72" s="23">
        <v>22339</v>
      </c>
      <c r="E72" s="18">
        <v>18.125</v>
      </c>
      <c r="F72" s="19" t="s">
        <v>26</v>
      </c>
      <c r="G72" s="20">
        <v>3</v>
      </c>
      <c r="J72" s="101">
        <f t="shared" ref="J72:J78" si="10">IF(G72=3,E72,0)</f>
        <v>18.125</v>
      </c>
      <c r="K72" s="16"/>
      <c r="L72" s="102">
        <v>15.5</v>
      </c>
      <c r="M72" s="16"/>
      <c r="N72" s="129">
        <f t="shared" ref="N72:N79" si="11">L72/J72</f>
        <v>0.85517241379310349</v>
      </c>
      <c r="O72" s="34"/>
    </row>
    <row r="73" spans="2:15">
      <c r="B73" s="71">
        <f t="shared" si="9"/>
        <v>16</v>
      </c>
      <c r="C73" s="16" t="s">
        <v>85</v>
      </c>
      <c r="D73" s="23">
        <v>22308</v>
      </c>
      <c r="E73" s="18">
        <v>17.145</v>
      </c>
      <c r="F73" s="19" t="s">
        <v>38</v>
      </c>
      <c r="G73" s="20">
        <v>3</v>
      </c>
      <c r="J73" s="101">
        <f t="shared" si="10"/>
        <v>17.145</v>
      </c>
      <c r="K73" s="16"/>
      <c r="L73" s="102">
        <v>14.5</v>
      </c>
      <c r="M73" s="16"/>
      <c r="N73" s="129">
        <f t="shared" si="11"/>
        <v>0.84572761738116076</v>
      </c>
      <c r="O73" s="34"/>
    </row>
    <row r="74" spans="2:15" ht="20.25">
      <c r="B74" s="71">
        <f t="shared" si="9"/>
        <v>17</v>
      </c>
      <c r="C74" s="16" t="s">
        <v>86</v>
      </c>
      <c r="D74" s="23">
        <v>22300</v>
      </c>
      <c r="E74" s="18">
        <v>16.655000000000001</v>
      </c>
      <c r="F74" s="19" t="s">
        <v>22</v>
      </c>
      <c r="G74" s="20">
        <v>3</v>
      </c>
      <c r="J74" s="101">
        <f t="shared" si="10"/>
        <v>16.655000000000001</v>
      </c>
      <c r="K74" s="16"/>
      <c r="L74" s="110">
        <v>13.9</v>
      </c>
      <c r="M74" s="16"/>
      <c r="N74" s="104">
        <f t="shared" si="11"/>
        <v>0.8345842089462624</v>
      </c>
      <c r="O74" s="31"/>
    </row>
    <row r="75" spans="2:15">
      <c r="B75" s="71">
        <f t="shared" si="9"/>
        <v>18</v>
      </c>
      <c r="C75" s="16" t="s">
        <v>87</v>
      </c>
      <c r="D75" s="23">
        <v>22336</v>
      </c>
      <c r="E75" s="18">
        <v>14.634</v>
      </c>
      <c r="F75" s="19" t="s">
        <v>26</v>
      </c>
      <c r="G75" s="20">
        <v>3</v>
      </c>
      <c r="J75" s="101">
        <f t="shared" si="10"/>
        <v>14.634</v>
      </c>
      <c r="K75" s="16"/>
      <c r="L75" s="102">
        <v>12</v>
      </c>
      <c r="M75" s="16"/>
      <c r="N75" s="129">
        <f t="shared" si="11"/>
        <v>0.82000820008200082</v>
      </c>
      <c r="O75" s="34"/>
    </row>
    <row r="76" spans="2:15" ht="20.25">
      <c r="B76" s="71">
        <f t="shared" si="9"/>
        <v>19</v>
      </c>
      <c r="C76" s="32" t="s">
        <v>88</v>
      </c>
      <c r="D76" s="23">
        <v>103962</v>
      </c>
      <c r="E76" s="30">
        <v>10</v>
      </c>
      <c r="F76" s="19" t="s">
        <v>26</v>
      </c>
      <c r="G76" s="20">
        <v>3</v>
      </c>
      <c r="J76" s="101">
        <f t="shared" si="10"/>
        <v>10</v>
      </c>
      <c r="K76" s="16"/>
      <c r="L76" s="102">
        <v>8.5</v>
      </c>
      <c r="M76" s="16"/>
      <c r="N76" s="129">
        <f t="shared" si="11"/>
        <v>0.85</v>
      </c>
      <c r="O76" s="31"/>
    </row>
    <row r="77" spans="2:15">
      <c r="B77" s="71">
        <f t="shared" si="9"/>
        <v>20</v>
      </c>
      <c r="C77" s="16" t="s">
        <v>89</v>
      </c>
      <c r="D77" s="23">
        <v>22341</v>
      </c>
      <c r="E77" s="73">
        <v>8.4190000000000005</v>
      </c>
      <c r="F77" s="19" t="s">
        <v>26</v>
      </c>
      <c r="G77" s="20">
        <v>3</v>
      </c>
      <c r="J77" s="101">
        <f t="shared" si="10"/>
        <v>8.4190000000000005</v>
      </c>
      <c r="K77" s="16"/>
      <c r="L77" s="102">
        <v>7.2</v>
      </c>
      <c r="M77" s="167"/>
      <c r="N77" s="126">
        <f t="shared" si="11"/>
        <v>0.85520845706140869</v>
      </c>
      <c r="O77" s="34"/>
    </row>
    <row r="78" spans="2:15">
      <c r="B78" s="71">
        <f t="shared" si="9"/>
        <v>21</v>
      </c>
      <c r="C78" s="16" t="s">
        <v>90</v>
      </c>
      <c r="D78" s="74">
        <v>22340</v>
      </c>
      <c r="E78" s="75">
        <v>4.9749999999999996</v>
      </c>
      <c r="F78" s="19" t="s">
        <v>22</v>
      </c>
      <c r="G78" s="20">
        <v>3</v>
      </c>
      <c r="J78" s="181">
        <f t="shared" si="10"/>
        <v>4.9749999999999996</v>
      </c>
      <c r="K78" s="16"/>
      <c r="L78" s="110">
        <v>3.6</v>
      </c>
      <c r="M78" s="123"/>
      <c r="N78" s="129">
        <f t="shared" si="11"/>
        <v>0.72361809045226133</v>
      </c>
      <c r="O78" s="34"/>
    </row>
    <row r="79" spans="2:15">
      <c r="E79" s="78">
        <f>SUM(E9:E22,E28:E35,E40:E41,E50:E50,E56:E78)</f>
        <v>45329.614000000001</v>
      </c>
      <c r="H79" s="79">
        <f>SUM(H9:H22)</f>
        <v>13858.563</v>
      </c>
      <c r="I79" s="79">
        <f>SUM(I28:I52)</f>
        <v>18223.043999999998</v>
      </c>
      <c r="J79" s="79">
        <f>SUM(J56:J78)</f>
        <v>13248.007000000001</v>
      </c>
      <c r="K79" s="182"/>
      <c r="L79" s="44">
        <f>SUM(L56:L78)</f>
        <v>11401.200000000003</v>
      </c>
      <c r="M79" s="125"/>
      <c r="N79" s="45">
        <f t="shared" si="11"/>
        <v>0.86059737136310399</v>
      </c>
      <c r="O79" s="34"/>
    </row>
    <row r="80" spans="2:15">
      <c r="F80" s="19"/>
      <c r="G80" s="81" t="s">
        <v>91</v>
      </c>
      <c r="H80" s="82">
        <f>H79/I81</f>
        <v>0.30572867882792915</v>
      </c>
      <c r="I80" s="82">
        <f>I79/I81</f>
        <v>0.40201189447587171</v>
      </c>
      <c r="J80" s="82">
        <f>J79/I81</f>
        <v>0.29225942669619909</v>
      </c>
    </row>
    <row r="81" spans="2:20">
      <c r="B81" s="20">
        <f>B22+B50+B78</f>
        <v>46</v>
      </c>
      <c r="C81" s="71" t="s">
        <v>92</v>
      </c>
      <c r="I81" s="84">
        <f>H79+I79+J79</f>
        <v>45329.614000000001</v>
      </c>
      <c r="L81" s="44">
        <f>L25+L53+L79</f>
        <v>36395.700000000004</v>
      </c>
      <c r="M81" s="125"/>
      <c r="N81" s="45">
        <f>L81/I81</f>
        <v>0.80291219775222444</v>
      </c>
    </row>
    <row r="82" spans="2:20">
      <c r="H82" s="86" t="s">
        <v>93</v>
      </c>
      <c r="I82" s="87">
        <v>-222</v>
      </c>
    </row>
    <row r="83" spans="2:20">
      <c r="I83" s="20" t="s">
        <v>126</v>
      </c>
      <c r="P83" s="5"/>
      <c r="Q83" s="89" t="s">
        <v>127</v>
      </c>
      <c r="R83" s="5"/>
    </row>
    <row r="84" spans="2:20">
      <c r="I84" s="90">
        <f>I81+I82</f>
        <v>45107.614000000001</v>
      </c>
      <c r="L84" s="91">
        <f>43513-L81</f>
        <v>7117.2999999999956</v>
      </c>
      <c r="M84" s="92" t="s">
        <v>97</v>
      </c>
      <c r="N84" s="93"/>
      <c r="Q84" s="94">
        <v>6455</v>
      </c>
      <c r="T84" s="62"/>
    </row>
    <row r="85" spans="2:20">
      <c r="I85" s="183"/>
      <c r="L85" s="91">
        <f>I84-L81</f>
        <v>8711.913999999997</v>
      </c>
      <c r="M85" s="92" t="s">
        <v>99</v>
      </c>
      <c r="N85" s="93"/>
      <c r="Q85" s="94">
        <v>10265</v>
      </c>
    </row>
    <row r="86" spans="2:20">
      <c r="D86" s="184" t="s">
        <v>100</v>
      </c>
      <c r="E86" s="185" t="s">
        <v>101</v>
      </c>
      <c r="L86" s="91">
        <f>L81</f>
        <v>36395.700000000004</v>
      </c>
      <c r="M86" s="92" t="s">
        <v>102</v>
      </c>
      <c r="N86" s="93"/>
      <c r="Q86" s="94">
        <v>32793</v>
      </c>
      <c r="R86" s="95" t="s">
        <v>128</v>
      </c>
    </row>
    <row r="87" spans="2:20">
      <c r="D87" s="186"/>
      <c r="E87" s="185" t="s">
        <v>104</v>
      </c>
      <c r="L87" s="96">
        <f>L86/SUM(L86+L85-I82)</f>
        <v>0.80291219775222444</v>
      </c>
      <c r="M87" s="92" t="s">
        <v>102</v>
      </c>
      <c r="N87" s="93"/>
      <c r="Q87" s="97">
        <f>Q86/SUM(Q86+Q85+2242)</f>
        <v>0.72390728476821187</v>
      </c>
      <c r="R87" s="95" t="s">
        <v>128</v>
      </c>
    </row>
    <row r="89" spans="2:20">
      <c r="H89" s="182"/>
    </row>
  </sheetData>
  <phoneticPr fontId="0" type="noConversion"/>
  <pageMargins left="0.75" right="0.75" top="1" bottom="1" header="0.5" footer="0.5"/>
  <pageSetup scale="3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1"/>
  <sheetViews>
    <sheetView topLeftCell="C53" zoomScale="75" zoomScaleNormal="228" zoomScaleSheetLayoutView="30" workbookViewId="0">
      <selection activeCell="N77" sqref="N77"/>
    </sheetView>
  </sheetViews>
  <sheetFormatPr defaultRowHeight="12.75"/>
  <cols>
    <col min="3" max="3" width="30.7109375" customWidth="1"/>
    <col min="5" max="5" width="12.85546875" customWidth="1"/>
    <col min="8" max="8" width="12.5703125" customWidth="1"/>
    <col min="9" max="9" width="12.7109375" customWidth="1"/>
    <col min="10" max="10" width="12.28515625" customWidth="1"/>
  </cols>
  <sheetData>
    <row r="3" spans="2:18" ht="20.25">
      <c r="E3" s="1" t="s">
        <v>131</v>
      </c>
      <c r="L3" s="3" t="s">
        <v>1</v>
      </c>
      <c r="M3" s="4"/>
      <c r="N3" s="3" t="s">
        <v>147</v>
      </c>
      <c r="O3" s="2"/>
    </row>
    <row r="6" spans="2:18">
      <c r="N6" s="6" t="s">
        <v>2</v>
      </c>
    </row>
    <row r="7" spans="2:18">
      <c r="L7" s="6" t="s">
        <v>4</v>
      </c>
      <c r="M7" s="8"/>
      <c r="N7" s="6" t="s">
        <v>5</v>
      </c>
      <c r="Q7" s="10" t="s">
        <v>3</v>
      </c>
    </row>
    <row r="8" spans="2:18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11"/>
      <c r="L8" s="13" t="s">
        <v>15</v>
      </c>
      <c r="M8" s="13"/>
      <c r="N8" s="13" t="s">
        <v>132</v>
      </c>
      <c r="O8" s="9"/>
      <c r="P8" s="14" t="s">
        <v>6</v>
      </c>
    </row>
    <row r="9" spans="2:18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21">
        <f t="shared" ref="H9:H19" si="0">IF(G9=1,E9,0)</f>
        <v>3500</v>
      </c>
      <c r="L9" s="22">
        <v>2757</v>
      </c>
      <c r="M9" s="23"/>
      <c r="N9" s="24">
        <f>L9/H9</f>
        <v>0.7877142857142857</v>
      </c>
      <c r="O9" s="25"/>
      <c r="R9" s="26" t="s">
        <v>12</v>
      </c>
    </row>
    <row r="10" spans="2:18" ht="18">
      <c r="B10" s="15">
        <f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21">
        <f t="shared" si="0"/>
        <v>2747.5329999999999</v>
      </c>
      <c r="L10" s="99">
        <v>2552</v>
      </c>
      <c r="M10" s="98" t="s">
        <v>130</v>
      </c>
      <c r="N10" s="100">
        <f t="shared" ref="N10:N21" si="1">L10/H10</f>
        <v>0.92883324786271904</v>
      </c>
      <c r="O10" s="27"/>
      <c r="P10" s="28" t="s">
        <v>19</v>
      </c>
      <c r="Q10" s="29" t="s">
        <v>20</v>
      </c>
    </row>
    <row r="11" spans="2:18" ht="20.25">
      <c r="B11" s="15">
        <f t="shared" ref="B11:B19" si="2">B10+1</f>
        <v>3</v>
      </c>
      <c r="C11" s="16" t="s">
        <v>29</v>
      </c>
      <c r="D11" s="23">
        <v>102817</v>
      </c>
      <c r="E11" s="30">
        <v>2000</v>
      </c>
      <c r="F11" s="19" t="s">
        <v>18</v>
      </c>
      <c r="G11" s="20">
        <v>1</v>
      </c>
      <c r="H11" s="21">
        <f t="shared" si="0"/>
        <v>2000</v>
      </c>
      <c r="L11" s="22">
        <f>736.8+601</f>
        <v>1337.8</v>
      </c>
      <c r="M11" s="7"/>
      <c r="N11" s="24">
        <f t="shared" si="1"/>
        <v>0.66889999999999994</v>
      </c>
      <c r="O11" s="31"/>
      <c r="P11" s="28" t="s">
        <v>23</v>
      </c>
      <c r="Q11" s="29" t="s">
        <v>24</v>
      </c>
    </row>
    <row r="12" spans="2:18">
      <c r="B12" s="15">
        <f t="shared" si="2"/>
        <v>4</v>
      </c>
      <c r="C12" s="32" t="s">
        <v>133</v>
      </c>
      <c r="D12" s="23">
        <v>102831</v>
      </c>
      <c r="E12" s="30">
        <v>1500</v>
      </c>
      <c r="F12" s="19" t="s">
        <v>26</v>
      </c>
      <c r="G12" s="20">
        <v>1</v>
      </c>
      <c r="H12" s="21">
        <f t="shared" si="0"/>
        <v>1500</v>
      </c>
      <c r="L12" s="22">
        <v>1086</v>
      </c>
      <c r="N12" s="24">
        <f t="shared" si="1"/>
        <v>0.72399999999999998</v>
      </c>
      <c r="O12" s="34"/>
      <c r="P12" s="20" t="s">
        <v>27</v>
      </c>
      <c r="Q12" s="35" t="s">
        <v>28</v>
      </c>
    </row>
    <row r="13" spans="2:18">
      <c r="B13" s="15">
        <f t="shared" si="2"/>
        <v>5</v>
      </c>
      <c r="C13" s="16" t="s">
        <v>134</v>
      </c>
      <c r="D13" s="23">
        <v>22305</v>
      </c>
      <c r="E13" s="18">
        <v>1000</v>
      </c>
      <c r="F13" s="19" t="s">
        <v>22</v>
      </c>
      <c r="G13" s="20">
        <v>1</v>
      </c>
      <c r="H13" s="21">
        <f t="shared" si="0"/>
        <v>1000</v>
      </c>
      <c r="L13" s="22">
        <v>797</v>
      </c>
      <c r="N13" s="24">
        <f t="shared" si="1"/>
        <v>0.79700000000000004</v>
      </c>
      <c r="O13" s="36"/>
      <c r="P13" s="28" t="s">
        <v>30</v>
      </c>
      <c r="Q13" s="29" t="s">
        <v>31</v>
      </c>
      <c r="R13" s="37"/>
    </row>
    <row r="14" spans="2:18">
      <c r="B14" s="15">
        <f t="shared" si="2"/>
        <v>6</v>
      </c>
      <c r="C14" s="32" t="s">
        <v>32</v>
      </c>
      <c r="D14" s="23">
        <v>23281</v>
      </c>
      <c r="E14" s="30">
        <v>1000</v>
      </c>
      <c r="F14" s="19" t="s">
        <v>18</v>
      </c>
      <c r="G14" s="20">
        <v>1</v>
      </c>
      <c r="H14" s="21">
        <f t="shared" si="0"/>
        <v>1000</v>
      </c>
      <c r="L14" s="22">
        <v>516.70000000000005</v>
      </c>
      <c r="M14" s="37"/>
      <c r="N14" s="24">
        <f t="shared" si="1"/>
        <v>0.51670000000000005</v>
      </c>
      <c r="O14" s="36"/>
      <c r="P14" s="28" t="s">
        <v>33</v>
      </c>
      <c r="Q14" s="29" t="s">
        <v>34</v>
      </c>
      <c r="R14" s="37"/>
    </row>
    <row r="15" spans="2:18" ht="20.25">
      <c r="B15" s="15">
        <f t="shared" si="2"/>
        <v>7</v>
      </c>
      <c r="C15" s="32" t="s">
        <v>32</v>
      </c>
      <c r="D15" s="23">
        <v>23282</v>
      </c>
      <c r="E15" s="30">
        <v>500</v>
      </c>
      <c r="F15" s="19" t="s">
        <v>18</v>
      </c>
      <c r="G15" s="20">
        <v>1</v>
      </c>
      <c r="H15" s="21">
        <f t="shared" si="0"/>
        <v>500</v>
      </c>
      <c r="L15" s="22">
        <v>329.7</v>
      </c>
      <c r="M15" s="37"/>
      <c r="N15" s="24">
        <f t="shared" si="1"/>
        <v>0.65939999999999999</v>
      </c>
      <c r="O15" s="31"/>
      <c r="P15" s="28" t="s">
        <v>35</v>
      </c>
      <c r="Q15" s="29" t="s">
        <v>36</v>
      </c>
    </row>
    <row r="16" spans="2:18">
      <c r="B16" s="15">
        <f t="shared" si="2"/>
        <v>8</v>
      </c>
      <c r="C16" s="16" t="s">
        <v>37</v>
      </c>
      <c r="D16" s="23">
        <v>22307</v>
      </c>
      <c r="E16" s="18">
        <v>267.54700000000003</v>
      </c>
      <c r="F16" s="19" t="s">
        <v>38</v>
      </c>
      <c r="G16" s="20">
        <v>1</v>
      </c>
      <c r="H16" s="21">
        <f t="shared" si="0"/>
        <v>267.54700000000003</v>
      </c>
      <c r="L16" s="38">
        <v>191.3</v>
      </c>
      <c r="M16" s="37"/>
      <c r="N16" s="24">
        <f t="shared" si="1"/>
        <v>0.71501455818977599</v>
      </c>
      <c r="O16" s="34"/>
    </row>
    <row r="17" spans="2:18" ht="20.25">
      <c r="B17" s="15">
        <f t="shared" si="2"/>
        <v>9</v>
      </c>
      <c r="C17" s="16" t="s">
        <v>112</v>
      </c>
      <c r="D17" s="23">
        <v>22333</v>
      </c>
      <c r="E17" s="18">
        <v>202</v>
      </c>
      <c r="F17" s="19" t="s">
        <v>22</v>
      </c>
      <c r="G17" s="20">
        <v>1</v>
      </c>
      <c r="H17" s="21">
        <f t="shared" si="0"/>
        <v>202</v>
      </c>
      <c r="L17" s="22">
        <v>154.5</v>
      </c>
      <c r="M17" s="37"/>
      <c r="N17" s="24">
        <f t="shared" si="1"/>
        <v>0.76485148514851486</v>
      </c>
      <c r="O17" s="31"/>
    </row>
    <row r="18" spans="2:18">
      <c r="B18" s="15">
        <f t="shared" si="2"/>
        <v>10</v>
      </c>
      <c r="C18" s="16" t="s">
        <v>135</v>
      </c>
      <c r="D18" s="23">
        <v>102815</v>
      </c>
      <c r="E18" s="18">
        <v>100</v>
      </c>
      <c r="F18" s="19" t="s">
        <v>18</v>
      </c>
      <c r="G18" s="20">
        <v>1</v>
      </c>
      <c r="H18" s="21">
        <f t="shared" si="0"/>
        <v>100</v>
      </c>
      <c r="L18" s="22">
        <v>80.3</v>
      </c>
      <c r="M18" s="37"/>
      <c r="N18" s="24">
        <f t="shared" si="1"/>
        <v>0.80299999999999994</v>
      </c>
      <c r="O18" s="34"/>
    </row>
    <row r="19" spans="2:18">
      <c r="B19" s="15">
        <f t="shared" si="2"/>
        <v>11</v>
      </c>
      <c r="C19" t="s">
        <v>136</v>
      </c>
      <c r="D19" s="23">
        <v>22297</v>
      </c>
      <c r="E19" s="39">
        <v>50</v>
      </c>
      <c r="F19" s="19" t="s">
        <v>38</v>
      </c>
      <c r="G19" s="20">
        <v>1</v>
      </c>
      <c r="H19" s="40">
        <f t="shared" si="0"/>
        <v>50</v>
      </c>
      <c r="L19" s="22">
        <v>37.299999999999997</v>
      </c>
      <c r="M19" s="37"/>
      <c r="N19" s="24">
        <f t="shared" si="1"/>
        <v>0.746</v>
      </c>
      <c r="O19" s="34"/>
    </row>
    <row r="20" spans="2:18">
      <c r="G20" s="41" t="s">
        <v>43</v>
      </c>
    </row>
    <row r="21" spans="2:18">
      <c r="H21" s="42">
        <f>SUM(H9:H19)</f>
        <v>12867.08</v>
      </c>
      <c r="L21" s="44">
        <f>SUM(L9:L19)</f>
        <v>9839.5999999999985</v>
      </c>
      <c r="M21" s="37"/>
      <c r="N21" s="45">
        <f t="shared" si="1"/>
        <v>0.76471118544378358</v>
      </c>
    </row>
    <row r="23" spans="2:18">
      <c r="R23" s="26" t="s">
        <v>13</v>
      </c>
    </row>
    <row r="24" spans="2:18" ht="20.25">
      <c r="B24" s="20">
        <f>1</f>
        <v>1</v>
      </c>
      <c r="C24" s="16" t="s">
        <v>46</v>
      </c>
      <c r="D24" s="23">
        <v>23613</v>
      </c>
      <c r="E24" s="46">
        <f>6009.08+1000+752.136</f>
        <v>7761.2160000000003</v>
      </c>
      <c r="F24" s="19" t="s">
        <v>26</v>
      </c>
      <c r="G24" s="20">
        <v>4</v>
      </c>
      <c r="H24" s="33"/>
      <c r="I24" s="21">
        <f t="shared" ref="I24:I39" si="3">IF(G24=4,E24,0)</f>
        <v>7761.2160000000003</v>
      </c>
      <c r="L24" s="22">
        <v>5287.5</v>
      </c>
      <c r="M24" s="37"/>
      <c r="N24" s="24">
        <f>L24/I24</f>
        <v>0.68127210993741183</v>
      </c>
      <c r="O24" s="31"/>
      <c r="P24" s="28" t="s">
        <v>19</v>
      </c>
      <c r="Q24" s="47" t="s">
        <v>45</v>
      </c>
    </row>
    <row r="25" spans="2:18">
      <c r="B25" s="20">
        <f>B24+1</f>
        <v>2</v>
      </c>
      <c r="C25" s="16" t="s">
        <v>44</v>
      </c>
      <c r="D25" s="23">
        <v>22337</v>
      </c>
      <c r="E25" s="18">
        <v>6400</v>
      </c>
      <c r="F25" s="19" t="s">
        <v>38</v>
      </c>
      <c r="G25" s="20">
        <v>4</v>
      </c>
      <c r="H25" s="33"/>
      <c r="I25" s="21">
        <f t="shared" si="3"/>
        <v>6400</v>
      </c>
      <c r="L25" s="22">
        <v>4853.3999999999996</v>
      </c>
      <c r="M25" s="37"/>
      <c r="N25" s="24">
        <f t="shared" ref="N25:N40" si="4">L25/I25</f>
        <v>0.75834374999999998</v>
      </c>
      <c r="O25" s="34"/>
      <c r="P25" s="28" t="s">
        <v>23</v>
      </c>
      <c r="Q25" s="47" t="s">
        <v>45</v>
      </c>
    </row>
    <row r="26" spans="2:18" ht="20.25">
      <c r="B26" s="20">
        <f>B25+1</f>
        <v>3</v>
      </c>
      <c r="C26" s="16" t="s">
        <v>53</v>
      </c>
      <c r="D26" s="23">
        <v>23544</v>
      </c>
      <c r="E26" s="18">
        <v>2200</v>
      </c>
      <c r="F26" s="19" t="s">
        <v>38</v>
      </c>
      <c r="G26" s="20">
        <v>4</v>
      </c>
      <c r="H26" s="33"/>
      <c r="I26" s="21">
        <f t="shared" si="3"/>
        <v>2200</v>
      </c>
      <c r="L26" s="22">
        <v>1479.8</v>
      </c>
      <c r="M26" s="37"/>
      <c r="N26" s="24">
        <f t="shared" si="4"/>
        <v>0.67263636363636359</v>
      </c>
      <c r="O26" s="31"/>
      <c r="P26" s="28" t="s">
        <v>27</v>
      </c>
      <c r="Q26" s="47" t="s">
        <v>48</v>
      </c>
    </row>
    <row r="27" spans="2:18">
      <c r="B27" s="20">
        <f>B26+1</f>
        <v>4</v>
      </c>
      <c r="C27" s="16" t="s">
        <v>77</v>
      </c>
      <c r="D27" s="23">
        <v>22335</v>
      </c>
      <c r="E27" s="18">
        <v>864.82799999999997</v>
      </c>
      <c r="F27" s="19" t="s">
        <v>22</v>
      </c>
      <c r="G27" s="20">
        <v>4</v>
      </c>
      <c r="H27" s="33"/>
      <c r="I27" s="21">
        <f t="shared" si="3"/>
        <v>864.82799999999997</v>
      </c>
      <c r="L27" s="22">
        <v>629.4</v>
      </c>
      <c r="M27" s="37"/>
      <c r="N27" s="24">
        <f t="shared" si="4"/>
        <v>0.72777477139963087</v>
      </c>
      <c r="O27" s="34"/>
      <c r="P27" s="28" t="s">
        <v>30</v>
      </c>
      <c r="Q27" s="29" t="s">
        <v>51</v>
      </c>
    </row>
    <row r="28" spans="2:18">
      <c r="B28" s="20">
        <f>B27+1</f>
        <v>5</v>
      </c>
      <c r="C28" s="16" t="s">
        <v>40</v>
      </c>
      <c r="D28" s="23">
        <v>22334</v>
      </c>
      <c r="E28" s="18">
        <v>750</v>
      </c>
      <c r="F28" s="19" t="s">
        <v>38</v>
      </c>
      <c r="G28" s="20">
        <v>4</v>
      </c>
      <c r="H28" s="33"/>
      <c r="I28" s="21">
        <f t="shared" si="3"/>
        <v>750</v>
      </c>
      <c r="L28" s="22">
        <v>607.9</v>
      </c>
      <c r="M28" s="37"/>
      <c r="N28" s="24">
        <f t="shared" si="4"/>
        <v>0.81053333333333333</v>
      </c>
      <c r="O28" s="34"/>
      <c r="P28" s="28" t="s">
        <v>33</v>
      </c>
      <c r="Q28" s="29" t="s">
        <v>34</v>
      </c>
    </row>
    <row r="29" spans="2:18" ht="20.25">
      <c r="B29" s="48">
        <f>B28+1</f>
        <v>6</v>
      </c>
      <c r="C29" s="49" t="s">
        <v>56</v>
      </c>
      <c r="D29" s="50">
        <v>103665</v>
      </c>
      <c r="E29" s="51">
        <v>585.35900000000004</v>
      </c>
      <c r="F29" s="48" t="s">
        <v>137</v>
      </c>
      <c r="G29" s="48">
        <v>4</v>
      </c>
      <c r="H29" s="33"/>
      <c r="I29" s="52">
        <f t="shared" si="3"/>
        <v>585.35900000000004</v>
      </c>
      <c r="L29" s="22">
        <v>514</v>
      </c>
      <c r="M29" s="37"/>
      <c r="N29" s="24">
        <f t="shared" si="4"/>
        <v>0.87809361434606792</v>
      </c>
      <c r="O29" s="31"/>
      <c r="P29" s="28" t="s">
        <v>35</v>
      </c>
      <c r="Q29" s="29" t="s">
        <v>36</v>
      </c>
    </row>
    <row r="30" spans="2:18" ht="18">
      <c r="B30" s="53">
        <f>1</f>
        <v>1</v>
      </c>
      <c r="C30" s="54" t="s">
        <v>58</v>
      </c>
      <c r="D30" s="55">
        <v>22309</v>
      </c>
      <c r="E30" s="56">
        <v>202.51</v>
      </c>
      <c r="F30" s="57" t="s">
        <v>26</v>
      </c>
      <c r="G30" s="57">
        <v>4</v>
      </c>
      <c r="H30" s="33"/>
      <c r="I30" s="58">
        <f t="shared" si="3"/>
        <v>202.51</v>
      </c>
      <c r="L30" s="59">
        <v>0</v>
      </c>
      <c r="M30" s="60"/>
      <c r="N30" s="61">
        <f t="shared" si="4"/>
        <v>0</v>
      </c>
      <c r="O30" s="34"/>
    </row>
    <row r="31" spans="2:18" ht="20.25">
      <c r="B31" s="20">
        <f>B29+1</f>
        <v>7</v>
      </c>
      <c r="C31" s="16" t="s">
        <v>57</v>
      </c>
      <c r="D31" s="23">
        <v>22312</v>
      </c>
      <c r="E31" s="18">
        <v>136</v>
      </c>
      <c r="F31" s="19" t="s">
        <v>38</v>
      </c>
      <c r="G31" s="20">
        <v>4</v>
      </c>
      <c r="H31" s="33"/>
      <c r="I31" s="21">
        <f t="shared" si="3"/>
        <v>136</v>
      </c>
      <c r="L31" s="22">
        <v>101.1</v>
      </c>
      <c r="N31" s="24">
        <f t="shared" si="4"/>
        <v>0.74338235294117638</v>
      </c>
      <c r="O31" s="31"/>
      <c r="R31" s="62"/>
    </row>
    <row r="32" spans="2:18" ht="20.25">
      <c r="B32" s="20">
        <f>B31+1</f>
        <v>8</v>
      </c>
      <c r="C32" s="16" t="s">
        <v>57</v>
      </c>
      <c r="D32" s="23">
        <v>103139</v>
      </c>
      <c r="E32" s="18">
        <v>114</v>
      </c>
      <c r="F32" s="19" t="s">
        <v>38</v>
      </c>
      <c r="G32" s="20">
        <v>4</v>
      </c>
      <c r="H32" s="33"/>
      <c r="I32" s="21">
        <f t="shared" si="3"/>
        <v>114</v>
      </c>
      <c r="L32" s="22">
        <v>85.4</v>
      </c>
      <c r="M32" s="63"/>
      <c r="N32" s="24">
        <f t="shared" si="4"/>
        <v>0.74912280701754386</v>
      </c>
      <c r="O32" s="31"/>
      <c r="R32" s="64"/>
    </row>
    <row r="33" spans="2:15">
      <c r="B33" s="53">
        <f>B30+1</f>
        <v>2</v>
      </c>
      <c r="C33" s="54" t="s">
        <v>60</v>
      </c>
      <c r="D33" s="55">
        <v>22315</v>
      </c>
      <c r="E33" s="56">
        <v>79.448999999999998</v>
      </c>
      <c r="F33" s="57" t="s">
        <v>38</v>
      </c>
      <c r="G33" s="57">
        <v>4</v>
      </c>
      <c r="H33" s="33"/>
      <c r="I33" s="58">
        <f t="shared" si="3"/>
        <v>79.448999999999998</v>
      </c>
      <c r="L33" s="59">
        <v>0</v>
      </c>
      <c r="M33" s="37"/>
      <c r="N33" s="61">
        <f t="shared" si="4"/>
        <v>0</v>
      </c>
      <c r="O33" s="34"/>
    </row>
    <row r="34" spans="2:15">
      <c r="B34" s="53">
        <f>B33+1</f>
        <v>3</v>
      </c>
      <c r="C34" s="54" t="s">
        <v>61</v>
      </c>
      <c r="D34" s="55">
        <v>22322</v>
      </c>
      <c r="E34" s="65">
        <v>75</v>
      </c>
      <c r="F34" s="57" t="s">
        <v>38</v>
      </c>
      <c r="G34" s="57">
        <v>4</v>
      </c>
      <c r="H34" s="33"/>
      <c r="I34" s="58">
        <f t="shared" si="3"/>
        <v>75</v>
      </c>
      <c r="L34" s="59">
        <v>0</v>
      </c>
      <c r="N34" s="61">
        <f t="shared" si="4"/>
        <v>0</v>
      </c>
      <c r="O34" s="34"/>
    </row>
    <row r="35" spans="2:15" ht="20.25">
      <c r="B35" s="20">
        <f>B32+1</f>
        <v>9</v>
      </c>
      <c r="C35" s="32" t="s">
        <v>138</v>
      </c>
      <c r="D35" s="23">
        <v>102942</v>
      </c>
      <c r="E35" s="30">
        <v>50</v>
      </c>
      <c r="F35" s="19" t="s">
        <v>26</v>
      </c>
      <c r="G35" s="20">
        <v>4</v>
      </c>
      <c r="H35" s="33"/>
      <c r="I35" s="21">
        <f t="shared" si="3"/>
        <v>50</v>
      </c>
      <c r="L35" s="22">
        <v>34</v>
      </c>
      <c r="M35" s="37"/>
      <c r="N35" s="24">
        <f t="shared" si="4"/>
        <v>0.68</v>
      </c>
      <c r="O35" s="31"/>
    </row>
    <row r="36" spans="2:15">
      <c r="B36" s="20">
        <f>B35+1</f>
        <v>10</v>
      </c>
      <c r="C36" s="16" t="s">
        <v>62</v>
      </c>
      <c r="D36" s="19">
        <v>22344</v>
      </c>
      <c r="E36" s="18">
        <v>50</v>
      </c>
      <c r="F36" s="19" t="s">
        <v>22</v>
      </c>
      <c r="G36" s="20">
        <v>4</v>
      </c>
      <c r="H36" s="33"/>
      <c r="I36" s="21">
        <f t="shared" si="3"/>
        <v>50</v>
      </c>
      <c r="L36" s="38">
        <v>50</v>
      </c>
      <c r="N36" s="24">
        <f t="shared" si="4"/>
        <v>1</v>
      </c>
      <c r="O36" s="34"/>
    </row>
    <row r="37" spans="2:15">
      <c r="B37" s="53">
        <f>B34+1</f>
        <v>4</v>
      </c>
      <c r="C37" s="54" t="s">
        <v>63</v>
      </c>
      <c r="D37" s="55">
        <v>22311</v>
      </c>
      <c r="E37" s="56">
        <v>45</v>
      </c>
      <c r="F37" s="57" t="s">
        <v>22</v>
      </c>
      <c r="G37" s="57">
        <v>4</v>
      </c>
      <c r="H37" s="33"/>
      <c r="I37" s="58">
        <f t="shared" si="3"/>
        <v>45</v>
      </c>
      <c r="L37" s="59">
        <v>0</v>
      </c>
      <c r="N37" s="61">
        <f t="shared" si="4"/>
        <v>0</v>
      </c>
      <c r="O37" s="34"/>
    </row>
    <row r="38" spans="2:15">
      <c r="B38" s="53">
        <f t="shared" ref="B38:B47" si="5">B37+1</f>
        <v>5</v>
      </c>
      <c r="C38" s="54" t="s">
        <v>64</v>
      </c>
      <c r="D38" s="55">
        <v>22323</v>
      </c>
      <c r="E38" s="56">
        <v>45</v>
      </c>
      <c r="F38" s="57" t="s">
        <v>22</v>
      </c>
      <c r="G38" s="57">
        <v>4</v>
      </c>
      <c r="H38" s="33"/>
      <c r="I38" s="58">
        <f t="shared" si="3"/>
        <v>45</v>
      </c>
      <c r="L38" s="59">
        <v>0</v>
      </c>
      <c r="M38" s="23"/>
      <c r="N38" s="61">
        <f t="shared" si="4"/>
        <v>0</v>
      </c>
      <c r="O38" s="34"/>
    </row>
    <row r="39" spans="2:15">
      <c r="B39" s="53">
        <f t="shared" si="5"/>
        <v>6</v>
      </c>
      <c r="C39" s="54" t="s">
        <v>66</v>
      </c>
      <c r="D39" s="55">
        <v>22303</v>
      </c>
      <c r="E39" s="56">
        <v>32.4</v>
      </c>
      <c r="F39" s="57" t="s">
        <v>38</v>
      </c>
      <c r="G39" s="57">
        <v>4</v>
      </c>
      <c r="H39" s="33"/>
      <c r="I39" s="58">
        <f t="shared" si="3"/>
        <v>32.4</v>
      </c>
      <c r="L39" s="59">
        <v>0</v>
      </c>
      <c r="M39" s="66"/>
      <c r="N39" s="61">
        <f t="shared" si="4"/>
        <v>0</v>
      </c>
      <c r="O39" s="34"/>
    </row>
    <row r="40" spans="2:15" ht="20.25">
      <c r="B40" s="53">
        <f t="shared" si="5"/>
        <v>7</v>
      </c>
      <c r="C40" s="54" t="s">
        <v>67</v>
      </c>
      <c r="D40" s="55">
        <v>22328</v>
      </c>
      <c r="E40" s="56">
        <v>25</v>
      </c>
      <c r="F40" s="57" t="s">
        <v>22</v>
      </c>
      <c r="G40" s="57">
        <v>4</v>
      </c>
      <c r="H40" s="33"/>
      <c r="I40" s="58">
        <f t="shared" ref="I40:I47" si="6">IF(G40=4,E40,0)</f>
        <v>25</v>
      </c>
      <c r="L40" s="67">
        <v>0</v>
      </c>
      <c r="M40" s="66"/>
      <c r="N40" s="61">
        <f t="shared" si="4"/>
        <v>0</v>
      </c>
      <c r="O40" s="31"/>
    </row>
    <row r="41" spans="2:15">
      <c r="B41" s="53">
        <f t="shared" si="5"/>
        <v>8</v>
      </c>
      <c r="C41" s="54" t="s">
        <v>68</v>
      </c>
      <c r="D41" s="55">
        <v>22302</v>
      </c>
      <c r="E41" s="56">
        <v>18</v>
      </c>
      <c r="F41" s="57" t="s">
        <v>38</v>
      </c>
      <c r="G41" s="57">
        <v>4</v>
      </c>
      <c r="H41" s="33"/>
      <c r="I41" s="58">
        <f t="shared" si="6"/>
        <v>18</v>
      </c>
      <c r="L41" s="59">
        <v>0</v>
      </c>
      <c r="M41" s="66"/>
      <c r="N41" s="61">
        <f t="shared" ref="N41:N48" si="7">L41/I41</f>
        <v>0</v>
      </c>
      <c r="O41" s="34"/>
    </row>
    <row r="42" spans="2:15" ht="18">
      <c r="B42" s="53">
        <f t="shared" si="5"/>
        <v>9</v>
      </c>
      <c r="C42" s="54" t="s">
        <v>69</v>
      </c>
      <c r="D42" s="55">
        <v>22332</v>
      </c>
      <c r="E42" s="56">
        <v>15</v>
      </c>
      <c r="F42" s="57" t="s">
        <v>38</v>
      </c>
      <c r="G42" s="57">
        <v>4</v>
      </c>
      <c r="H42" s="33"/>
      <c r="I42" s="58">
        <f t="shared" si="6"/>
        <v>15</v>
      </c>
      <c r="L42" s="59">
        <v>0</v>
      </c>
      <c r="M42" s="63"/>
      <c r="N42" s="61">
        <f t="shared" si="7"/>
        <v>0</v>
      </c>
      <c r="O42" s="34"/>
    </row>
    <row r="43" spans="2:15" ht="20.25">
      <c r="B43" s="53">
        <f t="shared" si="5"/>
        <v>10</v>
      </c>
      <c r="C43" s="54" t="s">
        <v>70</v>
      </c>
      <c r="D43" s="55">
        <v>22368</v>
      </c>
      <c r="E43" s="56">
        <v>15</v>
      </c>
      <c r="F43" s="57" t="s">
        <v>26</v>
      </c>
      <c r="G43" s="57">
        <v>4</v>
      </c>
      <c r="H43" s="33"/>
      <c r="I43" s="58">
        <f t="shared" si="6"/>
        <v>15</v>
      </c>
      <c r="L43" s="59">
        <v>0</v>
      </c>
      <c r="N43" s="61">
        <f t="shared" si="7"/>
        <v>0</v>
      </c>
      <c r="O43" s="31"/>
    </row>
    <row r="44" spans="2:15">
      <c r="B44" s="53">
        <f t="shared" si="5"/>
        <v>11</v>
      </c>
      <c r="C44" s="54" t="s">
        <v>71</v>
      </c>
      <c r="D44" s="55">
        <v>22324</v>
      </c>
      <c r="E44" s="56">
        <v>15</v>
      </c>
      <c r="F44" s="57" t="s">
        <v>26</v>
      </c>
      <c r="G44" s="57">
        <v>4</v>
      </c>
      <c r="H44" s="33"/>
      <c r="I44" s="58">
        <f t="shared" si="6"/>
        <v>15</v>
      </c>
      <c r="L44" s="59">
        <v>0</v>
      </c>
      <c r="N44" s="61">
        <f t="shared" si="7"/>
        <v>0</v>
      </c>
      <c r="O44" s="34"/>
    </row>
    <row r="45" spans="2:15">
      <c r="B45" s="20">
        <f>B36+1</f>
        <v>11</v>
      </c>
      <c r="C45" s="16" t="s">
        <v>72</v>
      </c>
      <c r="D45" s="23">
        <v>22301</v>
      </c>
      <c r="E45" s="18">
        <v>13.776999999999999</v>
      </c>
      <c r="F45" s="19" t="s">
        <v>26</v>
      </c>
      <c r="G45" s="20">
        <v>4</v>
      </c>
      <c r="H45" s="33"/>
      <c r="I45" s="21">
        <f t="shared" si="6"/>
        <v>13.776999999999999</v>
      </c>
      <c r="L45" s="22">
        <v>12.8</v>
      </c>
      <c r="N45" s="24">
        <f t="shared" si="7"/>
        <v>0.92908470639471596</v>
      </c>
      <c r="O45" s="34"/>
    </row>
    <row r="46" spans="2:15">
      <c r="B46" s="53">
        <f>B44+1</f>
        <v>12</v>
      </c>
      <c r="C46" s="54" t="s">
        <v>73</v>
      </c>
      <c r="D46" s="55">
        <v>22304</v>
      </c>
      <c r="E46" s="56">
        <v>10</v>
      </c>
      <c r="F46" s="57" t="s">
        <v>38</v>
      </c>
      <c r="G46" s="57">
        <v>4</v>
      </c>
      <c r="H46" s="33"/>
      <c r="I46" s="58">
        <f t="shared" si="6"/>
        <v>10</v>
      </c>
      <c r="L46" s="59">
        <v>0</v>
      </c>
      <c r="N46" s="61">
        <f t="shared" si="7"/>
        <v>0</v>
      </c>
      <c r="O46" s="34"/>
    </row>
    <row r="47" spans="2:15">
      <c r="B47" s="53">
        <f t="shared" si="5"/>
        <v>13</v>
      </c>
      <c r="C47" s="54" t="s">
        <v>74</v>
      </c>
      <c r="D47" s="55">
        <v>22327</v>
      </c>
      <c r="E47" s="68">
        <v>8</v>
      </c>
      <c r="F47" s="57" t="s">
        <v>22</v>
      </c>
      <c r="G47" s="57">
        <v>4</v>
      </c>
      <c r="H47" s="43"/>
      <c r="I47" s="69">
        <f t="shared" si="6"/>
        <v>8</v>
      </c>
      <c r="L47" s="59">
        <v>0</v>
      </c>
      <c r="N47" s="61">
        <f t="shared" si="7"/>
        <v>0</v>
      </c>
      <c r="O47" s="34"/>
    </row>
    <row r="48" spans="2:15">
      <c r="G48" s="41" t="s">
        <v>75</v>
      </c>
      <c r="H48" s="43"/>
      <c r="I48" s="42">
        <f>SUM(I24:I29,I31:I32,I35:I36,I45)</f>
        <v>18925.18</v>
      </c>
      <c r="L48" s="70">
        <f>SUM(L24:L47)</f>
        <v>13655.299999999997</v>
      </c>
      <c r="N48" s="45">
        <f t="shared" si="7"/>
        <v>0.72154135389993634</v>
      </c>
    </row>
    <row r="50" spans="2:18">
      <c r="R50" s="26" t="s">
        <v>14</v>
      </c>
    </row>
    <row r="51" spans="2:18">
      <c r="B51" s="71">
        <f>1</f>
        <v>1</v>
      </c>
      <c r="C51" s="16" t="s">
        <v>76</v>
      </c>
      <c r="D51" s="23">
        <v>22316</v>
      </c>
      <c r="E51" s="18">
        <v>6461.232</v>
      </c>
      <c r="F51" s="19" t="s">
        <v>22</v>
      </c>
      <c r="G51" s="20">
        <v>3</v>
      </c>
      <c r="J51" s="21">
        <f t="shared" ref="J51:J66" si="8">IF(G51=3,E51,0)</f>
        <v>6461.232</v>
      </c>
      <c r="K51" s="21"/>
      <c r="L51" s="22">
        <v>5609</v>
      </c>
      <c r="N51" s="24">
        <f>L51/J51</f>
        <v>0.868100696585419</v>
      </c>
      <c r="O51" s="34"/>
      <c r="P51" s="28" t="s">
        <v>19</v>
      </c>
      <c r="Q51" s="47" t="s">
        <v>45</v>
      </c>
    </row>
    <row r="52" spans="2:18">
      <c r="B52" s="71">
        <f t="shared" ref="B52:B67" si="9">B51+1</f>
        <v>2</v>
      </c>
      <c r="C52" s="32" t="s">
        <v>47</v>
      </c>
      <c r="D52" s="23">
        <v>102835</v>
      </c>
      <c r="E52" s="72">
        <v>3000</v>
      </c>
      <c r="F52" s="19" t="s">
        <v>18</v>
      </c>
      <c r="G52" s="20">
        <v>3</v>
      </c>
      <c r="J52" s="21">
        <f t="shared" si="8"/>
        <v>3000</v>
      </c>
      <c r="K52" s="21"/>
      <c r="L52" s="22">
        <v>2639</v>
      </c>
      <c r="N52" s="24">
        <f t="shared" ref="N52:N67" si="10">L52/J52</f>
        <v>0.87966666666666671</v>
      </c>
      <c r="O52" s="34"/>
      <c r="P52" s="28" t="s">
        <v>23</v>
      </c>
      <c r="Q52" s="47" t="s">
        <v>45</v>
      </c>
    </row>
    <row r="53" spans="2:18">
      <c r="B53" s="71">
        <f t="shared" si="9"/>
        <v>3</v>
      </c>
      <c r="C53" s="16" t="s">
        <v>139</v>
      </c>
      <c r="D53" s="23">
        <v>22306</v>
      </c>
      <c r="E53" s="18">
        <v>888.25</v>
      </c>
      <c r="F53" s="19" t="s">
        <v>22</v>
      </c>
      <c r="G53" s="20">
        <v>3</v>
      </c>
      <c r="J53" s="21">
        <f t="shared" si="8"/>
        <v>888.25</v>
      </c>
      <c r="K53" s="21"/>
      <c r="L53" s="22">
        <v>583.5</v>
      </c>
      <c r="N53" s="24">
        <f t="shared" si="10"/>
        <v>0.65690965381367861</v>
      </c>
      <c r="O53" s="34"/>
      <c r="P53" s="28" t="s">
        <v>27</v>
      </c>
      <c r="Q53" s="47" t="s">
        <v>48</v>
      </c>
    </row>
    <row r="54" spans="2:18">
      <c r="B54" s="71">
        <f t="shared" si="9"/>
        <v>4</v>
      </c>
      <c r="C54" s="16" t="s">
        <v>119</v>
      </c>
      <c r="D54" s="23">
        <v>22313</v>
      </c>
      <c r="E54" s="18">
        <v>862.822</v>
      </c>
      <c r="F54" s="19" t="s">
        <v>22</v>
      </c>
      <c r="G54" s="20">
        <v>3</v>
      </c>
      <c r="J54" s="21">
        <f t="shared" si="8"/>
        <v>862.822</v>
      </c>
      <c r="K54" s="21"/>
      <c r="L54" s="38">
        <v>598.79999999999995</v>
      </c>
      <c r="N54" s="24">
        <f t="shared" si="10"/>
        <v>0.69400177556900489</v>
      </c>
      <c r="O54" s="34"/>
      <c r="P54" s="28" t="s">
        <v>30</v>
      </c>
      <c r="Q54" s="29" t="s">
        <v>51</v>
      </c>
    </row>
    <row r="55" spans="2:18">
      <c r="B55" s="71">
        <f t="shared" si="9"/>
        <v>5</v>
      </c>
      <c r="C55" s="16" t="s">
        <v>79</v>
      </c>
      <c r="D55" s="23">
        <v>22342</v>
      </c>
      <c r="E55" s="46">
        <v>500</v>
      </c>
      <c r="F55" s="19" t="s">
        <v>22</v>
      </c>
      <c r="G55" s="20">
        <v>3</v>
      </c>
      <c r="J55" s="40">
        <f t="shared" si="8"/>
        <v>500</v>
      </c>
      <c r="K55" s="40"/>
      <c r="L55" s="22">
        <v>376.7</v>
      </c>
      <c r="N55" s="24">
        <f t="shared" si="10"/>
        <v>0.75339999999999996</v>
      </c>
      <c r="O55" s="34"/>
      <c r="P55" s="28" t="s">
        <v>33</v>
      </c>
      <c r="Q55" s="29" t="s">
        <v>34</v>
      </c>
    </row>
    <row r="56" spans="2:18" ht="20.25">
      <c r="B56" s="71">
        <f t="shared" si="9"/>
        <v>6</v>
      </c>
      <c r="C56" s="16" t="s">
        <v>80</v>
      </c>
      <c r="D56" s="23">
        <v>22321</v>
      </c>
      <c r="E56" s="18">
        <v>400</v>
      </c>
      <c r="F56" s="19" t="s">
        <v>26</v>
      </c>
      <c r="G56" s="20">
        <v>3</v>
      </c>
      <c r="J56" s="21">
        <f t="shared" si="8"/>
        <v>400</v>
      </c>
      <c r="K56" s="21"/>
      <c r="L56" s="22">
        <v>299.7</v>
      </c>
      <c r="N56" s="24">
        <f t="shared" si="10"/>
        <v>0.74924999999999997</v>
      </c>
      <c r="O56" s="31"/>
      <c r="P56" s="28" t="s">
        <v>35</v>
      </c>
      <c r="Q56" s="29" t="s">
        <v>36</v>
      </c>
    </row>
    <row r="57" spans="2:18" ht="20.25">
      <c r="B57" s="71">
        <f t="shared" si="9"/>
        <v>7</v>
      </c>
      <c r="C57" s="16" t="s">
        <v>52</v>
      </c>
      <c r="D57" s="23">
        <v>22296</v>
      </c>
      <c r="E57" s="18">
        <v>300</v>
      </c>
      <c r="F57" s="19" t="s">
        <v>38</v>
      </c>
      <c r="G57" s="20">
        <v>3</v>
      </c>
      <c r="J57" s="21">
        <f t="shared" si="8"/>
        <v>300</v>
      </c>
      <c r="K57" s="21"/>
      <c r="L57" s="22">
        <v>190</v>
      </c>
      <c r="N57" s="24">
        <f t="shared" si="10"/>
        <v>0.6333333333333333</v>
      </c>
      <c r="O57" s="31"/>
    </row>
    <row r="58" spans="2:18">
      <c r="B58" s="71">
        <f t="shared" si="9"/>
        <v>8</v>
      </c>
      <c r="C58" s="32" t="s">
        <v>82</v>
      </c>
      <c r="D58" s="23">
        <v>102950</v>
      </c>
      <c r="E58" s="30">
        <v>300</v>
      </c>
      <c r="F58" s="19" t="s">
        <v>26</v>
      </c>
      <c r="G58" s="20">
        <v>3</v>
      </c>
      <c r="J58" s="21">
        <f t="shared" si="8"/>
        <v>300</v>
      </c>
      <c r="K58" s="21"/>
      <c r="L58" s="22">
        <v>230.5</v>
      </c>
      <c r="N58" s="24">
        <f t="shared" si="10"/>
        <v>0.76833333333333331</v>
      </c>
      <c r="O58" s="34"/>
    </row>
    <row r="59" spans="2:18">
      <c r="B59" s="71">
        <f t="shared" si="9"/>
        <v>9</v>
      </c>
      <c r="C59" s="16" t="s">
        <v>80</v>
      </c>
      <c r="D59" s="23">
        <v>102949</v>
      </c>
      <c r="E59" s="18">
        <v>200</v>
      </c>
      <c r="F59" s="19" t="s">
        <v>26</v>
      </c>
      <c r="G59" s="20">
        <v>3</v>
      </c>
      <c r="J59" s="21">
        <f t="shared" si="8"/>
        <v>200</v>
      </c>
      <c r="K59" s="21"/>
      <c r="L59" s="22">
        <v>152</v>
      </c>
      <c r="N59" s="24">
        <f t="shared" si="10"/>
        <v>0.76</v>
      </c>
      <c r="O59" s="34"/>
    </row>
    <row r="60" spans="2:18" ht="20.25">
      <c r="B60" s="71">
        <f t="shared" si="9"/>
        <v>10</v>
      </c>
      <c r="C60" s="16" t="s">
        <v>113</v>
      </c>
      <c r="D60" s="23">
        <v>22338</v>
      </c>
      <c r="E60" s="18">
        <v>155</v>
      </c>
      <c r="F60" s="19" t="s">
        <v>38</v>
      </c>
      <c r="G60" s="20">
        <v>3</v>
      </c>
      <c r="J60" s="21">
        <f t="shared" si="8"/>
        <v>155</v>
      </c>
      <c r="K60" s="21"/>
      <c r="L60" s="22">
        <v>125.9</v>
      </c>
      <c r="N60" s="24">
        <f t="shared" si="10"/>
        <v>0.81225806451612903</v>
      </c>
      <c r="O60" s="31"/>
    </row>
    <row r="61" spans="2:18">
      <c r="B61" s="71">
        <f t="shared" si="9"/>
        <v>11</v>
      </c>
      <c r="C61" s="16" t="s">
        <v>123</v>
      </c>
      <c r="D61" s="23">
        <v>22329</v>
      </c>
      <c r="E61" s="18">
        <v>150</v>
      </c>
      <c r="F61" s="19" t="s">
        <v>38</v>
      </c>
      <c r="G61" s="20">
        <v>3</v>
      </c>
      <c r="J61" s="21">
        <f t="shared" si="8"/>
        <v>150</v>
      </c>
      <c r="K61" s="21"/>
      <c r="L61" s="22">
        <v>131.6</v>
      </c>
      <c r="N61" s="24">
        <f t="shared" si="10"/>
        <v>0.8773333333333333</v>
      </c>
      <c r="O61" s="34"/>
    </row>
    <row r="62" spans="2:18" ht="20.25">
      <c r="B62" s="71">
        <f t="shared" si="9"/>
        <v>12</v>
      </c>
      <c r="C62" s="16" t="s">
        <v>115</v>
      </c>
      <c r="D62" s="23">
        <v>22325</v>
      </c>
      <c r="E62" s="18">
        <v>86.483000000000004</v>
      </c>
      <c r="F62" s="19" t="s">
        <v>38</v>
      </c>
      <c r="G62" s="20">
        <v>3</v>
      </c>
      <c r="J62" s="21">
        <f t="shared" si="8"/>
        <v>86.483000000000004</v>
      </c>
      <c r="K62" s="21"/>
      <c r="L62" s="38">
        <v>67.3</v>
      </c>
      <c r="N62" s="24">
        <f t="shared" si="10"/>
        <v>0.77818762068845893</v>
      </c>
      <c r="O62" s="31"/>
    </row>
    <row r="63" spans="2:18">
      <c r="B63" s="71">
        <f t="shared" si="9"/>
        <v>13</v>
      </c>
      <c r="C63" s="32" t="s">
        <v>124</v>
      </c>
      <c r="D63" s="23">
        <v>102832</v>
      </c>
      <c r="E63" s="30">
        <v>60</v>
      </c>
      <c r="F63" s="19" t="s">
        <v>18</v>
      </c>
      <c r="G63" s="20">
        <v>3</v>
      </c>
      <c r="J63" s="21">
        <f t="shared" si="8"/>
        <v>60</v>
      </c>
      <c r="K63" s="21"/>
      <c r="L63" s="22">
        <v>38.700000000000003</v>
      </c>
      <c r="N63" s="24">
        <f t="shared" si="10"/>
        <v>0.64500000000000002</v>
      </c>
      <c r="O63" s="34"/>
    </row>
    <row r="64" spans="2:18">
      <c r="B64" s="71">
        <f t="shared" si="9"/>
        <v>14</v>
      </c>
      <c r="C64" s="16" t="s">
        <v>83</v>
      </c>
      <c r="D64" s="23">
        <v>22326</v>
      </c>
      <c r="E64" s="18">
        <v>29</v>
      </c>
      <c r="F64" s="19" t="s">
        <v>38</v>
      </c>
      <c r="G64" s="20">
        <v>3</v>
      </c>
      <c r="J64" s="21">
        <f t="shared" si="8"/>
        <v>29</v>
      </c>
      <c r="K64" s="21"/>
      <c r="L64" s="22">
        <v>25.8</v>
      </c>
      <c r="N64" s="24">
        <f t="shared" si="10"/>
        <v>0.8896551724137931</v>
      </c>
      <c r="O64" s="34"/>
    </row>
    <row r="65" spans="2:18" ht="20.25">
      <c r="B65" s="71">
        <f t="shared" si="9"/>
        <v>15</v>
      </c>
      <c r="C65" s="16" t="s">
        <v>125</v>
      </c>
      <c r="D65" s="23">
        <v>22546</v>
      </c>
      <c r="E65" s="18">
        <v>25</v>
      </c>
      <c r="F65" s="19" t="s">
        <v>38</v>
      </c>
      <c r="G65" s="20">
        <v>3</v>
      </c>
      <c r="J65" s="21">
        <f t="shared" si="8"/>
        <v>25</v>
      </c>
      <c r="K65" s="21"/>
      <c r="L65" s="22">
        <v>20.8</v>
      </c>
      <c r="N65" s="24">
        <f t="shared" si="10"/>
        <v>0.83200000000000007</v>
      </c>
      <c r="O65" s="31"/>
    </row>
    <row r="66" spans="2:18">
      <c r="B66" s="71">
        <f t="shared" si="9"/>
        <v>16</v>
      </c>
      <c r="C66" s="16" t="s">
        <v>84</v>
      </c>
      <c r="D66" s="23">
        <v>22339</v>
      </c>
      <c r="E66" s="18">
        <v>18.125</v>
      </c>
      <c r="F66" s="19" t="s">
        <v>26</v>
      </c>
      <c r="G66" s="20">
        <v>3</v>
      </c>
      <c r="J66" s="21">
        <f t="shared" si="8"/>
        <v>18.125</v>
      </c>
      <c r="K66" s="21"/>
      <c r="L66" s="22">
        <v>16.2</v>
      </c>
      <c r="N66" s="24">
        <f t="shared" si="10"/>
        <v>0.89379310344827578</v>
      </c>
      <c r="O66" s="34"/>
    </row>
    <row r="67" spans="2:18" ht="20.25">
      <c r="B67" s="71">
        <f t="shared" si="9"/>
        <v>17</v>
      </c>
      <c r="C67" s="16" t="s">
        <v>85</v>
      </c>
      <c r="D67" s="23">
        <v>22308</v>
      </c>
      <c r="E67" s="18">
        <v>17.145</v>
      </c>
      <c r="F67" s="19" t="s">
        <v>38</v>
      </c>
      <c r="G67" s="20">
        <v>3</v>
      </c>
      <c r="J67" s="21">
        <f t="shared" ref="J67:J72" si="11">IF(G67=3,E67,0)</f>
        <v>17.145</v>
      </c>
      <c r="K67" s="21"/>
      <c r="L67" s="22">
        <v>15.7</v>
      </c>
      <c r="N67" s="24">
        <f t="shared" si="10"/>
        <v>0.91571886847477402</v>
      </c>
      <c r="O67" s="31"/>
    </row>
    <row r="68" spans="2:18">
      <c r="B68" s="71">
        <f>B67+1</f>
        <v>18</v>
      </c>
      <c r="C68" s="16" t="s">
        <v>86</v>
      </c>
      <c r="D68" s="23">
        <v>22300</v>
      </c>
      <c r="E68" s="18">
        <v>16.655000000000001</v>
      </c>
      <c r="F68" s="19" t="s">
        <v>22</v>
      </c>
      <c r="G68" s="20">
        <v>3</v>
      </c>
      <c r="J68" s="21">
        <f t="shared" si="11"/>
        <v>16.655000000000001</v>
      </c>
      <c r="K68" s="21"/>
      <c r="L68" s="38">
        <v>14</v>
      </c>
      <c r="N68" s="24">
        <f t="shared" ref="N68:N73" si="12">L68/J68</f>
        <v>0.84058841188832178</v>
      </c>
      <c r="O68" s="34"/>
    </row>
    <row r="69" spans="2:18">
      <c r="B69" s="71">
        <f>B68+1</f>
        <v>19</v>
      </c>
      <c r="C69" s="16" t="s">
        <v>87</v>
      </c>
      <c r="D69" s="23">
        <v>22336</v>
      </c>
      <c r="E69" s="18">
        <v>14.634</v>
      </c>
      <c r="F69" s="19" t="s">
        <v>26</v>
      </c>
      <c r="G69" s="20">
        <v>3</v>
      </c>
      <c r="J69" s="21">
        <f t="shared" si="11"/>
        <v>14.634</v>
      </c>
      <c r="K69" s="21"/>
      <c r="L69" s="22">
        <v>11.4</v>
      </c>
      <c r="N69" s="24">
        <f t="shared" si="12"/>
        <v>0.77900779007790077</v>
      </c>
      <c r="O69" s="34"/>
    </row>
    <row r="70" spans="2:18">
      <c r="B70" s="71">
        <f>B69+1</f>
        <v>20</v>
      </c>
      <c r="C70" s="32" t="s">
        <v>140</v>
      </c>
      <c r="D70" s="23">
        <v>102830</v>
      </c>
      <c r="E70" s="30">
        <v>10</v>
      </c>
      <c r="F70" s="19" t="s">
        <v>26</v>
      </c>
      <c r="G70" s="20">
        <v>3</v>
      </c>
      <c r="J70" s="21">
        <f t="shared" si="11"/>
        <v>10</v>
      </c>
      <c r="K70" s="21"/>
      <c r="L70" s="22">
        <v>10</v>
      </c>
      <c r="N70" s="24">
        <f t="shared" si="12"/>
        <v>1</v>
      </c>
      <c r="O70" s="34"/>
    </row>
    <row r="71" spans="2:18">
      <c r="B71" s="71">
        <f>B70+1</f>
        <v>21</v>
      </c>
      <c r="C71" s="16" t="s">
        <v>89</v>
      </c>
      <c r="D71" s="23">
        <v>22341</v>
      </c>
      <c r="E71" s="73">
        <v>8.4190000000000005</v>
      </c>
      <c r="F71" s="19" t="s">
        <v>26</v>
      </c>
      <c r="G71" s="20">
        <v>3</v>
      </c>
      <c r="J71" s="21">
        <f t="shared" si="11"/>
        <v>8.4190000000000005</v>
      </c>
      <c r="K71" s="21"/>
      <c r="L71" s="22">
        <v>6.2</v>
      </c>
      <c r="N71" s="24">
        <f t="shared" si="12"/>
        <v>0.7364295046917686</v>
      </c>
      <c r="O71" s="34"/>
    </row>
    <row r="72" spans="2:18">
      <c r="B72" s="71">
        <f>B71+1</f>
        <v>22</v>
      </c>
      <c r="C72" s="16" t="s">
        <v>90</v>
      </c>
      <c r="D72" s="74">
        <v>22340</v>
      </c>
      <c r="E72" s="75">
        <v>4.9749999999999996</v>
      </c>
      <c r="F72" s="19" t="s">
        <v>22</v>
      </c>
      <c r="G72" s="20">
        <v>3</v>
      </c>
      <c r="J72" s="76">
        <f t="shared" si="11"/>
        <v>4.9749999999999996</v>
      </c>
      <c r="K72" s="40"/>
      <c r="L72" s="38">
        <v>4</v>
      </c>
      <c r="N72" s="24">
        <f t="shared" si="12"/>
        <v>0.8040201005025126</v>
      </c>
    </row>
    <row r="73" spans="2:18">
      <c r="E73" s="78">
        <f>SUM(E9:E72)</f>
        <v>45885.358999999997</v>
      </c>
      <c r="H73" s="79">
        <f>SUM(H9:H19)</f>
        <v>12867.08</v>
      </c>
      <c r="I73" s="79">
        <f>SUM(I48)</f>
        <v>18925.18</v>
      </c>
      <c r="J73" s="79">
        <f>SUM(J51:J72)</f>
        <v>13507.740000000002</v>
      </c>
      <c r="K73" s="79"/>
      <c r="L73" s="44">
        <f>SUM(L51:L72)</f>
        <v>11166.800000000001</v>
      </c>
      <c r="M73" s="80"/>
      <c r="N73" s="45">
        <f t="shared" si="12"/>
        <v>0.82669639776898285</v>
      </c>
    </row>
    <row r="74" spans="2:18">
      <c r="F74" s="19"/>
      <c r="G74" s="81" t="s">
        <v>91</v>
      </c>
      <c r="H74" s="82">
        <f>H73/I75</f>
        <v>0.28404150110375276</v>
      </c>
      <c r="I74" s="82">
        <f>I73/I75</f>
        <v>0.41777439293598234</v>
      </c>
      <c r="J74" s="82">
        <f>J73/I75</f>
        <v>0.29818410596026496</v>
      </c>
    </row>
    <row r="75" spans="2:18">
      <c r="B75" s="20">
        <f>B19+B45+B72</f>
        <v>44</v>
      </c>
      <c r="C75" s="71" t="s">
        <v>141</v>
      </c>
      <c r="I75" s="84">
        <f>H73+I73+J73</f>
        <v>45300</v>
      </c>
      <c r="L75" s="44">
        <f>L21+L48+L73</f>
        <v>34661.699999999997</v>
      </c>
      <c r="M75" s="80"/>
      <c r="N75" s="85">
        <f>L75/I75</f>
        <v>0.76515894039735088</v>
      </c>
    </row>
    <row r="76" spans="2:18">
      <c r="H76" s="86" t="s">
        <v>93</v>
      </c>
      <c r="I76" s="87">
        <v>-2242</v>
      </c>
    </row>
    <row r="77" spans="2:18">
      <c r="I77" s="20" t="s">
        <v>142</v>
      </c>
      <c r="P77" s="5"/>
      <c r="Q77" s="89" t="s">
        <v>143</v>
      </c>
      <c r="R77" s="5"/>
    </row>
    <row r="78" spans="2:18">
      <c r="B78" s="20" t="s">
        <v>100</v>
      </c>
      <c r="C78" s="71" t="s">
        <v>144</v>
      </c>
      <c r="I78" s="90">
        <f>I75+I76</f>
        <v>43058</v>
      </c>
      <c r="L78" s="91">
        <f>I78-L75-3810</f>
        <v>4586.3000000000029</v>
      </c>
      <c r="M78" s="92" t="s">
        <v>97</v>
      </c>
      <c r="N78" s="93"/>
      <c r="Q78" s="94">
        <v>7890</v>
      </c>
    </row>
    <row r="79" spans="2:18">
      <c r="C79" s="71" t="s">
        <v>145</v>
      </c>
      <c r="L79" s="91">
        <f>I78-L75</f>
        <v>8396.3000000000029</v>
      </c>
      <c r="M79" s="92" t="s">
        <v>99</v>
      </c>
      <c r="N79" s="93"/>
      <c r="Q79" s="94">
        <v>12405</v>
      </c>
    </row>
    <row r="80" spans="2:18">
      <c r="L80" s="91">
        <f>L75</f>
        <v>34661.699999999997</v>
      </c>
      <c r="M80" s="92" t="s">
        <v>102</v>
      </c>
      <c r="N80" s="93"/>
      <c r="Q80" s="94">
        <v>23338</v>
      </c>
      <c r="R80" s="95" t="s">
        <v>146</v>
      </c>
    </row>
    <row r="81" spans="12:18">
      <c r="L81" s="96">
        <f>N75</f>
        <v>0.76515894039735088</v>
      </c>
      <c r="M81" s="92" t="s">
        <v>102</v>
      </c>
      <c r="N81" s="93"/>
      <c r="Q81" s="97">
        <f>Q80/36249.623</f>
        <v>0.64381359221308321</v>
      </c>
      <c r="R81" s="95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12 - 19 - '01</vt:lpstr>
      <vt:lpstr>12 - 22 - '00</vt:lpstr>
      <vt:lpstr>12-22-'99</vt:lpstr>
      <vt:lpstr>12-31-'98</vt:lpstr>
      <vt:lpstr>12-23-'97</vt:lpstr>
      <vt:lpstr>'12 - 19 - ''01'!Print_Area</vt:lpstr>
      <vt:lpstr>'12 - 22 - ''00'!Print_Area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2001-12-19T19:25:10Z</cp:lastPrinted>
  <dcterms:created xsi:type="dcterms:W3CDTF">2000-12-22T21:53:04Z</dcterms:created>
  <dcterms:modified xsi:type="dcterms:W3CDTF">2014-09-04T16:26:39Z</dcterms:modified>
</cp:coreProperties>
</file>