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3"/>
  </bookViews>
  <sheets>
    <sheet name="External legal billout" sheetId="8" r:id="rId1"/>
    <sheet name="Internal legal billout" sheetId="7" r:id="rId2"/>
    <sheet name="Allocations" sheetId="4" r:id="rId3"/>
    <sheet name="legal - rev" sheetId="6" r:id="rId4"/>
  </sheets>
  <externalReferences>
    <externalReference r:id="rId5"/>
  </externalReferences>
  <definedNames>
    <definedName name="_xlnm.Print_Area" localSheetId="3">'legal - rev'!$B$1:$O$59</definedName>
  </definedNames>
  <calcPr calcId="152511"/>
</workbook>
</file>

<file path=xl/calcChain.xml><?xml version="1.0" encoding="utf-8"?>
<calcChain xmlns="http://schemas.openxmlformats.org/spreadsheetml/2006/main">
  <c r="E9" i="4" l="1"/>
  <c r="G9" i="4"/>
  <c r="I9" i="4"/>
  <c r="E10" i="4"/>
  <c r="E24" i="4" s="1"/>
  <c r="E28" i="4" s="1"/>
  <c r="E7" i="4" s="1"/>
  <c r="I10" i="4"/>
  <c r="E11" i="4"/>
  <c r="I11" i="4"/>
  <c r="E12" i="4"/>
  <c r="G12" i="4"/>
  <c r="I12" i="4"/>
  <c r="E13" i="4"/>
  <c r="G13" i="4"/>
  <c r="G24" i="4" s="1"/>
  <c r="G28" i="4" s="1"/>
  <c r="G31" i="4" s="1"/>
  <c r="I31" i="4" s="1"/>
  <c r="E14" i="4"/>
  <c r="G14" i="4"/>
  <c r="I14" i="4" s="1"/>
  <c r="E15" i="4"/>
  <c r="G15" i="4"/>
  <c r="I15" i="4"/>
  <c r="E16" i="4"/>
  <c r="G16" i="4"/>
  <c r="I16" i="4"/>
  <c r="E17" i="4"/>
  <c r="G17" i="4"/>
  <c r="I17" i="4"/>
  <c r="E18" i="4"/>
  <c r="G18" i="4"/>
  <c r="I18" i="4"/>
  <c r="E19" i="4"/>
  <c r="I19" i="4"/>
  <c r="E20" i="4"/>
  <c r="G20" i="4"/>
  <c r="I20" i="4"/>
  <c r="E21" i="4"/>
  <c r="G21" i="4"/>
  <c r="I21" i="4"/>
  <c r="C22" i="4"/>
  <c r="E22" i="4"/>
  <c r="G22" i="4"/>
  <c r="I22" i="4" s="1"/>
  <c r="C24" i="4"/>
  <c r="E26" i="4"/>
  <c r="I26" i="4"/>
  <c r="C28" i="4"/>
  <c r="C31" i="4" s="1"/>
  <c r="E31" i="4" s="1"/>
  <c r="D42" i="8"/>
  <c r="D46" i="8" s="1"/>
  <c r="D47" i="8" s="1"/>
  <c r="D45" i="8"/>
  <c r="A2" i="7"/>
  <c r="C7" i="7"/>
  <c r="C25" i="7" s="1"/>
  <c r="F7" i="7"/>
  <c r="E9" i="7"/>
  <c r="F9" i="7"/>
  <c r="G9" i="7"/>
  <c r="I9" i="7"/>
  <c r="K9" i="7"/>
  <c r="E11" i="7"/>
  <c r="F11" i="7"/>
  <c r="I11" i="7" s="1"/>
  <c r="K11" i="7" s="1"/>
  <c r="G11" i="7"/>
  <c r="F13" i="7"/>
  <c r="I13" i="7"/>
  <c r="K13" i="7"/>
  <c r="E15" i="7"/>
  <c r="F15" i="7"/>
  <c r="I15" i="7" s="1"/>
  <c r="K15" i="7" s="1"/>
  <c r="G15" i="7"/>
  <c r="E17" i="7"/>
  <c r="I17" i="7" s="1"/>
  <c r="K17" i="7" s="1"/>
  <c r="F17" i="7"/>
  <c r="G17" i="7"/>
  <c r="C19" i="7"/>
  <c r="I19" i="7" s="1"/>
  <c r="K19" i="7" s="1"/>
  <c r="D21" i="7"/>
  <c r="D25" i="7" s="1"/>
  <c r="I21" i="7"/>
  <c r="K21" i="7"/>
  <c r="C23" i="7"/>
  <c r="I23" i="7"/>
  <c r="K23" i="7"/>
  <c r="E25" i="7"/>
  <c r="F25" i="7"/>
  <c r="G25" i="7"/>
  <c r="C54" i="7"/>
  <c r="I54" i="7"/>
  <c r="E11" i="6"/>
  <c r="G11" i="6"/>
  <c r="I11" i="6"/>
  <c r="K11" i="6"/>
  <c r="G13" i="6"/>
  <c r="G14" i="6"/>
  <c r="I14" i="6" s="1"/>
  <c r="M14" i="6" s="1"/>
  <c r="G15" i="6"/>
  <c r="I15" i="6"/>
  <c r="M15" i="6"/>
  <c r="G16" i="6"/>
  <c r="I16" i="6"/>
  <c r="M16" i="6"/>
  <c r="E17" i="6"/>
  <c r="G17" i="6" s="1"/>
  <c r="I17" i="6" s="1"/>
  <c r="M17" i="6" s="1"/>
  <c r="E18" i="6"/>
  <c r="G18" i="6" s="1"/>
  <c r="K18" i="6"/>
  <c r="G19" i="6"/>
  <c r="I19" i="6"/>
  <c r="M19" i="6"/>
  <c r="E20" i="6"/>
  <c r="G20" i="6" s="1"/>
  <c r="G21" i="6"/>
  <c r="I21" i="6" s="1"/>
  <c r="M21" i="6" s="1"/>
  <c r="K21" i="6"/>
  <c r="G22" i="6"/>
  <c r="I22" i="6" s="1"/>
  <c r="M22" i="6" s="1"/>
  <c r="K22" i="6"/>
  <c r="G23" i="6"/>
  <c r="I23" i="6" s="1"/>
  <c r="M23" i="6" s="1"/>
  <c r="G24" i="6"/>
  <c r="I24" i="6"/>
  <c r="M24" i="6" s="1"/>
  <c r="G25" i="6"/>
  <c r="I25" i="6"/>
  <c r="M25" i="6" s="1"/>
  <c r="G26" i="6"/>
  <c r="I26" i="6"/>
  <c r="M26" i="6"/>
  <c r="G27" i="6"/>
  <c r="I27" i="6" s="1"/>
  <c r="M27" i="6" s="1"/>
  <c r="K27" i="6"/>
  <c r="G28" i="6"/>
  <c r="I28" i="6" s="1"/>
  <c r="M28" i="6" s="1"/>
  <c r="K29" i="6"/>
  <c r="G30" i="6"/>
  <c r="I30" i="6" s="1"/>
  <c r="M30" i="6" s="1"/>
  <c r="G31" i="6"/>
  <c r="I31" i="6"/>
  <c r="M31" i="6"/>
  <c r="G33" i="6"/>
  <c r="G32" i="6" s="1"/>
  <c r="I32" i="6" s="1"/>
  <c r="I33" i="6"/>
  <c r="K33" i="6"/>
  <c r="M33" i="6"/>
  <c r="G34" i="6"/>
  <c r="I34" i="6"/>
  <c r="M34" i="6"/>
  <c r="G35" i="6"/>
  <c r="I35" i="6" s="1"/>
  <c r="M35" i="6" s="1"/>
  <c r="G36" i="6"/>
  <c r="I36" i="6"/>
  <c r="M36" i="6" s="1"/>
  <c r="G37" i="6"/>
  <c r="I37" i="6"/>
  <c r="K37" i="6"/>
  <c r="M37" i="6" s="1"/>
  <c r="G38" i="6"/>
  <c r="I38" i="6"/>
  <c r="K38" i="6"/>
  <c r="M38" i="6" s="1"/>
  <c r="G39" i="6"/>
  <c r="I39" i="6"/>
  <c r="K39" i="6"/>
  <c r="M39" i="6" s="1"/>
  <c r="I40" i="6"/>
  <c r="M40" i="6"/>
  <c r="I41" i="6"/>
  <c r="M41" i="6" s="1"/>
  <c r="I42" i="6"/>
  <c r="M42" i="6"/>
  <c r="K43" i="6"/>
  <c r="G44" i="6"/>
  <c r="G43" i="6" s="1"/>
  <c r="I43" i="6" s="1"/>
  <c r="M43" i="6" s="1"/>
  <c r="G45" i="6"/>
  <c r="I45" i="6" s="1"/>
  <c r="M45" i="6" s="1"/>
  <c r="G46" i="6"/>
  <c r="I46" i="6"/>
  <c r="M46" i="6"/>
  <c r="G47" i="6"/>
  <c r="I47" i="6"/>
  <c r="M47" i="6"/>
  <c r="G48" i="6"/>
  <c r="I48" i="6" s="1"/>
  <c r="M48" i="6" s="1"/>
  <c r="I49" i="6"/>
  <c r="M49" i="6"/>
  <c r="I50" i="6"/>
  <c r="M50" i="6"/>
  <c r="G54" i="6"/>
  <c r="I54" i="6" s="1"/>
  <c r="M54" i="6" s="1"/>
  <c r="K54" i="6"/>
  <c r="G55" i="6"/>
  <c r="I55" i="6" s="1"/>
  <c r="M55" i="6" s="1"/>
  <c r="M59" i="6"/>
  <c r="G12" i="6" l="1"/>
  <c r="G52" i="6"/>
  <c r="G57" i="6" s="1"/>
  <c r="K32" i="6"/>
  <c r="M32" i="6" s="1"/>
  <c r="E12" i="6"/>
  <c r="I20" i="6"/>
  <c r="M20" i="6" s="1"/>
  <c r="I18" i="6"/>
  <c r="M18" i="6" s="1"/>
  <c r="I7" i="7"/>
  <c r="I44" i="6"/>
  <c r="M44" i="6" s="1"/>
  <c r="I13" i="6"/>
  <c r="M13" i="6" s="1"/>
  <c r="M11" i="6"/>
  <c r="N11" i="6" s="1"/>
  <c r="I13" i="4"/>
  <c r="I24" i="4" s="1"/>
  <c r="I28" i="4" s="1"/>
  <c r="I7" i="4" s="1"/>
  <c r="K12" i="6"/>
  <c r="G29" i="6"/>
  <c r="I29" i="6" s="1"/>
  <c r="M29" i="6" s="1"/>
  <c r="I12" i="6" l="1"/>
  <c r="I52" i="6" s="1"/>
  <c r="E52" i="6"/>
  <c r="E57" i="6" s="1"/>
  <c r="I57" i="6" s="1"/>
  <c r="I25" i="7"/>
  <c r="K7" i="7"/>
  <c r="K25" i="7" s="1"/>
  <c r="K52" i="6"/>
  <c r="M52" i="6" l="1"/>
  <c r="K57" i="6"/>
  <c r="M57" i="6" s="1"/>
  <c r="M12" i="6"/>
</calcChain>
</file>

<file path=xl/comments1.xml><?xml version="1.0" encoding="utf-8"?>
<comments xmlns="http://schemas.openxmlformats.org/spreadsheetml/2006/main">
  <authors>
    <author>lguillia</author>
  </authors>
  <commentList>
    <comment ref="F7" authorId="0" shapeId="0">
      <text>
        <r>
          <rPr>
            <b/>
            <sz val="8"/>
            <color indexed="81"/>
            <rFont val="Tahoma"/>
          </rPr>
          <t>Hide columns D through G for presentation purposes</t>
        </r>
      </text>
    </comment>
  </commentList>
</comments>
</file>

<file path=xl/sharedStrings.xml><?xml version="1.0" encoding="utf-8"?>
<sst xmlns="http://schemas.openxmlformats.org/spreadsheetml/2006/main" count="187" uniqueCount="158">
  <si>
    <t>Plan</t>
  </si>
  <si>
    <t>Outside Tax</t>
  </si>
  <si>
    <t>System Development</t>
  </si>
  <si>
    <t>Insurance</t>
  </si>
  <si>
    <t>2002 Plan Summary - Legal</t>
  </si>
  <si>
    <t>'01 Fcst vs '02 Plan</t>
  </si>
  <si>
    <t>Actuals</t>
  </si>
  <si>
    <t>Forecast</t>
  </si>
  <si>
    <t>Fav/(Unfav)</t>
  </si>
  <si>
    <t>Jan-July</t>
  </si>
  <si>
    <t>Aug-Dec</t>
  </si>
  <si>
    <t xml:space="preserve">  Direct Expenses (000s)</t>
  </si>
  <si>
    <t>Compensation/Taxes and Benefits</t>
  </si>
  <si>
    <t>Employee Expenses</t>
  </si>
  <si>
    <t xml:space="preserve">     Recruiting and Relocations</t>
  </si>
  <si>
    <t xml:space="preserve">     Communications (Cell Phones, Pagers, etc.)</t>
  </si>
  <si>
    <t xml:space="preserve">     Conferences and Training</t>
  </si>
  <si>
    <t xml:space="preserve">     Club Dues</t>
  </si>
  <si>
    <t xml:space="preserve">     Employee Memberships &amp; Dues</t>
  </si>
  <si>
    <t xml:space="preserve">     Tuition Reimbursement</t>
  </si>
  <si>
    <t xml:space="preserve">     Employee Entertainment</t>
  </si>
  <si>
    <t xml:space="preserve">     Overtime/Working Meals</t>
  </si>
  <si>
    <t xml:space="preserve">     Other Employee Expenses</t>
  </si>
  <si>
    <t>Travel/Entertainment</t>
  </si>
  <si>
    <t xml:space="preserve">     Travel - Air</t>
  </si>
  <si>
    <t xml:space="preserve">     Travel - Lodging</t>
  </si>
  <si>
    <t xml:space="preserve">     Travel - Meals</t>
  </si>
  <si>
    <t xml:space="preserve">     Travel - Other</t>
  </si>
  <si>
    <t xml:space="preserve">     Client Entertainment</t>
  </si>
  <si>
    <t xml:space="preserve">     Customer Meetings</t>
  </si>
  <si>
    <t>Consulting</t>
  </si>
  <si>
    <t xml:space="preserve">     Advertising &amp; Promotions</t>
  </si>
  <si>
    <t xml:space="preserve">     Outside Services Excluding Legal and Tax</t>
  </si>
  <si>
    <t>Office</t>
  </si>
  <si>
    <t xml:space="preserve">     3rd Party Rent</t>
  </si>
  <si>
    <t xml:space="preserve">     Supplies</t>
  </si>
  <si>
    <t xml:space="preserve">     Subscriptions and Periodicals</t>
  </si>
  <si>
    <t xml:space="preserve">     Postage and Freight</t>
  </si>
  <si>
    <t xml:space="preserve">     Corporate Rent</t>
  </si>
  <si>
    <t xml:space="preserve">     Technology</t>
  </si>
  <si>
    <t>Controllable Infrastructure</t>
  </si>
  <si>
    <t>Other Expense</t>
  </si>
  <si>
    <t xml:space="preserve">     Taxes Other than Income</t>
  </si>
  <si>
    <t xml:space="preserve">     Charitable Contributions</t>
  </si>
  <si>
    <t xml:space="preserve">     Company Membership &amp; Dues</t>
  </si>
  <si>
    <t xml:space="preserve">     Other Expenses (Transportation, Fees &amp; Permits, etc.)</t>
  </si>
  <si>
    <t>Outside Legal</t>
  </si>
  <si>
    <t>Depreciation and Amortization</t>
  </si>
  <si>
    <t>Total Direct Expenses</t>
  </si>
  <si>
    <t>Amounts Billed to Other Business Units</t>
  </si>
  <si>
    <t>Amounts Directed to ENA Commercial Teams</t>
  </si>
  <si>
    <t>Expenses Net of Intercompany Billings</t>
  </si>
  <si>
    <t xml:space="preserve">  Headcount</t>
  </si>
  <si>
    <r>
      <t xml:space="preserve">Analyst Associates </t>
    </r>
    <r>
      <rPr>
        <sz val="8"/>
        <rFont val="Arial"/>
        <family val="2"/>
      </rPr>
      <t>(Includes Comp, Taxes and Benefits and allocation)</t>
    </r>
  </si>
  <si>
    <t>Per M. Haedicke, flat yr on yr</t>
  </si>
  <si>
    <t>All O/S planned as O/S legal</t>
  </si>
  <si>
    <t>2001 Forecast</t>
  </si>
  <si>
    <t>2002 Plan</t>
  </si>
  <si>
    <t>$</t>
  </si>
  <si>
    <t>%</t>
  </si>
  <si>
    <t xml:space="preserve">  Allocation to other business units</t>
  </si>
  <si>
    <t xml:space="preserve">     EGM</t>
  </si>
  <si>
    <t xml:space="preserve">     EIM</t>
  </si>
  <si>
    <t xml:space="preserve">     ENW</t>
  </si>
  <si>
    <t xml:space="preserve">     Total</t>
  </si>
  <si>
    <t>Net to ENA</t>
  </si>
  <si>
    <t xml:space="preserve">     APACHI</t>
  </si>
  <si>
    <t xml:space="preserve">     EEDC</t>
  </si>
  <si>
    <t xml:space="preserve">     ECM(EGF)</t>
  </si>
  <si>
    <t xml:space="preserve">     EEL</t>
  </si>
  <si>
    <t xml:space="preserve">     EI - S.A.</t>
  </si>
  <si>
    <t xml:space="preserve">     EBS</t>
  </si>
  <si>
    <t xml:space="preserve">     EES</t>
  </si>
  <si>
    <t xml:space="preserve">     EPI</t>
  </si>
  <si>
    <t>Sub total</t>
  </si>
  <si>
    <t xml:space="preserve">  Allocation to ENA Commercial Teams</t>
  </si>
  <si>
    <t>Merits/Promotions increase</t>
  </si>
  <si>
    <t xml:space="preserve">     Xcelerator</t>
  </si>
  <si>
    <t xml:space="preserve">     RAC - Investment Underwriting</t>
  </si>
  <si>
    <t xml:space="preserve">     Corp</t>
  </si>
  <si>
    <t xml:space="preserve">            Legal</t>
  </si>
  <si>
    <t xml:space="preserve">              Analysis of I/C Billings</t>
  </si>
  <si>
    <t>2002 external legal billout to other BUs and commercial teams</t>
  </si>
  <si>
    <t>Cost Center</t>
  </si>
  <si>
    <t>BUs and Commercial Teams</t>
  </si>
  <si>
    <t>Old Name</t>
  </si>
  <si>
    <t>Total</t>
  </si>
  <si>
    <t>RAC - Investment Underwriting</t>
  </si>
  <si>
    <t>I/C - EEL-ECT NA G&amp;A ALLOCATIONS</t>
  </si>
  <si>
    <t>I/C</t>
  </si>
  <si>
    <t>I/C - ES-HOU - Corp. Allocations (EI - So. Am)</t>
  </si>
  <si>
    <t>I/C - EIM</t>
  </si>
  <si>
    <t>I/C - EES - Commodity Risk Management</t>
  </si>
  <si>
    <t>NA-Company 413 Group Non Controllable</t>
  </si>
  <si>
    <t>NA-Treasury</t>
  </si>
  <si>
    <t>Group</t>
  </si>
  <si>
    <t>I/C - EEDC</t>
  </si>
  <si>
    <t>I/C - ECM(EGF)</t>
  </si>
  <si>
    <t>NA-Generation Investments</t>
  </si>
  <si>
    <t>NA-Office of the Chair G&amp;A</t>
  </si>
  <si>
    <t>NBD</t>
  </si>
  <si>
    <t>NA-Natural Gas Derivatives</t>
  </si>
  <si>
    <t>Office of the Chairman</t>
  </si>
  <si>
    <t>NA-HPL</t>
  </si>
  <si>
    <t>NA-Energy Capital Resources</t>
  </si>
  <si>
    <t>Risk Management - New York</t>
  </si>
  <si>
    <t>NA-Upstream Originations Prod E-Commerce</t>
  </si>
  <si>
    <t>SA: perf &amp; nonperf</t>
  </si>
  <si>
    <t>NA-TAC</t>
  </si>
  <si>
    <t>Upstream Origination</t>
  </si>
  <si>
    <t>NA-Mexico G&amp;A</t>
  </si>
  <si>
    <t>Assets</t>
  </si>
  <si>
    <t xml:space="preserve">NA-West Power Originations </t>
  </si>
  <si>
    <t>Canada</t>
  </si>
  <si>
    <t>NA-West Origination Development</t>
  </si>
  <si>
    <t>NA-West Power Trading G&amp;A</t>
  </si>
  <si>
    <t>Mexico</t>
  </si>
  <si>
    <t>NA-East Power Northeast Trading</t>
  </si>
  <si>
    <t>NA-Natural Gas Midwest Originations</t>
  </si>
  <si>
    <t>West Originations</t>
  </si>
  <si>
    <t>NA-East Power Generation Development</t>
  </si>
  <si>
    <t>NA-East Power Mgmt Book Trading</t>
  </si>
  <si>
    <t>NA-East Power Northeast Origination</t>
  </si>
  <si>
    <t>NA-East Power Southeast Origination</t>
  </si>
  <si>
    <t>NA-East Power Southeast Trading</t>
  </si>
  <si>
    <t>NA-East Power ERCOT Trading</t>
  </si>
  <si>
    <t>I/C - Enron Global Markets</t>
  </si>
  <si>
    <t>ENRON FREIGHT MARKETS</t>
  </si>
  <si>
    <t xml:space="preserve">I/C - AP/A/CHI </t>
  </si>
  <si>
    <t>I/C - ENW</t>
  </si>
  <si>
    <t>I/C - EPI (old NA-Principal Investing)</t>
  </si>
  <si>
    <t>I/C - EPI (old NA-Restructuring)</t>
  </si>
  <si>
    <t>I/C,Coal,Weather, SO2,Currency, Insurance and Equity Trdg</t>
  </si>
  <si>
    <t>NA-North Carolina Coal Plants (Alamac)</t>
  </si>
  <si>
    <t>Corp Development</t>
  </si>
  <si>
    <t>2002 Plan total billout for outside legal</t>
  </si>
  <si>
    <t>2002 Internal legal billout to other business units (nonENA)</t>
  </si>
  <si>
    <t>L. Schuler - 105653</t>
  </si>
  <si>
    <t>L. Schuler (EBS) - 140567</t>
  </si>
  <si>
    <t>M. Haedicke - 105655</t>
  </si>
  <si>
    <t>M. Taylor - 105657</t>
  </si>
  <si>
    <t>A. Aronowitz - 105658</t>
  </si>
  <si>
    <t>Total/month</t>
  </si>
  <si>
    <t>Total/year</t>
  </si>
  <si>
    <t>Enron Capital Management - CC 106196</t>
  </si>
  <si>
    <t>Enron Global Markets - CC 120484</t>
  </si>
  <si>
    <t>Enron Industrial Markets - CC 103478</t>
  </si>
  <si>
    <t>Enron South America - CC 102564</t>
  </si>
  <si>
    <t>Enron Networks - CC 140167</t>
  </si>
  <si>
    <t>EEL - CC 100663</t>
  </si>
  <si>
    <t>Enron Principal Investments - CC 140399</t>
  </si>
  <si>
    <t>Enron Broadband Services</t>
  </si>
  <si>
    <t>Xcelerator</t>
  </si>
  <si>
    <t>Total Direct Expenses for 2002 Plan</t>
  </si>
  <si>
    <t>Flat amount of $8M/yr</t>
  </si>
  <si>
    <t>Note:  These amounts are being billed to the above business units monthly.</t>
  </si>
  <si>
    <t>External legal billout other business units</t>
  </si>
  <si>
    <t>External legal billout to ENA commercial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</si>
</sst>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_(&quot;$&quot;* #,##0_);_(&quot;$&quot;* \(#,##0\);_(&quot;$&quot;* &quot;-&quot;??_);_(@_)"/>
    <numFmt numFmtId="170" formatCode="0.0%"/>
  </numFmts>
  <fonts count="15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0" fillId="0" borderId="0" xfId="0" applyProtection="1"/>
    <xf numFmtId="0" fontId="3" fillId="0" borderId="0" xfId="0" applyFont="1" applyProtection="1"/>
    <xf numFmtId="0" fontId="4" fillId="0" borderId="0" xfId="0" applyFont="1" applyProtection="1"/>
    <xf numFmtId="0" fontId="5" fillId="0" borderId="0" xfId="0" applyFont="1" applyProtection="1"/>
    <xf numFmtId="0" fontId="2" fillId="0" borderId="0" xfId="0" applyFont="1" applyProtection="1"/>
    <xf numFmtId="0" fontId="7" fillId="0" borderId="0" xfId="0" applyFont="1" applyProtection="1"/>
    <xf numFmtId="0" fontId="7" fillId="0" borderId="0" xfId="0" applyFont="1" applyBorder="1" applyProtection="1"/>
    <xf numFmtId="0" fontId="7" fillId="2" borderId="1" xfId="0" applyFont="1" applyFill="1" applyBorder="1" applyProtection="1"/>
    <xf numFmtId="0" fontId="7" fillId="2" borderId="2" xfId="0" applyFont="1" applyFill="1" applyBorder="1" applyProtection="1"/>
    <xf numFmtId="0" fontId="7" fillId="2" borderId="3" xfId="0" applyFont="1" applyFill="1" applyBorder="1" applyProtection="1"/>
    <xf numFmtId="0" fontId="7" fillId="0" borderId="0" xfId="0" applyFont="1"/>
    <xf numFmtId="0" fontId="7" fillId="2" borderId="4" xfId="0" applyFont="1" applyFill="1" applyBorder="1"/>
    <xf numFmtId="0" fontId="7" fillId="2" borderId="5" xfId="0" applyFont="1" applyFill="1" applyBorder="1"/>
    <xf numFmtId="0" fontId="7" fillId="2" borderId="6" xfId="0" applyFont="1" applyFill="1" applyBorder="1"/>
    <xf numFmtId="0" fontId="8" fillId="0" borderId="0" xfId="0" applyFont="1" applyBorder="1" applyAlignment="1">
      <alignment horizontal="center"/>
    </xf>
    <xf numFmtId="0" fontId="7" fillId="3" borderId="1" xfId="0" applyFont="1" applyFill="1" applyBorder="1" applyProtection="1"/>
    <xf numFmtId="0" fontId="7" fillId="3" borderId="3" xfId="0" applyFont="1" applyFill="1" applyBorder="1" applyProtection="1"/>
    <xf numFmtId="0" fontId="8" fillId="3" borderId="2" xfId="0" applyFont="1" applyFill="1" applyBorder="1" applyAlignment="1" applyProtection="1">
      <alignment horizontal="center"/>
    </xf>
    <xf numFmtId="0" fontId="7" fillId="3" borderId="2" xfId="0" applyFont="1" applyFill="1" applyBorder="1" applyProtection="1"/>
    <xf numFmtId="0" fontId="8" fillId="3" borderId="3" xfId="0" quotePrefix="1" applyFont="1" applyFill="1" applyBorder="1" applyAlignment="1" applyProtection="1">
      <alignment horizontal="center"/>
    </xf>
    <xf numFmtId="0" fontId="7" fillId="3" borderId="4" xfId="0" applyFont="1" applyFill="1" applyBorder="1" applyProtection="1"/>
    <xf numFmtId="0" fontId="7" fillId="3" borderId="6" xfId="0" applyFont="1" applyFill="1" applyBorder="1" applyProtection="1"/>
    <xf numFmtId="0" fontId="8" fillId="3" borderId="5" xfId="0" applyFont="1" applyFill="1" applyBorder="1" applyAlignment="1" applyProtection="1">
      <alignment horizontal="center"/>
    </xf>
    <xf numFmtId="0" fontId="7" fillId="3" borderId="5" xfId="0" applyFont="1" applyFill="1" applyBorder="1" applyProtection="1"/>
    <xf numFmtId="0" fontId="8" fillId="3" borderId="6" xfId="0" applyFont="1" applyFill="1" applyBorder="1" applyAlignment="1" applyProtection="1">
      <alignment horizontal="center"/>
    </xf>
    <xf numFmtId="0" fontId="7" fillId="0" borderId="7" xfId="0" applyFont="1" applyBorder="1" applyProtection="1"/>
    <xf numFmtId="0" fontId="8" fillId="0" borderId="8" xfId="0" applyFont="1" applyBorder="1" applyAlignment="1" applyProtection="1">
      <alignment horizontal="center"/>
    </xf>
    <xf numFmtId="0" fontId="7" fillId="0" borderId="1" xfId="0" applyFont="1" applyBorder="1" applyProtection="1"/>
    <xf numFmtId="167" fontId="8" fillId="0" borderId="2" xfId="2" applyNumberFormat="1" applyFont="1" applyBorder="1" applyAlignment="1" applyProtection="1">
      <alignment horizontal="center"/>
    </xf>
    <xf numFmtId="0" fontId="7" fillId="0" borderId="2" xfId="0" applyFont="1" applyBorder="1" applyProtection="1"/>
    <xf numFmtId="167" fontId="8" fillId="0" borderId="3" xfId="2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center"/>
    </xf>
    <xf numFmtId="167" fontId="8" fillId="0" borderId="2" xfId="2" applyNumberFormat="1" applyFont="1" applyBorder="1" applyProtection="1"/>
    <xf numFmtId="0" fontId="7" fillId="0" borderId="3" xfId="0" applyFont="1" applyBorder="1" applyProtection="1"/>
    <xf numFmtId="167" fontId="8" fillId="0" borderId="9" xfId="2" applyNumberFormat="1" applyFont="1" applyBorder="1" applyProtection="1"/>
    <xf numFmtId="0" fontId="8" fillId="3" borderId="10" xfId="0" applyFont="1" applyFill="1" applyBorder="1" applyProtection="1"/>
    <xf numFmtId="0" fontId="8" fillId="3" borderId="11" xfId="0" applyFont="1" applyFill="1" applyBorder="1" applyAlignment="1" applyProtection="1">
      <alignment horizontal="center"/>
    </xf>
    <xf numFmtId="38" fontId="7" fillId="0" borderId="0" xfId="1" applyNumberFormat="1" applyFont="1" applyBorder="1" applyAlignment="1" applyProtection="1"/>
    <xf numFmtId="167" fontId="8" fillId="0" borderId="8" xfId="2" applyNumberFormat="1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7" fillId="0" borderId="8" xfId="0" applyFont="1" applyBorder="1" applyProtection="1"/>
    <xf numFmtId="167" fontId="8" fillId="0" borderId="12" xfId="2" applyNumberFormat="1" applyFont="1" applyBorder="1" applyProtection="1"/>
    <xf numFmtId="38" fontId="7" fillId="0" borderId="8" xfId="1" applyNumberFormat="1" applyFont="1" applyBorder="1" applyProtection="1"/>
    <xf numFmtId="38" fontId="7" fillId="0" borderId="0" xfId="1" applyNumberFormat="1" applyFont="1" applyBorder="1" applyProtection="1"/>
    <xf numFmtId="37" fontId="7" fillId="0" borderId="12" xfId="0" applyNumberFormat="1" applyFont="1" applyBorder="1" applyProtection="1"/>
    <xf numFmtId="0" fontId="8" fillId="0" borderId="0" xfId="0" applyFont="1" applyProtection="1"/>
    <xf numFmtId="0" fontId="8" fillId="0" borderId="7" xfId="0" applyFont="1" applyBorder="1" applyProtection="1"/>
    <xf numFmtId="0" fontId="8" fillId="0" borderId="8" xfId="0" applyFont="1" applyBorder="1" applyProtection="1"/>
    <xf numFmtId="38" fontId="9" fillId="0" borderId="0" xfId="1" applyNumberFormat="1" applyFont="1" applyBorder="1" applyAlignment="1" applyProtection="1"/>
    <xf numFmtId="38" fontId="8" fillId="0" borderId="0" xfId="1" applyNumberFormat="1" applyFont="1" applyBorder="1" applyAlignment="1" applyProtection="1"/>
    <xf numFmtId="38" fontId="8" fillId="0" borderId="7" xfId="1" applyNumberFormat="1" applyFont="1" applyBorder="1" applyAlignment="1" applyProtection="1"/>
    <xf numFmtId="38" fontId="8" fillId="0" borderId="12" xfId="1" applyNumberFormat="1" applyFont="1" applyBorder="1" applyAlignment="1" applyProtection="1"/>
    <xf numFmtId="38" fontId="10" fillId="0" borderId="0" xfId="1" applyNumberFormat="1" applyFont="1" applyBorder="1" applyAlignment="1" applyProtection="1"/>
    <xf numFmtId="38" fontId="7" fillId="0" borderId="7" xfId="1" applyNumberFormat="1" applyFont="1" applyBorder="1" applyAlignment="1" applyProtection="1"/>
    <xf numFmtId="38" fontId="7" fillId="0" borderId="12" xfId="1" applyNumberFormat="1" applyFont="1" applyBorder="1" applyAlignment="1" applyProtection="1"/>
    <xf numFmtId="0" fontId="8" fillId="0" borderId="0" xfId="0" applyFont="1" applyBorder="1" applyProtection="1"/>
    <xf numFmtId="0" fontId="7" fillId="0" borderId="4" xfId="0" applyFont="1" applyBorder="1" applyProtection="1"/>
    <xf numFmtId="38" fontId="7" fillId="0" borderId="5" xfId="1" applyNumberFormat="1" applyFont="1" applyBorder="1" applyAlignment="1" applyProtection="1"/>
    <xf numFmtId="0" fontId="7" fillId="0" borderId="5" xfId="0" applyFont="1" applyBorder="1" applyProtection="1"/>
    <xf numFmtId="38" fontId="7" fillId="0" borderId="6" xfId="1" applyNumberFormat="1" applyFont="1" applyBorder="1" applyAlignment="1" applyProtection="1"/>
    <xf numFmtId="37" fontId="7" fillId="0" borderId="13" xfId="0" applyNumberFormat="1" applyFont="1" applyBorder="1" applyProtection="1"/>
    <xf numFmtId="0" fontId="7" fillId="0" borderId="10" xfId="0" applyFont="1" applyFill="1" applyBorder="1" applyProtection="1"/>
    <xf numFmtId="0" fontId="8" fillId="0" borderId="14" xfId="0" applyFont="1" applyFill="1" applyBorder="1" applyAlignment="1" applyProtection="1">
      <alignment horizontal="left"/>
    </xf>
    <xf numFmtId="0" fontId="8" fillId="0" borderId="10" xfId="0" applyFont="1" applyFill="1" applyBorder="1" applyProtection="1"/>
    <xf numFmtId="167" fontId="8" fillId="0" borderId="14" xfId="2" applyNumberFormat="1" applyFont="1" applyFill="1" applyBorder="1" applyAlignment="1" applyProtection="1"/>
    <xf numFmtId="0" fontId="8" fillId="0" borderId="14" xfId="0" applyFont="1" applyFill="1" applyBorder="1" applyProtection="1"/>
    <xf numFmtId="167" fontId="8" fillId="0" borderId="14" xfId="2" applyNumberFormat="1" applyFont="1" applyBorder="1" applyAlignment="1" applyProtection="1"/>
    <xf numFmtId="0" fontId="8" fillId="0" borderId="11" xfId="0" applyFont="1" applyFill="1" applyBorder="1" applyProtection="1"/>
    <xf numFmtId="167" fontId="8" fillId="0" borderId="15" xfId="2" applyNumberFormat="1" applyFont="1" applyFill="1" applyBorder="1" applyAlignment="1" applyProtection="1"/>
    <xf numFmtId="0" fontId="7" fillId="0" borderId="7" xfId="0" applyFont="1" applyFill="1" applyBorder="1" applyProtection="1"/>
    <xf numFmtId="0" fontId="8" fillId="0" borderId="0" xfId="0" applyFont="1" applyFill="1" applyBorder="1" applyAlignment="1" applyProtection="1">
      <alignment horizontal="left"/>
    </xf>
    <xf numFmtId="0" fontId="8" fillId="0" borderId="0" xfId="0" applyFont="1" applyFill="1" applyBorder="1" applyProtection="1"/>
    <xf numFmtId="167" fontId="8" fillId="0" borderId="0" xfId="2" applyNumberFormat="1" applyFont="1" applyFill="1" applyBorder="1" applyAlignment="1" applyProtection="1"/>
    <xf numFmtId="167" fontId="8" fillId="0" borderId="8" xfId="2" applyNumberFormat="1" applyFont="1" applyFill="1" applyBorder="1" applyAlignment="1" applyProtection="1"/>
    <xf numFmtId="0" fontId="8" fillId="0" borderId="7" xfId="0" applyFont="1" applyFill="1" applyBorder="1" applyProtection="1"/>
    <xf numFmtId="166" fontId="8" fillId="0" borderId="0" xfId="1" applyNumberFormat="1" applyFont="1" applyFill="1" applyBorder="1" applyProtection="1"/>
    <xf numFmtId="37" fontId="11" fillId="0" borderId="8" xfId="0" applyNumberFormat="1" applyFont="1" applyBorder="1" applyProtection="1"/>
    <xf numFmtId="0" fontId="7" fillId="0" borderId="4" xfId="0" applyFont="1" applyFill="1" applyBorder="1" applyProtection="1"/>
    <xf numFmtId="0" fontId="8" fillId="0" borderId="5" xfId="0" applyFont="1" applyFill="1" applyBorder="1" applyAlignment="1" applyProtection="1">
      <alignment horizontal="center"/>
    </xf>
    <xf numFmtId="0" fontId="8" fillId="0" borderId="5" xfId="0" applyFont="1" applyFill="1" applyBorder="1" applyProtection="1"/>
    <xf numFmtId="167" fontId="8" fillId="0" borderId="5" xfId="2" applyNumberFormat="1" applyFont="1" applyFill="1" applyBorder="1" applyAlignment="1" applyProtection="1"/>
    <xf numFmtId="167" fontId="8" fillId="0" borderId="6" xfId="2" applyNumberFormat="1" applyFont="1" applyFill="1" applyBorder="1" applyAlignment="1" applyProtection="1"/>
    <xf numFmtId="0" fontId="8" fillId="0" borderId="5" xfId="0" applyFont="1" applyFill="1" applyBorder="1" applyAlignment="1" applyProtection="1">
      <alignment horizontal="left"/>
    </xf>
    <xf numFmtId="167" fontId="8" fillId="0" borderId="11" xfId="2" applyNumberFormat="1" applyFont="1" applyFill="1" applyBorder="1" applyAlignment="1" applyProtection="1"/>
    <xf numFmtId="0" fontId="7" fillId="0" borderId="14" xfId="0" applyFont="1" applyBorder="1" applyProtection="1"/>
    <xf numFmtId="0" fontId="8" fillId="3" borderId="15" xfId="0" applyFont="1" applyFill="1" applyBorder="1" applyAlignment="1" applyProtection="1">
      <alignment horizontal="center"/>
    </xf>
    <xf numFmtId="0" fontId="7" fillId="0" borderId="10" xfId="0" applyFont="1" applyBorder="1" applyProtection="1"/>
    <xf numFmtId="0" fontId="10" fillId="0" borderId="14" xfId="0" applyFont="1" applyBorder="1" applyProtection="1"/>
    <xf numFmtId="38" fontId="9" fillId="0" borderId="6" xfId="1" applyNumberFormat="1" applyFont="1" applyBorder="1" applyAlignment="1" applyProtection="1"/>
    <xf numFmtId="1" fontId="8" fillId="0" borderId="14" xfId="1" applyNumberFormat="1" applyFont="1" applyBorder="1" applyAlignment="1" applyProtection="1"/>
    <xf numFmtId="0" fontId="8" fillId="0" borderId="14" xfId="0" applyFont="1" applyBorder="1" applyProtection="1"/>
    <xf numFmtId="0" fontId="9" fillId="0" borderId="14" xfId="0" applyFont="1" applyBorder="1" applyProtection="1"/>
    <xf numFmtId="0" fontId="8" fillId="0" borderId="11" xfId="0" applyFont="1" applyBorder="1" applyProtection="1"/>
    <xf numFmtId="38" fontId="8" fillId="0" borderId="15" xfId="1" applyNumberFormat="1" applyFont="1" applyBorder="1" applyAlignment="1" applyProtection="1"/>
    <xf numFmtId="9" fontId="7" fillId="0" borderId="0" xfId="3" applyFont="1" applyProtection="1"/>
    <xf numFmtId="9" fontId="0" fillId="0" borderId="0" xfId="3" applyFont="1" applyProtection="1"/>
    <xf numFmtId="10" fontId="7" fillId="0" borderId="0" xfId="3" applyNumberFormat="1" applyFont="1" applyProtection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166" fontId="0" fillId="0" borderId="0" xfId="0" applyNumberFormat="1"/>
    <xf numFmtId="166" fontId="1" fillId="0" borderId="0" xfId="1" applyNumberFormat="1"/>
    <xf numFmtId="166" fontId="1" fillId="0" borderId="17" xfId="1" applyNumberFormat="1" applyBorder="1"/>
    <xf numFmtId="166" fontId="1" fillId="0" borderId="0" xfId="1" applyNumberFormat="1" applyBorder="1"/>
    <xf numFmtId="43" fontId="0" fillId="0" borderId="0" xfId="1" applyFont="1"/>
    <xf numFmtId="0" fontId="0" fillId="0" borderId="0" xfId="0" applyBorder="1"/>
    <xf numFmtId="43" fontId="0" fillId="0" borderId="0" xfId="1" applyFont="1" applyBorder="1"/>
    <xf numFmtId="166" fontId="0" fillId="0" borderId="0" xfId="0" applyNumberFormat="1" applyBorder="1"/>
    <xf numFmtId="0" fontId="0" fillId="0" borderId="0" xfId="0" applyAlignment="1">
      <alignment horizontal="right"/>
    </xf>
    <xf numFmtId="10" fontId="1" fillId="0" borderId="0" xfId="3" applyNumberFormat="1"/>
    <xf numFmtId="10" fontId="1" fillId="0" borderId="0" xfId="3" applyNumberFormat="1" applyBorder="1"/>
    <xf numFmtId="10" fontId="0" fillId="0" borderId="0" xfId="3" applyNumberFormat="1" applyFont="1"/>
    <xf numFmtId="10" fontId="0" fillId="0" borderId="0" xfId="0" applyNumberFormat="1"/>
    <xf numFmtId="38" fontId="7" fillId="0" borderId="15" xfId="1" applyNumberFormat="1" applyFont="1" applyBorder="1" applyAlignment="1" applyProtection="1"/>
    <xf numFmtId="166" fontId="13" fillId="0" borderId="0" xfId="0" applyNumberFormat="1" applyFont="1"/>
    <xf numFmtId="0" fontId="14" fillId="0" borderId="0" xfId="0" applyFont="1"/>
    <xf numFmtId="0" fontId="14" fillId="4" borderId="18" xfId="0" applyNumberFormat="1" applyFont="1" applyFill="1" applyBorder="1" applyAlignment="1">
      <alignment horizontal="center"/>
    </xf>
    <xf numFmtId="0" fontId="14" fillId="4" borderId="19" xfId="0" applyFont="1" applyFill="1" applyBorder="1" applyAlignment="1">
      <alignment horizontal="center"/>
    </xf>
    <xf numFmtId="0" fontId="14" fillId="4" borderId="16" xfId="0" applyFont="1" applyFill="1" applyBorder="1" applyAlignment="1">
      <alignment horizontal="center"/>
    </xf>
    <xf numFmtId="0" fontId="14" fillId="4" borderId="20" xfId="0" applyFont="1" applyFill="1" applyBorder="1" applyAlignment="1">
      <alignment horizontal="center"/>
    </xf>
    <xf numFmtId="0" fontId="2" fillId="5" borderId="7" xfId="0" applyNumberFormat="1" applyFont="1" applyFill="1" applyBorder="1" applyAlignment="1">
      <alignment horizontal="center"/>
    </xf>
    <xf numFmtId="0" fontId="2" fillId="5" borderId="21" xfId="0" applyFont="1" applyFill="1" applyBorder="1"/>
    <xf numFmtId="0" fontId="14" fillId="5" borderId="0" xfId="0" applyFont="1" applyFill="1" applyBorder="1" applyAlignment="1">
      <alignment horizontal="center"/>
    </xf>
    <xf numFmtId="43" fontId="2" fillId="5" borderId="12" xfId="1" applyNumberFormat="1" applyFont="1" applyFill="1" applyBorder="1"/>
    <xf numFmtId="0" fontId="2" fillId="5" borderId="0" xfId="0" applyFont="1" applyFill="1"/>
    <xf numFmtId="0" fontId="2" fillId="0" borderId="7" xfId="0" applyNumberFormat="1" applyFont="1" applyBorder="1" applyAlignment="1">
      <alignment horizontal="center"/>
    </xf>
    <xf numFmtId="0" fontId="2" fillId="0" borderId="21" xfId="0" applyFont="1" applyBorder="1"/>
    <xf numFmtId="0" fontId="2" fillId="0" borderId="0" xfId="0" applyFont="1"/>
    <xf numFmtId="43" fontId="2" fillId="0" borderId="12" xfId="1" applyNumberFormat="1" applyFont="1" applyBorder="1"/>
    <xf numFmtId="43" fontId="13" fillId="0" borderId="12" xfId="1" applyNumberFormat="1" applyFont="1" applyBorder="1"/>
    <xf numFmtId="0" fontId="2" fillId="6" borderId="7" xfId="0" applyNumberFormat="1" applyFont="1" applyFill="1" applyBorder="1" applyAlignment="1">
      <alignment horizontal="center"/>
    </xf>
    <xf numFmtId="0" fontId="2" fillId="6" borderId="21" xfId="0" applyFont="1" applyFill="1" applyBorder="1"/>
    <xf numFmtId="0" fontId="2" fillId="6" borderId="0" xfId="0" applyFont="1" applyFill="1"/>
    <xf numFmtId="0" fontId="2" fillId="5" borderId="4" xfId="0" applyNumberFormat="1" applyFont="1" applyFill="1" applyBorder="1" applyAlignment="1">
      <alignment horizontal="center"/>
    </xf>
    <xf numFmtId="0" fontId="2" fillId="5" borderId="22" xfId="0" applyFont="1" applyFill="1" applyBorder="1"/>
    <xf numFmtId="0" fontId="2" fillId="0" borderId="0" xfId="0" applyNumberFormat="1" applyFont="1" applyAlignment="1">
      <alignment horizontal="center"/>
    </xf>
    <xf numFmtId="43" fontId="14" fillId="0" borderId="15" xfId="1" applyFont="1" applyBorder="1"/>
    <xf numFmtId="0" fontId="2" fillId="0" borderId="0" xfId="0" applyFont="1" applyAlignment="1">
      <alignment horizontal="right"/>
    </xf>
    <xf numFmtId="43" fontId="2" fillId="0" borderId="0" xfId="0" applyNumberFormat="1" applyFont="1"/>
    <xf numFmtId="43" fontId="0" fillId="0" borderId="0" xfId="0" applyNumberFormat="1"/>
    <xf numFmtId="43" fontId="14" fillId="0" borderId="23" xfId="1" applyFont="1" applyBorder="1"/>
    <xf numFmtId="0" fontId="14" fillId="0" borderId="15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12" xfId="0" applyBorder="1"/>
    <xf numFmtId="43" fontId="0" fillId="0" borderId="12" xfId="0" applyNumberFormat="1" applyBorder="1"/>
    <xf numFmtId="43" fontId="0" fillId="0" borderId="12" xfId="1" applyFont="1" applyBorder="1"/>
    <xf numFmtId="0" fontId="14" fillId="0" borderId="0" xfId="0" applyFont="1" applyAlignment="1">
      <alignment horizontal="right"/>
    </xf>
    <xf numFmtId="43" fontId="0" fillId="0" borderId="15" xfId="1" applyFont="1" applyBorder="1"/>
    <xf numFmtId="43" fontId="0" fillId="0" borderId="14" xfId="1" applyFont="1" applyBorder="1"/>
    <xf numFmtId="0" fontId="0" fillId="0" borderId="14" xfId="0" applyBorder="1"/>
    <xf numFmtId="43" fontId="0" fillId="0" borderId="15" xfId="0" applyNumberFormat="1" applyBorder="1"/>
    <xf numFmtId="0" fontId="14" fillId="0" borderId="0" xfId="0" applyFont="1" applyBorder="1" applyAlignment="1">
      <alignment horizontal="center"/>
    </xf>
    <xf numFmtId="43" fontId="0" fillId="0" borderId="0" xfId="0" applyNumberFormat="1" applyBorder="1"/>
    <xf numFmtId="10" fontId="0" fillId="0" borderId="12" xfId="3" applyNumberFormat="1" applyFont="1" applyBorder="1"/>
    <xf numFmtId="10" fontId="0" fillId="0" borderId="0" xfId="3" applyNumberFormat="1" applyFont="1" applyBorder="1"/>
    <xf numFmtId="170" fontId="0" fillId="0" borderId="0" xfId="3" applyNumberFormat="1" applyFont="1" applyBorder="1"/>
    <xf numFmtId="10" fontId="13" fillId="0" borderId="12" xfId="3" applyNumberFormat="1" applyFont="1" applyBorder="1"/>
    <xf numFmtId="170" fontId="0" fillId="0" borderId="12" xfId="3" applyNumberFormat="1" applyFont="1" applyBorder="1"/>
    <xf numFmtId="10" fontId="0" fillId="0" borderId="12" xfId="3" applyNumberFormat="1" applyFont="1" applyBorder="1" applyAlignment="1">
      <alignment horizontal="center"/>
    </xf>
    <xf numFmtId="10" fontId="0" fillId="0" borderId="15" xfId="3" applyNumberFormat="1" applyFont="1" applyBorder="1"/>
    <xf numFmtId="10" fontId="0" fillId="0" borderId="14" xfId="3" applyNumberFormat="1" applyFont="1" applyBorder="1"/>
    <xf numFmtId="0" fontId="0" fillId="0" borderId="0" xfId="0" applyBorder="1" applyAlignment="1">
      <alignment horizontal="right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8" fillId="0" borderId="10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1%20legal%20billo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Summary ($)"/>
      <sheetName val="2002 Ext billout"/>
      <sheetName val="YTD Summary (%) - 105659"/>
      <sheetName val="Teams"/>
      <sheetName val="Teams (2)"/>
      <sheetName val="teams (plan $)"/>
      <sheetName val="teams (plan $-2)"/>
      <sheetName val="YTD Summary ($) - 105659"/>
      <sheetName val="2002 Plan int legal billout"/>
      <sheetName val="2001 Int Legal billout"/>
      <sheetName val="YTD billout"/>
      <sheetName val="Jan ext legal"/>
      <sheetName val="Feb ext legal"/>
      <sheetName val="Mar ext legal"/>
      <sheetName val="Apr ext legal"/>
      <sheetName val="May ext legal"/>
      <sheetName val="Jun ext legal"/>
      <sheetName val="Jul ext legal"/>
      <sheetName val="Sheet5"/>
    </sheetNames>
    <sheetDataSet>
      <sheetData sheetId="0">
        <row r="3">
          <cell r="A3" t="str">
            <v>Prepared by: Vivian Nguyen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20" workbookViewId="0">
      <selection activeCell="D49" sqref="D49"/>
    </sheetView>
  </sheetViews>
  <sheetFormatPr defaultRowHeight="12.75" x14ac:dyDescent="0.2"/>
  <cols>
    <col min="1" max="1" width="13" customWidth="1"/>
    <col min="2" max="2" width="40.5703125" customWidth="1"/>
    <col min="3" max="3" width="0" hidden="1" customWidth="1"/>
    <col min="4" max="4" width="13.7109375" customWidth="1"/>
  </cols>
  <sheetData>
    <row r="1" spans="1:4" x14ac:dyDescent="0.2">
      <c r="A1" s="115" t="s">
        <v>82</v>
      </c>
    </row>
    <row r="2" spans="1:4" x14ac:dyDescent="0.2">
      <c r="A2" s="115"/>
    </row>
    <row r="3" spans="1:4" x14ac:dyDescent="0.2">
      <c r="A3" s="115"/>
    </row>
    <row r="4" spans="1:4" ht="13.5" thickBot="1" x14ac:dyDescent="0.25"/>
    <row r="5" spans="1:4" x14ac:dyDescent="0.2">
      <c r="A5" s="116" t="s">
        <v>83</v>
      </c>
      <c r="B5" s="117" t="s">
        <v>84</v>
      </c>
      <c r="C5" s="118" t="s">
        <v>85</v>
      </c>
      <c r="D5" s="119" t="s">
        <v>86</v>
      </c>
    </row>
    <row r="6" spans="1:4" x14ac:dyDescent="0.2">
      <c r="A6" s="120">
        <v>100055</v>
      </c>
      <c r="B6" s="121" t="s">
        <v>87</v>
      </c>
      <c r="C6" s="122"/>
      <c r="D6" s="123">
        <v>1328654.7424888213</v>
      </c>
    </row>
    <row r="7" spans="1:4" x14ac:dyDescent="0.2">
      <c r="A7" s="120">
        <v>100663</v>
      </c>
      <c r="B7" s="121" t="s">
        <v>88</v>
      </c>
      <c r="C7" s="124" t="s">
        <v>89</v>
      </c>
      <c r="D7" s="123">
        <v>955569.96012017515</v>
      </c>
    </row>
    <row r="8" spans="1:4" x14ac:dyDescent="0.2">
      <c r="A8" s="120">
        <v>102564</v>
      </c>
      <c r="B8" s="121" t="s">
        <v>90</v>
      </c>
      <c r="C8" s="124" t="s">
        <v>89</v>
      </c>
      <c r="D8" s="123">
        <v>8402.1850390153231</v>
      </c>
    </row>
    <row r="9" spans="1:4" x14ac:dyDescent="0.2">
      <c r="A9" s="120">
        <v>103478</v>
      </c>
      <c r="B9" s="121" t="s">
        <v>91</v>
      </c>
      <c r="C9" s="124" t="s">
        <v>89</v>
      </c>
      <c r="D9" s="123">
        <v>55378.474170668407</v>
      </c>
    </row>
    <row r="10" spans="1:4" x14ac:dyDescent="0.2">
      <c r="A10" s="120">
        <v>105168</v>
      </c>
      <c r="B10" s="121" t="s">
        <v>92</v>
      </c>
      <c r="C10" s="124" t="s">
        <v>89</v>
      </c>
      <c r="D10" s="123">
        <v>63123.979134454923</v>
      </c>
    </row>
    <row r="11" spans="1:4" x14ac:dyDescent="0.2">
      <c r="A11" s="125">
        <v>105713</v>
      </c>
      <c r="B11" s="126" t="s">
        <v>93</v>
      </c>
      <c r="C11" s="127" t="s">
        <v>89</v>
      </c>
      <c r="D11" s="128">
        <v>24526.626826271709</v>
      </c>
    </row>
    <row r="12" spans="1:4" x14ac:dyDescent="0.2">
      <c r="A12" s="125">
        <v>105751</v>
      </c>
      <c r="B12" s="126" t="s">
        <v>94</v>
      </c>
      <c r="C12" s="127" t="s">
        <v>95</v>
      </c>
      <c r="D12" s="128">
        <v>223827.3237684535</v>
      </c>
    </row>
    <row r="13" spans="1:4" x14ac:dyDescent="0.2">
      <c r="A13" s="120">
        <v>106042</v>
      </c>
      <c r="B13" s="121" t="s">
        <v>96</v>
      </c>
      <c r="C13" s="124" t="s">
        <v>89</v>
      </c>
      <c r="D13" s="123">
        <v>252662.17517806118</v>
      </c>
    </row>
    <row r="14" spans="1:4" x14ac:dyDescent="0.2">
      <c r="A14" s="120">
        <v>106196</v>
      </c>
      <c r="B14" s="121" t="s">
        <v>97</v>
      </c>
      <c r="C14" s="124" t="s">
        <v>89</v>
      </c>
      <c r="D14" s="123">
        <v>45494.636395473593</v>
      </c>
    </row>
    <row r="15" spans="1:4" x14ac:dyDescent="0.2">
      <c r="A15" s="125">
        <v>106230</v>
      </c>
      <c r="B15" s="126" t="s">
        <v>98</v>
      </c>
      <c r="C15" s="127"/>
      <c r="D15" s="129">
        <v>2327557.2295455295</v>
      </c>
    </row>
    <row r="16" spans="1:4" x14ac:dyDescent="0.2">
      <c r="A16" s="125">
        <v>106298</v>
      </c>
      <c r="B16" s="126" t="s">
        <v>99</v>
      </c>
      <c r="C16" s="127" t="s">
        <v>100</v>
      </c>
      <c r="D16" s="128">
        <v>271882.63191268116</v>
      </c>
    </row>
    <row r="17" spans="1:4" x14ac:dyDescent="0.2">
      <c r="A17" s="125">
        <v>106303</v>
      </c>
      <c r="B17" s="126" t="s">
        <v>101</v>
      </c>
      <c r="C17" s="127" t="s">
        <v>102</v>
      </c>
      <c r="D17" s="128">
        <v>112309.13305788708</v>
      </c>
    </row>
    <row r="18" spans="1:4" x14ac:dyDescent="0.2">
      <c r="A18" s="125">
        <v>106331</v>
      </c>
      <c r="B18" s="126" t="s">
        <v>103</v>
      </c>
      <c r="C18" s="127"/>
      <c r="D18" s="128">
        <v>1081964.5374267304</v>
      </c>
    </row>
    <row r="19" spans="1:4" x14ac:dyDescent="0.2">
      <c r="A19" s="130">
        <v>106790</v>
      </c>
      <c r="B19" s="131" t="s">
        <v>104</v>
      </c>
      <c r="C19" s="127" t="s">
        <v>105</v>
      </c>
      <c r="D19" s="128">
        <v>831402.88117044605</v>
      </c>
    </row>
    <row r="20" spans="1:4" x14ac:dyDescent="0.2">
      <c r="A20" s="125">
        <v>106802</v>
      </c>
      <c r="B20" s="126" t="s">
        <v>106</v>
      </c>
      <c r="C20" s="127" t="s">
        <v>107</v>
      </c>
      <c r="D20" s="128">
        <v>2252.255628695526</v>
      </c>
    </row>
    <row r="21" spans="1:4" x14ac:dyDescent="0.2">
      <c r="A21" s="125">
        <v>106860</v>
      </c>
      <c r="B21" s="126" t="s">
        <v>108</v>
      </c>
      <c r="C21" s="132" t="s">
        <v>109</v>
      </c>
      <c r="D21" s="128">
        <v>103060.23619869981</v>
      </c>
    </row>
    <row r="22" spans="1:4" x14ac:dyDescent="0.2">
      <c r="A22" s="125">
        <v>107040</v>
      </c>
      <c r="B22" s="126" t="s">
        <v>110</v>
      </c>
      <c r="C22" s="127" t="s">
        <v>111</v>
      </c>
      <c r="D22" s="128">
        <v>334283.72932707547</v>
      </c>
    </row>
    <row r="23" spans="1:4" x14ac:dyDescent="0.2">
      <c r="A23" s="125">
        <v>107295</v>
      </c>
      <c r="B23" s="126" t="s">
        <v>112</v>
      </c>
      <c r="C23" s="127" t="s">
        <v>113</v>
      </c>
      <c r="D23" s="128">
        <v>3346891.2090578894</v>
      </c>
    </row>
    <row r="24" spans="1:4" x14ac:dyDescent="0.2">
      <c r="A24" s="125">
        <v>107297</v>
      </c>
      <c r="B24" s="126" t="s">
        <v>114</v>
      </c>
      <c r="C24" s="127" t="s">
        <v>113</v>
      </c>
      <c r="D24" s="128">
        <v>340488.40030231565</v>
      </c>
    </row>
    <row r="25" spans="1:4" x14ac:dyDescent="0.2">
      <c r="A25" s="125">
        <v>107300</v>
      </c>
      <c r="B25" s="126" t="s">
        <v>115</v>
      </c>
      <c r="C25" s="127" t="s">
        <v>116</v>
      </c>
      <c r="D25" s="128">
        <v>7736952.1355596697</v>
      </c>
    </row>
    <row r="26" spans="1:4" x14ac:dyDescent="0.2">
      <c r="A26" s="125">
        <v>107310</v>
      </c>
      <c r="B26" s="126" t="s">
        <v>117</v>
      </c>
      <c r="C26" s="127"/>
      <c r="D26" s="128">
        <v>235627.92551997554</v>
      </c>
    </row>
    <row r="27" spans="1:4" x14ac:dyDescent="0.2">
      <c r="A27" s="125">
        <v>107312</v>
      </c>
      <c r="B27" s="126" t="s">
        <v>118</v>
      </c>
      <c r="C27" s="127" t="s">
        <v>119</v>
      </c>
      <c r="D27" s="128">
        <v>17392.661470276682</v>
      </c>
    </row>
    <row r="28" spans="1:4" x14ac:dyDescent="0.2">
      <c r="A28" s="125">
        <v>107319</v>
      </c>
      <c r="B28" s="126" t="s">
        <v>120</v>
      </c>
      <c r="C28" s="127"/>
      <c r="D28" s="128">
        <v>105871.84870490324</v>
      </c>
    </row>
    <row r="29" spans="1:4" x14ac:dyDescent="0.2">
      <c r="A29" s="125">
        <v>107443</v>
      </c>
      <c r="B29" s="126" t="s">
        <v>121</v>
      </c>
      <c r="C29" s="127"/>
      <c r="D29" s="128">
        <v>116187.18910729658</v>
      </c>
    </row>
    <row r="30" spans="1:4" x14ac:dyDescent="0.2">
      <c r="A30" s="125">
        <v>107444</v>
      </c>
      <c r="B30" s="126" t="s">
        <v>122</v>
      </c>
      <c r="C30" s="127"/>
      <c r="D30" s="128">
        <v>142319.1238068071</v>
      </c>
    </row>
    <row r="31" spans="1:4" x14ac:dyDescent="0.2">
      <c r="A31" s="125">
        <v>107446</v>
      </c>
      <c r="B31" s="126" t="s">
        <v>123</v>
      </c>
      <c r="C31" s="127"/>
      <c r="D31" s="128">
        <v>1650622.8663205695</v>
      </c>
    </row>
    <row r="32" spans="1:4" x14ac:dyDescent="0.2">
      <c r="A32" s="125">
        <v>107447</v>
      </c>
      <c r="B32" s="126" t="s">
        <v>124</v>
      </c>
      <c r="C32" s="127"/>
      <c r="D32" s="128">
        <v>69421.66484225844</v>
      </c>
    </row>
    <row r="33" spans="1:4" x14ac:dyDescent="0.2">
      <c r="A33" s="125">
        <v>107449</v>
      </c>
      <c r="B33" s="126" t="s">
        <v>125</v>
      </c>
      <c r="C33" s="127"/>
      <c r="D33" s="128">
        <v>8386.3727531833647</v>
      </c>
    </row>
    <row r="34" spans="1:4" x14ac:dyDescent="0.2">
      <c r="A34" s="120">
        <v>120484</v>
      </c>
      <c r="B34" s="121" t="s">
        <v>126</v>
      </c>
      <c r="C34" s="124"/>
      <c r="D34" s="123">
        <v>3188502.7786956136</v>
      </c>
    </row>
    <row r="35" spans="1:4" x14ac:dyDescent="0.2">
      <c r="A35" s="120">
        <v>121125</v>
      </c>
      <c r="B35" s="121" t="s">
        <v>127</v>
      </c>
      <c r="C35" s="124"/>
      <c r="D35" s="123">
        <v>237674.88387743375</v>
      </c>
    </row>
    <row r="36" spans="1:4" x14ac:dyDescent="0.2">
      <c r="A36" s="120">
        <v>140052</v>
      </c>
      <c r="B36" s="121" t="s">
        <v>128</v>
      </c>
      <c r="C36" s="124"/>
      <c r="D36" s="123">
        <v>9020.1107982078374</v>
      </c>
    </row>
    <row r="37" spans="1:4" x14ac:dyDescent="0.2">
      <c r="A37" s="120">
        <v>140167</v>
      </c>
      <c r="B37" s="121" t="s">
        <v>129</v>
      </c>
      <c r="C37" s="124"/>
      <c r="D37" s="123">
        <v>442237.28842565679</v>
      </c>
    </row>
    <row r="38" spans="1:4" x14ac:dyDescent="0.2">
      <c r="A38" s="120">
        <v>140399</v>
      </c>
      <c r="B38" s="121" t="s">
        <v>130</v>
      </c>
      <c r="C38" s="124"/>
      <c r="D38" s="123">
        <v>343995.77525550674</v>
      </c>
    </row>
    <row r="39" spans="1:4" x14ac:dyDescent="0.2">
      <c r="A39" s="120">
        <v>140402</v>
      </c>
      <c r="B39" s="121" t="s">
        <v>131</v>
      </c>
      <c r="C39" s="124" t="s">
        <v>132</v>
      </c>
      <c r="D39" s="123">
        <v>4773660.5727633368</v>
      </c>
    </row>
    <row r="40" spans="1:4" x14ac:dyDescent="0.2">
      <c r="A40" s="125">
        <v>150164</v>
      </c>
      <c r="B40" s="126" t="s">
        <v>133</v>
      </c>
      <c r="C40" s="124"/>
      <c r="D40" s="128">
        <v>733.20454013339724</v>
      </c>
    </row>
    <row r="41" spans="1:4" ht="13.5" thickBot="1" x14ac:dyDescent="0.25">
      <c r="A41" s="133">
        <v>150249</v>
      </c>
      <c r="B41" s="134" t="s">
        <v>134</v>
      </c>
      <c r="C41" s="124" t="s">
        <v>89</v>
      </c>
      <c r="D41" s="123">
        <v>311661.24726699968</v>
      </c>
    </row>
    <row r="42" spans="1:4" ht="13.5" thickBot="1" x14ac:dyDescent="0.25">
      <c r="A42" s="135"/>
      <c r="B42" s="127"/>
      <c r="C42" s="127"/>
      <c r="D42" s="136">
        <f>SUM(D6:D41)</f>
        <v>31099999.996457174</v>
      </c>
    </row>
    <row r="43" spans="1:4" x14ac:dyDescent="0.2">
      <c r="A43" s="135"/>
      <c r="B43" s="127"/>
      <c r="C43" s="127"/>
      <c r="D43" s="127"/>
    </row>
    <row r="44" spans="1:4" x14ac:dyDescent="0.2">
      <c r="A44" s="127"/>
      <c r="B44" s="127"/>
      <c r="C44" s="127"/>
      <c r="D44" s="127"/>
    </row>
    <row r="45" spans="1:4" x14ac:dyDescent="0.2">
      <c r="A45" s="127"/>
      <c r="B45" s="137" t="s">
        <v>156</v>
      </c>
      <c r="C45" s="127"/>
      <c r="D45" s="138">
        <f>+D6+D7+D8+D9:E9+D10+D13+D14+D34+D35:E35+D36+D37:E37+D38:E38+D39:E39+D41</f>
        <v>12016038.809609428</v>
      </c>
    </row>
    <row r="46" spans="1:4" x14ac:dyDescent="0.2">
      <c r="A46" s="127"/>
      <c r="B46" s="137" t="s">
        <v>157</v>
      </c>
      <c r="C46" s="132"/>
      <c r="D46" s="139">
        <f>+D42-D45</f>
        <v>19083961.186847746</v>
      </c>
    </row>
    <row r="47" spans="1:4" ht="13.5" thickBot="1" x14ac:dyDescent="0.25">
      <c r="A47" s="127"/>
      <c r="B47" s="137" t="s">
        <v>135</v>
      </c>
      <c r="C47" s="127"/>
      <c r="D47" s="140">
        <f>SUM(D45:D46)</f>
        <v>31099999.996457174</v>
      </c>
    </row>
    <row r="48" spans="1:4" ht="13.5" thickTop="1" x14ac:dyDescent="0.2">
      <c r="A48" s="127"/>
      <c r="B48" s="12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8"/>
  <sheetViews>
    <sheetView workbookViewId="0"/>
  </sheetViews>
  <sheetFormatPr defaultRowHeight="12.75" x14ac:dyDescent="0.2"/>
  <cols>
    <col min="1" max="1" width="37.7109375" customWidth="1"/>
    <col min="2" max="2" width="3.7109375" customWidth="1"/>
    <col min="3" max="3" width="17.42578125" customWidth="1"/>
    <col min="4" max="4" width="24.140625" customWidth="1"/>
    <col min="5" max="5" width="20" customWidth="1"/>
    <col min="6" max="6" width="17.85546875" customWidth="1"/>
    <col min="7" max="7" width="25.85546875" customWidth="1"/>
    <col min="8" max="8" width="2" customWidth="1"/>
    <col min="9" max="9" width="17.7109375" customWidth="1"/>
    <col min="10" max="10" width="2" customWidth="1"/>
    <col min="11" max="11" width="18" customWidth="1"/>
  </cols>
  <sheetData>
    <row r="1" spans="1:11" x14ac:dyDescent="0.2">
      <c r="A1" s="115" t="s">
        <v>136</v>
      </c>
    </row>
    <row r="2" spans="1:11" x14ac:dyDescent="0.2">
      <c r="A2" s="115" t="str">
        <f>+'[1]YTD Summary ($)'!A3</f>
        <v>Prepared by: Vivian Nguyen</v>
      </c>
    </row>
    <row r="4" spans="1:11" ht="13.5" thickBot="1" x14ac:dyDescent="0.25"/>
    <row r="5" spans="1:11" ht="13.5" thickBot="1" x14ac:dyDescent="0.25">
      <c r="C5" s="141" t="s">
        <v>137</v>
      </c>
      <c r="D5" s="141" t="s">
        <v>138</v>
      </c>
      <c r="E5" s="141" t="s">
        <v>139</v>
      </c>
      <c r="F5" s="142" t="s">
        <v>140</v>
      </c>
      <c r="G5" s="141" t="s">
        <v>141</v>
      </c>
      <c r="H5" s="142"/>
      <c r="I5" s="141" t="s">
        <v>142</v>
      </c>
      <c r="J5" s="141"/>
      <c r="K5" s="141" t="s">
        <v>143</v>
      </c>
    </row>
    <row r="6" spans="1:11" x14ac:dyDescent="0.2">
      <c r="C6" s="143"/>
      <c r="D6" s="143"/>
      <c r="E6" s="143"/>
      <c r="G6" s="143"/>
      <c r="I6" s="144"/>
      <c r="J6" s="144"/>
      <c r="K6" s="143"/>
    </row>
    <row r="7" spans="1:11" x14ac:dyDescent="0.2">
      <c r="A7" s="105" t="s">
        <v>144</v>
      </c>
      <c r="B7" s="105"/>
      <c r="C7" s="145">
        <f>+C28*C35</f>
        <v>81464.00818523606</v>
      </c>
      <c r="D7" s="145"/>
      <c r="E7" s="145"/>
      <c r="F7" s="106">
        <f>+F28*F35</f>
        <v>30315.219033967987</v>
      </c>
      <c r="G7" s="145"/>
      <c r="H7" s="105"/>
      <c r="I7" s="144">
        <f>SUM(C7:G7)</f>
        <v>111779.22721920404</v>
      </c>
      <c r="J7" s="144"/>
      <c r="K7" s="145">
        <f>+I7*12</f>
        <v>1341350.7266304484</v>
      </c>
    </row>
    <row r="8" spans="1:11" x14ac:dyDescent="0.2">
      <c r="A8" s="105"/>
      <c r="B8" s="105"/>
      <c r="C8" s="145"/>
      <c r="D8" s="145"/>
      <c r="E8" s="145"/>
      <c r="F8" s="106"/>
      <c r="G8" s="145"/>
      <c r="H8" s="105"/>
      <c r="I8" s="144"/>
      <c r="J8" s="144"/>
      <c r="K8" s="145"/>
    </row>
    <row r="9" spans="1:11" x14ac:dyDescent="0.2">
      <c r="A9" s="105" t="s">
        <v>145</v>
      </c>
      <c r="B9" s="105"/>
      <c r="C9" s="145"/>
      <c r="D9" s="145"/>
      <c r="E9" s="145">
        <f>+E28*E37</f>
        <v>3881.8926900351426</v>
      </c>
      <c r="F9" s="106">
        <f>+F28*F37</f>
        <v>60630.438067935975</v>
      </c>
      <c r="G9" s="145">
        <f>+G28*G37</f>
        <v>188886.12889869665</v>
      </c>
      <c r="H9" s="105"/>
      <c r="I9" s="144">
        <f>SUM(C9:G9)</f>
        <v>253398.45965666778</v>
      </c>
      <c r="J9" s="144"/>
      <c r="K9" s="145">
        <f>+I9*12</f>
        <v>3040781.5158800134</v>
      </c>
    </row>
    <row r="10" spans="1:11" x14ac:dyDescent="0.2">
      <c r="A10" s="105"/>
      <c r="B10" s="105"/>
      <c r="C10" s="145"/>
      <c r="D10" s="145"/>
      <c r="E10" s="145"/>
      <c r="F10" s="106"/>
      <c r="G10" s="145"/>
      <c r="H10" s="105"/>
      <c r="I10" s="144"/>
      <c r="J10" s="144"/>
      <c r="K10" s="145"/>
    </row>
    <row r="11" spans="1:11" x14ac:dyDescent="0.2">
      <c r="A11" s="105" t="s">
        <v>146</v>
      </c>
      <c r="B11" s="105"/>
      <c r="C11" s="145"/>
      <c r="D11" s="145"/>
      <c r="E11" s="145">
        <f>+E39*E28</f>
        <v>1940.9394888030238</v>
      </c>
      <c r="F11" s="106">
        <f>+F28*F39</f>
        <v>12126.091897017692</v>
      </c>
      <c r="G11" s="145">
        <f>+G28*G39</f>
        <v>44820.430848818476</v>
      </c>
      <c r="H11" s="105"/>
      <c r="I11" s="144">
        <f>SUM(C11:G11)</f>
        <v>58887.462234639192</v>
      </c>
      <c r="J11" s="144"/>
      <c r="K11" s="145">
        <f>+I11*12</f>
        <v>706649.54681567033</v>
      </c>
    </row>
    <row r="12" spans="1:11" x14ac:dyDescent="0.2">
      <c r="A12" s="105"/>
      <c r="B12" s="105"/>
      <c r="C12" s="145"/>
      <c r="D12" s="145"/>
      <c r="E12" s="145"/>
      <c r="F12" s="106"/>
      <c r="G12" s="145"/>
      <c r="H12" s="105"/>
      <c r="I12" s="144"/>
      <c r="J12" s="144"/>
      <c r="K12" s="145"/>
    </row>
    <row r="13" spans="1:11" x14ac:dyDescent="0.2">
      <c r="A13" s="105" t="s">
        <v>147</v>
      </c>
      <c r="B13" s="105"/>
      <c r="C13" s="145"/>
      <c r="D13" s="145"/>
      <c r="E13" s="145"/>
      <c r="F13" s="106">
        <f>+F28*F41</f>
        <v>9094.5689227632683</v>
      </c>
      <c r="G13" s="145"/>
      <c r="H13" s="105"/>
      <c r="I13" s="144">
        <f>SUM(C13:G13)</f>
        <v>9094.5689227632683</v>
      </c>
      <c r="J13" s="144"/>
      <c r="K13" s="145">
        <f>+I13*12</f>
        <v>109134.82707315922</v>
      </c>
    </row>
    <row r="14" spans="1:11" x14ac:dyDescent="0.2">
      <c r="A14" s="105"/>
      <c r="B14" s="105"/>
      <c r="C14" s="145"/>
      <c r="D14" s="145"/>
      <c r="E14" s="145"/>
      <c r="F14" s="106"/>
      <c r="G14" s="145"/>
      <c r="H14" s="105"/>
      <c r="I14" s="144"/>
      <c r="J14" s="144"/>
      <c r="K14" s="145"/>
    </row>
    <row r="15" spans="1:11" x14ac:dyDescent="0.2">
      <c r="A15" s="105" t="s">
        <v>148</v>
      </c>
      <c r="B15" s="105"/>
      <c r="C15" s="145"/>
      <c r="D15" s="145"/>
      <c r="E15" s="145">
        <f>+E28*E43</f>
        <v>3881.8926900351426</v>
      </c>
      <c r="F15" s="106">
        <f>+F28*F43</f>
        <v>39409.787956731256</v>
      </c>
      <c r="G15" s="145">
        <f>+G28*G43</f>
        <v>3201.4609618965428</v>
      </c>
      <c r="H15" s="105"/>
      <c r="I15" s="144">
        <f>SUM(C15:G15)</f>
        <v>46493.14160866294</v>
      </c>
      <c r="J15" s="144"/>
      <c r="K15" s="145">
        <f>+I15*12</f>
        <v>557917.69930395531</v>
      </c>
    </row>
    <row r="16" spans="1:11" x14ac:dyDescent="0.2">
      <c r="A16" s="105"/>
      <c r="B16" s="105"/>
      <c r="C16" s="145"/>
      <c r="D16" s="145"/>
      <c r="E16" s="145"/>
      <c r="F16" s="106"/>
      <c r="G16" s="145"/>
      <c r="H16" s="105"/>
      <c r="I16" s="144"/>
      <c r="J16" s="144"/>
      <c r="K16" s="145"/>
    </row>
    <row r="17" spans="1:11" x14ac:dyDescent="0.2">
      <c r="A17" s="105" t="s">
        <v>149</v>
      </c>
      <c r="B17" s="105"/>
      <c r="C17" s="145"/>
      <c r="D17" s="145"/>
      <c r="E17" s="145">
        <f>+E28*E45</f>
        <v>1940.9394888030238</v>
      </c>
      <c r="F17" s="106">
        <f>+F28*F45</f>
        <v>3031.5229742544229</v>
      </c>
      <c r="G17" s="145">
        <f>+G28*G45</f>
        <v>17608.029635997707</v>
      </c>
      <c r="H17" s="105"/>
      <c r="I17" s="144">
        <f>SUM(C17:G17)</f>
        <v>22580.492099055155</v>
      </c>
      <c r="J17" s="144"/>
      <c r="K17" s="145">
        <f>+I17*12</f>
        <v>270965.90518866188</v>
      </c>
    </row>
    <row r="18" spans="1:11" x14ac:dyDescent="0.2">
      <c r="A18" s="105"/>
      <c r="B18" s="105"/>
      <c r="C18" s="145"/>
      <c r="D18" s="145"/>
      <c r="E18" s="145"/>
      <c r="F18" s="106"/>
      <c r="G18" s="145"/>
      <c r="H18" s="105"/>
      <c r="I18" s="144"/>
      <c r="J18" s="144"/>
      <c r="K18" s="145"/>
    </row>
    <row r="19" spans="1:11" x14ac:dyDescent="0.2">
      <c r="A19" s="105" t="s">
        <v>150</v>
      </c>
      <c r="B19" s="105"/>
      <c r="C19" s="145">
        <f>+C47*C28</f>
        <v>122566.2476091102</v>
      </c>
      <c r="D19" s="145"/>
      <c r="E19" s="145"/>
      <c r="F19" s="106"/>
      <c r="G19" s="145"/>
      <c r="H19" s="105"/>
      <c r="I19" s="144">
        <f>SUM(C19:G19)</f>
        <v>122566.2476091102</v>
      </c>
      <c r="J19" s="144"/>
      <c r="K19" s="145">
        <f>+I19*12</f>
        <v>1470794.9713093224</v>
      </c>
    </row>
    <row r="20" spans="1:11" x14ac:dyDescent="0.2">
      <c r="A20" s="105"/>
      <c r="B20" s="105"/>
      <c r="C20" s="145"/>
      <c r="D20" s="145"/>
      <c r="E20" s="145"/>
      <c r="F20" s="106"/>
      <c r="G20" s="145"/>
      <c r="H20" s="105"/>
      <c r="I20" s="144"/>
      <c r="J20" s="144"/>
      <c r="K20" s="143"/>
    </row>
    <row r="21" spans="1:11" x14ac:dyDescent="0.2">
      <c r="A21" s="105" t="s">
        <v>151</v>
      </c>
      <c r="B21" s="105"/>
      <c r="C21" s="145"/>
      <c r="D21" s="145">
        <f>8000000/12</f>
        <v>666666.66666666663</v>
      </c>
      <c r="E21" s="145"/>
      <c r="F21" s="106"/>
      <c r="G21" s="145"/>
      <c r="H21" s="105"/>
      <c r="I21" s="144">
        <f>SUM(C21:G21)</f>
        <v>666666.66666666663</v>
      </c>
      <c r="J21" s="144"/>
      <c r="K21" s="145">
        <f>+I21*12</f>
        <v>8000000</v>
      </c>
    </row>
    <row r="22" spans="1:11" x14ac:dyDescent="0.2">
      <c r="A22" s="105"/>
      <c r="B22" s="105"/>
      <c r="C22" s="145"/>
      <c r="D22" s="145"/>
      <c r="E22" s="145"/>
      <c r="F22" s="106"/>
      <c r="G22" s="145"/>
      <c r="H22" s="105"/>
      <c r="I22" s="144"/>
      <c r="J22" s="144"/>
      <c r="K22" s="143"/>
    </row>
    <row r="23" spans="1:11" x14ac:dyDescent="0.2">
      <c r="A23" s="105" t="s">
        <v>152</v>
      </c>
      <c r="B23" s="105"/>
      <c r="C23" s="145">
        <f>+C28*C49</f>
        <v>294990.10000000003</v>
      </c>
      <c r="D23" s="145"/>
      <c r="E23" s="145"/>
      <c r="F23" s="106"/>
      <c r="G23" s="145"/>
      <c r="H23" s="105"/>
      <c r="I23" s="144">
        <f>SUM(C23:G23)</f>
        <v>294990.10000000003</v>
      </c>
      <c r="J23" s="144"/>
      <c r="K23" s="145">
        <f>+I23*12</f>
        <v>3539881.2</v>
      </c>
    </row>
    <row r="24" spans="1:11" ht="13.5" thickBot="1" x14ac:dyDescent="0.25">
      <c r="A24" s="105"/>
      <c r="B24" s="105"/>
      <c r="C24" s="145"/>
      <c r="D24" s="145"/>
      <c r="E24" s="145"/>
      <c r="F24" s="106"/>
      <c r="G24" s="145"/>
      <c r="H24" s="105"/>
      <c r="I24" s="143"/>
      <c r="J24" s="143"/>
      <c r="K24" s="143"/>
    </row>
    <row r="25" spans="1:11" ht="13.5" thickBot="1" x14ac:dyDescent="0.25">
      <c r="A25" s="146" t="s">
        <v>86</v>
      </c>
      <c r="C25" s="147">
        <f>SUM(C7:C24)</f>
        <v>499020.35579434631</v>
      </c>
      <c r="D25" s="147">
        <f>SUM(D7:D24)</f>
        <v>666666.66666666663</v>
      </c>
      <c r="E25" s="147">
        <f>SUM(E9:E17)</f>
        <v>11645.664357676333</v>
      </c>
      <c r="F25" s="148">
        <f>SUM(F7:F17)</f>
        <v>154607.62885267058</v>
      </c>
      <c r="G25" s="147">
        <f>SUM(G9:G17)</f>
        <v>254516.05034540937</v>
      </c>
      <c r="H25" s="149"/>
      <c r="I25" s="150">
        <f>SUM(I7:I23)</f>
        <v>1586456.3660167693</v>
      </c>
      <c r="J25" s="150"/>
      <c r="K25" s="150">
        <f>SUM(K7:K23)</f>
        <v>19037476.39220123</v>
      </c>
    </row>
    <row r="26" spans="1:11" x14ac:dyDescent="0.2">
      <c r="C26" s="104"/>
      <c r="D26" s="104"/>
      <c r="E26" s="104"/>
      <c r="F26" s="104"/>
      <c r="G26" s="104"/>
    </row>
    <row r="27" spans="1:11" x14ac:dyDescent="0.2">
      <c r="C27" s="104"/>
      <c r="D27" s="104"/>
      <c r="E27" s="104"/>
      <c r="F27" s="104"/>
      <c r="G27" s="104"/>
    </row>
    <row r="28" spans="1:11" x14ac:dyDescent="0.2">
      <c r="A28" t="s">
        <v>153</v>
      </c>
      <c r="C28" s="104">
        <v>5899802</v>
      </c>
      <c r="D28" s="104">
        <v>7297279</v>
      </c>
      <c r="E28" s="104">
        <v>1137398</v>
      </c>
      <c r="F28" s="104">
        <v>4131101</v>
      </c>
      <c r="G28" s="104">
        <v>5376804</v>
      </c>
      <c r="K28" s="139"/>
    </row>
    <row r="29" spans="1:11" x14ac:dyDescent="0.2">
      <c r="C29" s="104"/>
      <c r="D29" s="104"/>
      <c r="E29" s="104"/>
      <c r="F29" s="104"/>
      <c r="G29" s="104"/>
    </row>
    <row r="30" spans="1:11" x14ac:dyDescent="0.2">
      <c r="C30" s="104"/>
      <c r="D30" s="104"/>
      <c r="E30" s="104"/>
      <c r="F30" s="104"/>
      <c r="G30" s="104"/>
      <c r="I30" s="104"/>
      <c r="J30" s="104"/>
    </row>
    <row r="31" spans="1:11" x14ac:dyDescent="0.2">
      <c r="C31" s="104"/>
      <c r="D31" s="104"/>
      <c r="E31" s="104"/>
      <c r="F31" s="104"/>
      <c r="G31" s="104"/>
    </row>
    <row r="32" spans="1:11" ht="13.5" thickBot="1" x14ac:dyDescent="0.25">
      <c r="C32" s="104"/>
      <c r="D32" s="104"/>
      <c r="E32" s="104"/>
      <c r="F32" s="104"/>
      <c r="G32" s="104"/>
    </row>
    <row r="33" spans="1:10" ht="13.5" thickBot="1" x14ac:dyDescent="0.25">
      <c r="C33" s="141" t="s">
        <v>137</v>
      </c>
      <c r="D33" s="141" t="s">
        <v>138</v>
      </c>
      <c r="E33" s="141" t="s">
        <v>139</v>
      </c>
      <c r="F33" s="142" t="s">
        <v>140</v>
      </c>
      <c r="G33" s="141" t="s">
        <v>141</v>
      </c>
      <c r="H33" s="142"/>
      <c r="I33" s="141" t="s">
        <v>86</v>
      </c>
      <c r="J33" s="151"/>
    </row>
    <row r="34" spans="1:10" x14ac:dyDescent="0.2">
      <c r="C34" s="143"/>
      <c r="D34" s="143"/>
      <c r="E34" s="143"/>
      <c r="G34" s="143"/>
      <c r="I34" s="144"/>
      <c r="J34" s="152"/>
    </row>
    <row r="35" spans="1:10" x14ac:dyDescent="0.2">
      <c r="A35" s="105" t="s">
        <v>144</v>
      </c>
      <c r="B35" s="105"/>
      <c r="C35" s="153">
        <v>1.3807922398961196E-2</v>
      </c>
      <c r="D35" s="153"/>
      <c r="E35" s="145"/>
      <c r="F35" s="154">
        <v>7.338290454280345E-3</v>
      </c>
      <c r="G35" s="145"/>
      <c r="H35" s="105"/>
      <c r="I35" s="153">
        <v>2.1146212853241541E-2</v>
      </c>
      <c r="J35" s="155"/>
    </row>
    <row r="36" spans="1:10" x14ac:dyDescent="0.2">
      <c r="A36" s="105"/>
      <c r="B36" s="105"/>
      <c r="C36" s="145"/>
      <c r="D36" s="145"/>
      <c r="E36" s="145"/>
      <c r="F36" s="154"/>
      <c r="G36" s="145"/>
      <c r="H36" s="105"/>
      <c r="I36" s="153"/>
      <c r="J36" s="155"/>
    </row>
    <row r="37" spans="1:10" x14ac:dyDescent="0.2">
      <c r="A37" s="105" t="s">
        <v>145</v>
      </c>
      <c r="B37" s="105"/>
      <c r="C37" s="145"/>
      <c r="D37" s="145"/>
      <c r="E37" s="153">
        <v>3.4129589554712974E-3</v>
      </c>
      <c r="F37" s="154">
        <v>1.467658090856069E-2</v>
      </c>
      <c r="G37" s="153">
        <v>3.5129814830277738E-2</v>
      </c>
      <c r="H37" s="105"/>
      <c r="I37" s="153">
        <v>5.3219354694309724E-2</v>
      </c>
      <c r="J37" s="155"/>
    </row>
    <row r="38" spans="1:10" x14ac:dyDescent="0.2">
      <c r="A38" s="105"/>
      <c r="B38" s="105"/>
      <c r="C38" s="145"/>
      <c r="D38" s="145"/>
      <c r="E38" s="145"/>
      <c r="F38" s="154"/>
      <c r="G38" s="153"/>
      <c r="H38" s="105"/>
      <c r="I38" s="153"/>
      <c r="J38" s="155"/>
    </row>
    <row r="39" spans="1:10" x14ac:dyDescent="0.2">
      <c r="A39" s="105" t="s">
        <v>146</v>
      </c>
      <c r="B39" s="105"/>
      <c r="C39" s="145"/>
      <c r="D39" s="145"/>
      <c r="E39" s="153">
        <v>1.706473449753757E-3</v>
      </c>
      <c r="F39" s="154">
        <v>2.9353172185859634E-3</v>
      </c>
      <c r="G39" s="153">
        <v>8.3358870527581955E-3</v>
      </c>
      <c r="H39" s="105"/>
      <c r="I39" s="153">
        <v>1.2977677721097916E-2</v>
      </c>
      <c r="J39" s="155"/>
    </row>
    <row r="40" spans="1:10" x14ac:dyDescent="0.2">
      <c r="A40" s="105"/>
      <c r="B40" s="105"/>
      <c r="C40" s="145"/>
      <c r="D40" s="145"/>
      <c r="E40" s="145"/>
      <c r="F40" s="154"/>
      <c r="G40" s="153"/>
      <c r="H40" s="105"/>
      <c r="I40" s="153"/>
      <c r="J40" s="155"/>
    </row>
    <row r="41" spans="1:10" x14ac:dyDescent="0.2">
      <c r="A41" s="105" t="s">
        <v>147</v>
      </c>
      <c r="B41" s="105"/>
      <c r="C41" s="145"/>
      <c r="D41" s="145"/>
      <c r="E41" s="145"/>
      <c r="F41" s="154">
        <v>2.2014879139394725E-3</v>
      </c>
      <c r="G41" s="153"/>
      <c r="H41" s="105"/>
      <c r="I41" s="153">
        <v>2.2014879139394725E-3</v>
      </c>
      <c r="J41" s="155"/>
    </row>
    <row r="42" spans="1:10" x14ac:dyDescent="0.2">
      <c r="A42" s="105"/>
      <c r="B42" s="105"/>
      <c r="C42" s="145"/>
      <c r="D42" s="145"/>
      <c r="E42" s="145"/>
      <c r="F42" s="154"/>
      <c r="G42" s="153"/>
      <c r="H42" s="105"/>
      <c r="I42" s="153"/>
      <c r="J42" s="155"/>
    </row>
    <row r="43" spans="1:10" x14ac:dyDescent="0.2">
      <c r="A43" s="105" t="s">
        <v>148</v>
      </c>
      <c r="B43" s="105"/>
      <c r="C43" s="145"/>
      <c r="D43" s="145"/>
      <c r="E43" s="153">
        <v>3.4129589554712974E-3</v>
      </c>
      <c r="F43" s="154">
        <v>9.539778368219818E-3</v>
      </c>
      <c r="G43" s="153">
        <v>5.9542080423547947E-4</v>
      </c>
      <c r="H43" s="105"/>
      <c r="I43" s="153">
        <v>1.3548158127926594E-2</v>
      </c>
      <c r="J43" s="155"/>
    </row>
    <row r="44" spans="1:10" x14ac:dyDescent="0.2">
      <c r="A44" s="105"/>
      <c r="B44" s="105"/>
      <c r="C44" s="145"/>
      <c r="D44" s="145"/>
      <c r="E44" s="153"/>
      <c r="F44" s="154"/>
      <c r="G44" s="153"/>
      <c r="H44" s="105"/>
      <c r="I44" s="153"/>
      <c r="J44" s="155"/>
    </row>
    <row r="45" spans="1:10" x14ac:dyDescent="0.2">
      <c r="A45" s="105" t="s">
        <v>149</v>
      </c>
      <c r="B45" s="105"/>
      <c r="C45" s="145"/>
      <c r="D45" s="145"/>
      <c r="E45" s="153">
        <v>1.706473449753757E-3</v>
      </c>
      <c r="F45" s="154">
        <v>7.3382930464649084E-4</v>
      </c>
      <c r="G45" s="153">
        <v>3.274813371660508E-3</v>
      </c>
      <c r="H45" s="105"/>
      <c r="I45" s="153">
        <v>5.7151161260607566E-3</v>
      </c>
      <c r="J45" s="155"/>
    </row>
    <row r="46" spans="1:10" x14ac:dyDescent="0.2">
      <c r="A46" s="105"/>
      <c r="B46" s="105"/>
      <c r="C46" s="145"/>
      <c r="D46" s="145"/>
      <c r="E46" s="153"/>
      <c r="F46" s="154"/>
      <c r="G46" s="153"/>
      <c r="H46" s="105"/>
      <c r="I46" s="153"/>
      <c r="J46" s="155"/>
    </row>
    <row r="47" spans="1:10" x14ac:dyDescent="0.2">
      <c r="A47" s="105" t="s">
        <v>150</v>
      </c>
      <c r="B47" s="105"/>
      <c r="C47" s="153">
        <v>2.0774637455479049E-2</v>
      </c>
      <c r="D47" s="153"/>
      <c r="E47" s="153"/>
      <c r="F47" s="154"/>
      <c r="G47" s="153"/>
      <c r="H47" s="105"/>
      <c r="I47" s="153">
        <v>2.0774637455479049E-2</v>
      </c>
      <c r="J47" s="155"/>
    </row>
    <row r="48" spans="1:10" x14ac:dyDescent="0.2">
      <c r="A48" s="105"/>
      <c r="B48" s="105"/>
      <c r="C48" s="153"/>
      <c r="D48" s="153"/>
      <c r="E48" s="153"/>
      <c r="F48" s="154"/>
      <c r="G48" s="153"/>
      <c r="H48" s="105"/>
      <c r="I48" s="153"/>
      <c r="J48" s="155"/>
    </row>
    <row r="49" spans="1:10" x14ac:dyDescent="0.2">
      <c r="A49" s="105" t="s">
        <v>152</v>
      </c>
      <c r="B49" s="105"/>
      <c r="C49" s="156">
        <v>0.05</v>
      </c>
      <c r="D49" s="156"/>
      <c r="E49" s="153"/>
      <c r="F49" s="154"/>
      <c r="G49" s="153"/>
      <c r="H49" s="105"/>
      <c r="I49" s="153">
        <v>0.05</v>
      </c>
      <c r="J49" s="155"/>
    </row>
    <row r="50" spans="1:10" x14ac:dyDescent="0.2">
      <c r="A50" s="105"/>
      <c r="B50" s="105"/>
      <c r="C50" s="156"/>
      <c r="D50" s="156"/>
      <c r="E50" s="153"/>
      <c r="F50" s="154"/>
      <c r="G50" s="153"/>
      <c r="H50" s="105"/>
      <c r="I50" s="157"/>
      <c r="J50" s="155"/>
    </row>
    <row r="51" spans="1:10" x14ac:dyDescent="0.2">
      <c r="A51" s="105" t="s">
        <v>151</v>
      </c>
      <c r="B51" s="105"/>
      <c r="C51" s="153"/>
      <c r="D51" s="158" t="s">
        <v>154</v>
      </c>
      <c r="E51" s="156"/>
      <c r="F51" s="154"/>
      <c r="G51" s="153"/>
      <c r="H51" s="105"/>
      <c r="I51" s="157"/>
      <c r="J51" s="155"/>
    </row>
    <row r="52" spans="1:10" x14ac:dyDescent="0.2">
      <c r="A52" s="105"/>
      <c r="B52" s="105"/>
      <c r="C52" s="153"/>
      <c r="D52" s="153"/>
      <c r="E52" s="153"/>
      <c r="F52" s="154"/>
      <c r="G52" s="153"/>
      <c r="H52" s="105"/>
      <c r="I52" s="157"/>
      <c r="J52" s="155"/>
    </row>
    <row r="53" spans="1:10" ht="13.5" thickBot="1" x14ac:dyDescent="0.25">
      <c r="A53" s="105"/>
      <c r="B53" s="105"/>
      <c r="C53" s="145"/>
      <c r="D53" s="145"/>
      <c r="E53" s="153"/>
      <c r="F53" s="154"/>
      <c r="G53" s="153"/>
      <c r="H53" s="105"/>
      <c r="I53" s="157"/>
      <c r="J53" s="155"/>
    </row>
    <row r="54" spans="1:10" ht="13.5" thickBot="1" x14ac:dyDescent="0.25">
      <c r="A54" s="146" t="s">
        <v>86</v>
      </c>
      <c r="C54" s="159">
        <f>SUM(C35:C49)</f>
        <v>8.4582559854440242E-2</v>
      </c>
      <c r="D54" s="159"/>
      <c r="E54" s="159">
        <v>1.0238864810450108E-2</v>
      </c>
      <c r="F54" s="160">
        <v>3.7425284168232778E-2</v>
      </c>
      <c r="G54" s="159">
        <v>4.7335936058931917E-2</v>
      </c>
      <c r="H54" s="149"/>
      <c r="I54" s="159">
        <f>SUM(I35:I49)</f>
        <v>0.17958264489205505</v>
      </c>
      <c r="J54" s="155"/>
    </row>
    <row r="55" spans="1:10" x14ac:dyDescent="0.2">
      <c r="C55" s="104"/>
      <c r="D55" s="104"/>
      <c r="E55" s="104"/>
      <c r="F55" s="104"/>
      <c r="G55" s="104"/>
    </row>
    <row r="56" spans="1:10" x14ac:dyDescent="0.2">
      <c r="C56" s="104"/>
      <c r="D56" s="104"/>
      <c r="E56" s="104"/>
      <c r="F56" s="104"/>
      <c r="G56" s="104"/>
    </row>
    <row r="57" spans="1:10" x14ac:dyDescent="0.2">
      <c r="A57" t="s">
        <v>155</v>
      </c>
      <c r="C57" s="104"/>
      <c r="D57" s="104"/>
      <c r="E57" s="104"/>
      <c r="F57" s="104"/>
      <c r="G57" s="104"/>
    </row>
    <row r="58" spans="1:10" x14ac:dyDescent="0.2">
      <c r="C58" s="104"/>
      <c r="D58" s="104"/>
      <c r="E58" s="104"/>
      <c r="F58" s="104"/>
      <c r="G58" s="104"/>
    </row>
    <row r="59" spans="1:10" x14ac:dyDescent="0.2">
      <c r="C59" s="104"/>
      <c r="D59" s="104"/>
      <c r="E59" s="104"/>
      <c r="F59" s="104"/>
      <c r="G59" s="104"/>
    </row>
    <row r="60" spans="1:10" x14ac:dyDescent="0.2">
      <c r="C60" s="104"/>
      <c r="D60" s="104"/>
      <c r="E60" s="104"/>
      <c r="F60" s="104"/>
      <c r="G60" s="104"/>
    </row>
    <row r="61" spans="1:10" x14ac:dyDescent="0.2">
      <c r="C61" s="104"/>
      <c r="D61" s="104"/>
      <c r="E61" s="104"/>
      <c r="F61" s="104"/>
      <c r="G61" s="104"/>
    </row>
    <row r="62" spans="1:10" x14ac:dyDescent="0.2">
      <c r="A62" s="161"/>
      <c r="B62" s="105"/>
      <c r="C62" s="106"/>
      <c r="D62" s="106"/>
      <c r="E62" s="104"/>
      <c r="F62" s="104"/>
      <c r="G62" s="104"/>
    </row>
    <row r="63" spans="1:10" x14ac:dyDescent="0.2">
      <c r="A63" s="161"/>
      <c r="B63" s="105"/>
      <c r="C63" s="106"/>
      <c r="D63" s="106"/>
      <c r="E63" s="104"/>
      <c r="F63" s="104"/>
      <c r="G63" s="104"/>
    </row>
    <row r="64" spans="1:10" x14ac:dyDescent="0.2">
      <c r="A64" s="161"/>
      <c r="B64" s="105"/>
      <c r="C64" s="106"/>
      <c r="D64" s="106"/>
      <c r="E64" s="104"/>
      <c r="F64" s="104"/>
      <c r="G64" s="104"/>
    </row>
    <row r="65" spans="1:7" x14ac:dyDescent="0.2">
      <c r="A65" s="105"/>
      <c r="B65" s="105"/>
      <c r="C65" s="106"/>
      <c r="D65" s="106"/>
      <c r="E65" s="104"/>
      <c r="F65" s="104"/>
      <c r="G65" s="104"/>
    </row>
    <row r="66" spans="1:7" x14ac:dyDescent="0.2">
      <c r="C66" s="104"/>
      <c r="D66" s="104"/>
      <c r="E66" s="104"/>
      <c r="F66" s="104"/>
      <c r="G66" s="104"/>
    </row>
    <row r="67" spans="1:7" x14ac:dyDescent="0.2">
      <c r="C67" s="104"/>
      <c r="D67" s="104"/>
      <c r="E67" s="104"/>
      <c r="F67" s="104"/>
      <c r="G67" s="104"/>
    </row>
    <row r="68" spans="1:7" x14ac:dyDescent="0.2">
      <c r="C68" s="104"/>
      <c r="D68" s="104"/>
      <c r="E68" s="104"/>
      <c r="F68" s="104"/>
      <c r="G68" s="104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G31" sqref="G31"/>
    </sheetView>
  </sheetViews>
  <sheetFormatPr defaultRowHeight="12.75" x14ac:dyDescent="0.2"/>
  <cols>
    <col min="1" max="1" width="33.7109375" customWidth="1"/>
    <col min="2" max="2" width="3.7109375" customWidth="1"/>
    <col min="3" max="3" width="12.5703125" customWidth="1"/>
    <col min="4" max="4" width="1.5703125" customWidth="1"/>
    <col min="5" max="5" width="8.28515625" bestFit="1" customWidth="1"/>
    <col min="6" max="6" width="1.7109375" customWidth="1"/>
    <col min="7" max="7" width="11.28515625" bestFit="1" customWidth="1"/>
    <col min="8" max="8" width="1.7109375" customWidth="1"/>
  </cols>
  <sheetData>
    <row r="1" spans="1:9" ht="15.75" x14ac:dyDescent="0.25">
      <c r="A1" s="162" t="s">
        <v>80</v>
      </c>
      <c r="B1" s="162"/>
      <c r="C1" s="162"/>
      <c r="D1" s="162"/>
      <c r="E1" s="162"/>
      <c r="F1" s="162"/>
      <c r="G1" s="162"/>
      <c r="H1" s="162"/>
      <c r="I1" s="162"/>
    </row>
    <row r="2" spans="1:9" x14ac:dyDescent="0.2">
      <c r="A2" s="163" t="s">
        <v>81</v>
      </c>
      <c r="B2" s="163"/>
      <c r="C2" s="163"/>
      <c r="D2" s="163"/>
      <c r="E2" s="163"/>
      <c r="F2" s="163"/>
      <c r="G2" s="163"/>
      <c r="H2" s="163"/>
      <c r="I2" s="163"/>
    </row>
    <row r="4" spans="1:9" x14ac:dyDescent="0.2">
      <c r="C4" s="164" t="s">
        <v>56</v>
      </c>
      <c r="D4" s="164"/>
      <c r="E4" s="164"/>
      <c r="G4" s="164" t="s">
        <v>57</v>
      </c>
      <c r="H4" s="164"/>
      <c r="I4" s="164"/>
    </row>
    <row r="5" spans="1:9" x14ac:dyDescent="0.2">
      <c r="C5" s="99" t="s">
        <v>58</v>
      </c>
      <c r="D5" s="98"/>
      <c r="E5" s="99" t="s">
        <v>59</v>
      </c>
      <c r="G5" s="99" t="s">
        <v>58</v>
      </c>
      <c r="H5" s="98"/>
      <c r="I5" s="99" t="s">
        <v>59</v>
      </c>
    </row>
    <row r="7" spans="1:9" x14ac:dyDescent="0.2">
      <c r="A7" t="s">
        <v>48</v>
      </c>
      <c r="C7" s="100">
        <v>52651420</v>
      </c>
      <c r="E7" s="109">
        <f>+E28+E31</f>
        <v>0.99999998100715981</v>
      </c>
      <c r="G7" s="100">
        <v>53825780</v>
      </c>
      <c r="I7" s="109">
        <f>+I28+I31</f>
        <v>1</v>
      </c>
    </row>
    <row r="8" spans="1:9" x14ac:dyDescent="0.2">
      <c r="A8" t="s">
        <v>60</v>
      </c>
      <c r="C8" s="100"/>
      <c r="E8" s="109"/>
      <c r="G8" s="100"/>
      <c r="I8" s="109"/>
    </row>
    <row r="9" spans="1:9" x14ac:dyDescent="0.2">
      <c r="A9" t="s">
        <v>61</v>
      </c>
      <c r="C9" s="101">
        <v>6323435.54</v>
      </c>
      <c r="E9" s="109">
        <f>+C9/$C$7</f>
        <v>0.12009999996201431</v>
      </c>
      <c r="G9" s="101">
        <f>3188502.78+237674.88+3040781.52</f>
        <v>6466959.1799999997</v>
      </c>
      <c r="I9" s="109">
        <f>+G9/$G$7</f>
        <v>0.12014613034869165</v>
      </c>
    </row>
    <row r="10" spans="1:9" x14ac:dyDescent="0.2">
      <c r="A10" t="s">
        <v>78</v>
      </c>
      <c r="C10" s="101">
        <v>1300490.07</v>
      </c>
      <c r="E10" s="109">
        <f>+C10/$C$7</f>
        <v>2.4699999924028642E-2</v>
      </c>
      <c r="G10" s="101">
        <v>1328654.74</v>
      </c>
      <c r="I10" s="109">
        <f t="shared" ref="I10:I22" si="0">+G10/$G$7</f>
        <v>2.4684356455215325E-2</v>
      </c>
    </row>
    <row r="11" spans="1:9" x14ac:dyDescent="0.2">
      <c r="A11" t="s">
        <v>79</v>
      </c>
      <c r="C11" s="101">
        <v>305378.24</v>
      </c>
      <c r="E11" s="109">
        <f>+C11/$C$7</f>
        <v>5.8000000759713599E-3</v>
      </c>
      <c r="G11" s="101">
        <v>311661.25</v>
      </c>
      <c r="I11" s="109">
        <f t="shared" si="0"/>
        <v>5.7901854836102697E-3</v>
      </c>
    </row>
    <row r="12" spans="1:9" x14ac:dyDescent="0.2">
      <c r="A12" t="s">
        <v>66</v>
      </c>
      <c r="C12" s="101">
        <v>9020.1107982078356</v>
      </c>
      <c r="E12" s="109">
        <f t="shared" ref="E12:E22" si="1">+C12/$C$7</f>
        <v>1.713175218865481E-4</v>
      </c>
      <c r="G12" s="101">
        <f>9020.11</f>
        <v>9020.11</v>
      </c>
      <c r="I12" s="109">
        <f t="shared" si="0"/>
        <v>1.6757973595552171E-4</v>
      </c>
    </row>
    <row r="13" spans="1:9" x14ac:dyDescent="0.2">
      <c r="A13" t="s">
        <v>63</v>
      </c>
      <c r="C13" s="101">
        <v>979316.41</v>
      </c>
      <c r="E13" s="109">
        <f t="shared" si="1"/>
        <v>1.8599999962014321E-2</v>
      </c>
      <c r="G13" s="101">
        <f>442237.29+557917.7</f>
        <v>1000154.99</v>
      </c>
      <c r="I13" s="109">
        <f t="shared" si="0"/>
        <v>1.8581337604397001E-2</v>
      </c>
    </row>
    <row r="14" spans="1:9" x14ac:dyDescent="0.2">
      <c r="A14" t="s">
        <v>67</v>
      </c>
      <c r="C14" s="103">
        <v>247461.67</v>
      </c>
      <c r="D14" s="105"/>
      <c r="E14" s="109">
        <f t="shared" si="1"/>
        <v>4.6999999240286399E-3</v>
      </c>
      <c r="F14" s="105"/>
      <c r="G14" s="103">
        <f>252662.18</f>
        <v>252662.18</v>
      </c>
      <c r="H14" s="105"/>
      <c r="I14" s="109">
        <f t="shared" si="0"/>
        <v>4.6940737319552082E-3</v>
      </c>
    </row>
    <row r="15" spans="1:9" x14ac:dyDescent="0.2">
      <c r="A15" t="s">
        <v>68</v>
      </c>
      <c r="C15" s="103">
        <v>1358406.63</v>
      </c>
      <c r="E15" s="109">
        <f t="shared" si="1"/>
        <v>2.5799999886042958E-2</v>
      </c>
      <c r="G15" s="103">
        <f>45494.64+1341350.73</f>
        <v>1386845.3699999999</v>
      </c>
      <c r="I15" s="109">
        <f t="shared" si="0"/>
        <v>2.5765448638180439E-2</v>
      </c>
    </row>
    <row r="16" spans="1:9" x14ac:dyDescent="0.2">
      <c r="A16" t="s">
        <v>69</v>
      </c>
      <c r="C16" s="103">
        <v>1200452.3700000001</v>
      </c>
      <c r="E16" s="109">
        <f t="shared" si="1"/>
        <v>2.2799999886042963E-2</v>
      </c>
      <c r="G16" s="103">
        <f>955569.96+270965.91</f>
        <v>1226535.8699999999</v>
      </c>
      <c r="I16" s="109">
        <f t="shared" si="0"/>
        <v>2.278714530472201E-2</v>
      </c>
    </row>
    <row r="17" spans="1:9" x14ac:dyDescent="0.2">
      <c r="A17" t="s">
        <v>70</v>
      </c>
      <c r="C17" s="103">
        <v>117047</v>
      </c>
      <c r="E17" s="109">
        <f t="shared" si="1"/>
        <v>2.2230549527439145E-3</v>
      </c>
      <c r="G17" s="103">
        <f>8402.19+109134.83</f>
        <v>117537.02</v>
      </c>
      <c r="I17" s="109">
        <f t="shared" si="0"/>
        <v>2.1836566046976006E-3</v>
      </c>
    </row>
    <row r="18" spans="1:9" x14ac:dyDescent="0.2">
      <c r="A18" t="s">
        <v>62</v>
      </c>
      <c r="C18" s="103">
        <v>747650.16</v>
      </c>
      <c r="E18" s="109">
        <f t="shared" si="1"/>
        <v>1.419999992402864E-2</v>
      </c>
      <c r="G18" s="103">
        <f>55378.47+706649.55</f>
        <v>762028.02</v>
      </c>
      <c r="I18" s="109">
        <f t="shared" si="0"/>
        <v>1.4157305662825508E-2</v>
      </c>
    </row>
    <row r="19" spans="1:9" x14ac:dyDescent="0.2">
      <c r="A19" t="s">
        <v>71</v>
      </c>
      <c r="C19" s="103">
        <v>7824001.0099999998</v>
      </c>
      <c r="E19" s="109">
        <f t="shared" si="1"/>
        <v>0.14859999996201431</v>
      </c>
      <c r="G19" s="103">
        <v>8000000</v>
      </c>
      <c r="I19" s="109">
        <f t="shared" si="0"/>
        <v>0.14862766503337249</v>
      </c>
    </row>
    <row r="20" spans="1:9" x14ac:dyDescent="0.2">
      <c r="A20" t="s">
        <v>72</v>
      </c>
      <c r="C20" s="103">
        <v>63123.979134454916</v>
      </c>
      <c r="E20" s="109">
        <f t="shared" si="1"/>
        <v>1.198903640860112E-3</v>
      </c>
      <c r="G20" s="103">
        <f>63123.98</f>
        <v>63123.98</v>
      </c>
      <c r="I20" s="109">
        <f t="shared" si="0"/>
        <v>1.172746219376663E-3</v>
      </c>
    </row>
    <row r="21" spans="1:9" x14ac:dyDescent="0.2">
      <c r="A21" t="s">
        <v>77</v>
      </c>
      <c r="C21" s="103">
        <v>0</v>
      </c>
      <c r="E21" s="109">
        <f t="shared" si="1"/>
        <v>0</v>
      </c>
      <c r="G21" s="103">
        <f>3539881.2</f>
        <v>3539881.2</v>
      </c>
      <c r="I21" s="109">
        <f t="shared" si="0"/>
        <v>6.5765534656441582E-2</v>
      </c>
    </row>
    <row r="22" spans="1:9" x14ac:dyDescent="0.2">
      <c r="A22" t="s">
        <v>73</v>
      </c>
      <c r="C22" s="102">
        <f>345000+5007150.04</f>
        <v>5352150.04</v>
      </c>
      <c r="E22" s="109">
        <f t="shared" si="1"/>
        <v>0.10165252978932002</v>
      </c>
      <c r="G22" s="102">
        <f>1470794.97+343995.78+4773660.57</f>
        <v>6588451.3200000003</v>
      </c>
      <c r="I22" s="109">
        <f t="shared" si="0"/>
        <v>0.12240326698470511</v>
      </c>
    </row>
    <row r="23" spans="1:9" x14ac:dyDescent="0.2">
      <c r="C23" s="103"/>
      <c r="E23" s="109"/>
      <c r="G23" s="103"/>
      <c r="I23" s="109"/>
    </row>
    <row r="24" spans="1:9" x14ac:dyDescent="0.2">
      <c r="A24" s="108" t="s">
        <v>74</v>
      </c>
      <c r="C24" s="103">
        <f>SUM(C9:C22)</f>
        <v>25827933.229932666</v>
      </c>
      <c r="E24" s="110">
        <f>SUM(E9:E22)</f>
        <v>0.49054580541099668</v>
      </c>
      <c r="G24" s="103">
        <f>SUM(G9:G22)</f>
        <v>31053515.229999997</v>
      </c>
      <c r="I24" s="110">
        <f>SUM(I9:I22)</f>
        <v>0.57692643246414643</v>
      </c>
    </row>
    <row r="25" spans="1:9" x14ac:dyDescent="0.2">
      <c r="C25" s="103"/>
      <c r="E25" s="110"/>
      <c r="G25" s="103"/>
      <c r="I25" s="110"/>
    </row>
    <row r="26" spans="1:9" x14ac:dyDescent="0.2">
      <c r="A26" t="s">
        <v>75</v>
      </c>
      <c r="C26" s="103">
        <v>18670193.530000001</v>
      </c>
      <c r="E26" s="109">
        <f>+C26/$C$7</f>
        <v>0.35459999996201436</v>
      </c>
      <c r="G26" s="103">
        <v>19083961.190000001</v>
      </c>
      <c r="I26" s="109">
        <f>+G26/$G$7</f>
        <v>0.35455057390715011</v>
      </c>
    </row>
    <row r="27" spans="1:9" x14ac:dyDescent="0.2">
      <c r="C27" s="103"/>
      <c r="E27" s="110"/>
      <c r="G27" s="103"/>
      <c r="I27" s="110"/>
    </row>
    <row r="28" spans="1:9" x14ac:dyDescent="0.2">
      <c r="A28" s="108" t="s">
        <v>64</v>
      </c>
      <c r="C28" s="101">
        <f>+C24+C26</f>
        <v>44498126.759932667</v>
      </c>
      <c r="E28" s="109">
        <f>+E26+E24</f>
        <v>0.84514580537301098</v>
      </c>
      <c r="G28" s="101">
        <f>+G24+G26</f>
        <v>50137476.420000002</v>
      </c>
      <c r="I28" s="109">
        <f>+I24+I26</f>
        <v>0.93147700637129649</v>
      </c>
    </row>
    <row r="29" spans="1:9" x14ac:dyDescent="0.2">
      <c r="C29" s="101"/>
      <c r="E29" s="109"/>
      <c r="G29" s="101"/>
      <c r="I29" s="109"/>
    </row>
    <row r="30" spans="1:9" x14ac:dyDescent="0.2">
      <c r="C30" s="101"/>
      <c r="E30" s="111"/>
      <c r="G30" s="101"/>
      <c r="I30" s="112"/>
    </row>
    <row r="31" spans="1:9" x14ac:dyDescent="0.2">
      <c r="A31" s="108" t="s">
        <v>65</v>
      </c>
      <c r="C31" s="114">
        <f>+C7-C28-1</f>
        <v>8153292.240067333</v>
      </c>
      <c r="E31" s="109">
        <f>+C31/$C$7</f>
        <v>0.15485417563414877</v>
      </c>
      <c r="G31" s="101">
        <f>G7-G28</f>
        <v>3688303.5799999982</v>
      </c>
      <c r="I31" s="109">
        <f>+G31/$G$7</f>
        <v>6.8522993628703538E-2</v>
      </c>
    </row>
    <row r="34" spans="1:4" x14ac:dyDescent="0.2">
      <c r="D34" s="104"/>
    </row>
    <row r="35" spans="1:4" x14ac:dyDescent="0.2">
      <c r="D35" s="104"/>
    </row>
    <row r="36" spans="1:4" x14ac:dyDescent="0.2">
      <c r="D36" s="104"/>
    </row>
    <row r="37" spans="1:4" x14ac:dyDescent="0.2">
      <c r="C37" s="105"/>
      <c r="D37" s="106"/>
    </row>
    <row r="38" spans="1:4" x14ac:dyDescent="0.2">
      <c r="A38" s="104"/>
      <c r="C38" s="107"/>
      <c r="D38" s="106"/>
    </row>
    <row r="39" spans="1:4" x14ac:dyDescent="0.2">
      <c r="A39" s="104"/>
      <c r="C39" s="105"/>
      <c r="D39" s="106"/>
    </row>
    <row r="40" spans="1:4" x14ac:dyDescent="0.2">
      <c r="A40" s="104"/>
      <c r="C40" s="107"/>
      <c r="D40" s="106"/>
    </row>
    <row r="41" spans="1:4" x14ac:dyDescent="0.2">
      <c r="A41" s="104"/>
      <c r="C41" s="105"/>
      <c r="D41" s="106"/>
    </row>
    <row r="42" spans="1:4" x14ac:dyDescent="0.2">
      <c r="A42" s="104"/>
      <c r="C42" s="105"/>
      <c r="D42" s="106"/>
    </row>
    <row r="43" spans="1:4" x14ac:dyDescent="0.2">
      <c r="A43" s="104"/>
      <c r="C43" s="105"/>
      <c r="D43" s="106"/>
    </row>
    <row r="44" spans="1:4" x14ac:dyDescent="0.2">
      <c r="A44" s="104"/>
      <c r="C44" s="105"/>
      <c r="D44" s="106"/>
    </row>
    <row r="45" spans="1:4" x14ac:dyDescent="0.2">
      <c r="A45" s="104"/>
      <c r="C45" s="105"/>
      <c r="D45" s="106"/>
    </row>
    <row r="46" spans="1:4" x14ac:dyDescent="0.2">
      <c r="A46" s="104"/>
      <c r="C46" s="105"/>
      <c r="D46" s="105"/>
    </row>
    <row r="47" spans="1:4" x14ac:dyDescent="0.2">
      <c r="A47" s="104"/>
    </row>
    <row r="48" spans="1:4" x14ac:dyDescent="0.2">
      <c r="A48" s="104"/>
    </row>
    <row r="49" spans="1:1" x14ac:dyDescent="0.2">
      <c r="A49" s="104"/>
    </row>
    <row r="50" spans="1:1" x14ac:dyDescent="0.2">
      <c r="A50" s="104"/>
    </row>
  </sheetData>
  <mergeCells count="4">
    <mergeCell ref="A1:I1"/>
    <mergeCell ref="A2:I2"/>
    <mergeCell ref="C4:E4"/>
    <mergeCell ref="G4:I4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44"/>
  <sheetViews>
    <sheetView tabSelected="1" topLeftCell="A33" workbookViewId="0">
      <selection activeCell="K59" sqref="K59"/>
    </sheetView>
  </sheetViews>
  <sheetFormatPr defaultRowHeight="12.75" outlineLevelRow="1" x14ac:dyDescent="0.2"/>
  <cols>
    <col min="1" max="1" width="3.7109375" style="1" customWidth="1"/>
    <col min="2" max="2" width="2.5703125" style="1" customWidth="1"/>
    <col min="3" max="3" width="52" style="1" customWidth="1"/>
    <col min="4" max="4" width="2.5703125" style="1" hidden="1" customWidth="1"/>
    <col min="5" max="5" width="12.5703125" style="1" hidden="1" customWidth="1"/>
    <col min="6" max="6" width="2.5703125" style="1" hidden="1" customWidth="1"/>
    <col min="7" max="7" width="12.5703125" style="1" hidden="1" customWidth="1"/>
    <col min="8" max="8" width="2.5703125" style="1" customWidth="1"/>
    <col min="9" max="9" width="14.28515625" style="1" customWidth="1"/>
    <col min="10" max="10" width="2.5703125" style="1" customWidth="1"/>
    <col min="11" max="11" width="13" style="1" customWidth="1"/>
    <col min="12" max="12" width="2.5703125" style="1" customWidth="1"/>
    <col min="13" max="13" width="15.85546875" style="1" customWidth="1"/>
    <col min="14" max="14" width="7.42578125" style="1" customWidth="1"/>
    <col min="15" max="15" width="23.42578125" style="1" customWidth="1"/>
    <col min="16" max="16384" width="9.140625" style="1"/>
  </cols>
  <sheetData>
    <row r="1" spans="1:15" ht="9.75" customHeight="1" thickBo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2" spans="1:15" ht="9" customHeight="1" thickBot="1" x14ac:dyDescent="0.25">
      <c r="A2" s="6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10"/>
    </row>
    <row r="3" spans="1:15" customFormat="1" ht="28.5" customHeight="1" thickBot="1" x14ac:dyDescent="0.25">
      <c r="A3" s="11"/>
      <c r="B3" s="165" t="s">
        <v>4</v>
      </c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7"/>
    </row>
    <row r="4" spans="1:15" customFormat="1" ht="9" customHeight="1" thickBot="1" x14ac:dyDescent="0.25">
      <c r="A4" s="11"/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</row>
    <row r="5" spans="1:15" customFormat="1" ht="15" customHeight="1" thickBot="1" x14ac:dyDescent="0.25">
      <c r="A5" s="11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5" x14ac:dyDescent="0.2">
      <c r="A6" s="6"/>
      <c r="B6" s="16"/>
      <c r="C6" s="17"/>
      <c r="D6" s="16"/>
      <c r="E6" s="18">
        <v>2001</v>
      </c>
      <c r="F6" s="19"/>
      <c r="G6" s="18">
        <v>2001</v>
      </c>
      <c r="H6" s="16"/>
      <c r="I6" s="18">
        <v>2001</v>
      </c>
      <c r="J6" s="19"/>
      <c r="K6" s="18">
        <v>2002</v>
      </c>
      <c r="L6" s="17"/>
      <c r="M6" s="20" t="s">
        <v>5</v>
      </c>
    </row>
    <row r="7" spans="1:15" ht="13.5" thickBot="1" x14ac:dyDescent="0.25">
      <c r="A7" s="6"/>
      <c r="B7" s="21"/>
      <c r="C7" s="22"/>
      <c r="D7" s="21"/>
      <c r="E7" s="23" t="s">
        <v>6</v>
      </c>
      <c r="F7" s="24"/>
      <c r="G7" s="23" t="s">
        <v>7</v>
      </c>
      <c r="H7" s="21"/>
      <c r="I7" s="23" t="s">
        <v>7</v>
      </c>
      <c r="J7" s="24"/>
      <c r="K7" s="23" t="s">
        <v>0</v>
      </c>
      <c r="L7" s="22"/>
      <c r="M7" s="25" t="s">
        <v>8</v>
      </c>
    </row>
    <row r="8" spans="1:15" ht="16.5" customHeight="1" thickBot="1" x14ac:dyDescent="0.25">
      <c r="A8" s="6"/>
      <c r="B8" s="26"/>
      <c r="C8" s="27"/>
      <c r="D8" s="28"/>
      <c r="E8" s="29" t="s">
        <v>9</v>
      </c>
      <c r="F8" s="30"/>
      <c r="G8" s="31" t="s">
        <v>10</v>
      </c>
      <c r="H8" s="28"/>
      <c r="I8" s="32"/>
      <c r="J8" s="30"/>
      <c r="K8" s="33"/>
      <c r="L8" s="34"/>
      <c r="M8" s="35"/>
    </row>
    <row r="9" spans="1:15" s="2" customFormat="1" ht="15.75" customHeight="1" thickBot="1" x14ac:dyDescent="0.25">
      <c r="A9" s="6"/>
      <c r="B9" s="36" t="s">
        <v>11</v>
      </c>
      <c r="C9" s="37"/>
      <c r="D9" s="26"/>
      <c r="E9" s="38"/>
      <c r="F9" s="7"/>
      <c r="G9" s="39"/>
      <c r="H9" s="26"/>
      <c r="I9" s="40"/>
      <c r="J9" s="7"/>
      <c r="K9" s="38"/>
      <c r="L9" s="41"/>
      <c r="M9" s="42"/>
    </row>
    <row r="10" spans="1:15" x14ac:dyDescent="0.2">
      <c r="A10" s="6"/>
      <c r="B10" s="26"/>
      <c r="C10" s="41"/>
      <c r="D10" s="26"/>
      <c r="E10" s="38"/>
      <c r="F10" s="7"/>
      <c r="G10" s="43"/>
      <c r="H10" s="26"/>
      <c r="I10" s="44"/>
      <c r="J10" s="7"/>
      <c r="K10" s="44"/>
      <c r="L10" s="41"/>
      <c r="M10" s="45"/>
    </row>
    <row r="11" spans="1:15" s="3" customFormat="1" ht="15" x14ac:dyDescent="0.25">
      <c r="A11" s="46"/>
      <c r="B11" s="47"/>
      <c r="C11" s="48" t="s">
        <v>12</v>
      </c>
      <c r="D11" s="47"/>
      <c r="E11" s="49">
        <f>9726378+308479+32071</f>
        <v>10066928</v>
      </c>
      <c r="F11" s="50"/>
      <c r="G11" s="49">
        <f>+E11/7*5</f>
        <v>7190662.8571428563</v>
      </c>
      <c r="H11" s="51"/>
      <c r="I11" s="50">
        <f>+E11+G11</f>
        <v>17257590.857142858</v>
      </c>
      <c r="J11" s="50"/>
      <c r="K11" s="49">
        <f>15579658+2820671</f>
        <v>18400329</v>
      </c>
      <c r="L11" s="48"/>
      <c r="M11" s="52">
        <f>(-K11+I11)</f>
        <v>-1142738.1428571418</v>
      </c>
      <c r="N11" s="97">
        <f>+M11/K11</f>
        <v>-6.2104223400415381E-2</v>
      </c>
      <c r="O11" s="6" t="s">
        <v>76</v>
      </c>
    </row>
    <row r="12" spans="1:15" s="3" customFormat="1" ht="15" x14ac:dyDescent="0.25">
      <c r="A12" s="46"/>
      <c r="B12" s="47"/>
      <c r="C12" s="48" t="s">
        <v>13</v>
      </c>
      <c r="D12" s="47"/>
      <c r="E12" s="50">
        <f>SUM(E13:E21)</f>
        <v>375559</v>
      </c>
      <c r="F12" s="50"/>
      <c r="G12" s="50">
        <f>SUM(G13:G21)</f>
        <v>337130.42857142852</v>
      </c>
      <c r="H12" s="51"/>
      <c r="I12" s="50">
        <f>+E12+G12</f>
        <v>712689.42857142852</v>
      </c>
      <c r="J12" s="50"/>
      <c r="K12" s="50">
        <f>SUM(K13:K21)</f>
        <v>802644</v>
      </c>
      <c r="L12" s="48"/>
      <c r="M12" s="52">
        <f t="shared" ref="M12:M52" si="0">(-K12+I12)</f>
        <v>-89954.571428571478</v>
      </c>
      <c r="N12" s="97"/>
    </row>
    <row r="13" spans="1:15" s="4" customFormat="1" ht="12" outlineLevel="1" x14ac:dyDescent="0.2">
      <c r="A13" s="6"/>
      <c r="B13" s="26"/>
      <c r="C13" s="41" t="s">
        <v>14</v>
      </c>
      <c r="D13" s="26"/>
      <c r="E13" s="53">
        <v>0</v>
      </c>
      <c r="F13" s="38"/>
      <c r="G13" s="49">
        <f t="shared" ref="G13:G36" si="1">+E13/7*5</f>
        <v>0</v>
      </c>
      <c r="H13" s="54"/>
      <c r="I13" s="38">
        <f>+E13+G13</f>
        <v>0</v>
      </c>
      <c r="J13" s="38"/>
      <c r="K13" s="53">
        <v>0</v>
      </c>
      <c r="L13" s="41"/>
      <c r="M13" s="55">
        <f t="shared" si="0"/>
        <v>0</v>
      </c>
      <c r="N13" s="97"/>
    </row>
    <row r="14" spans="1:15" s="4" customFormat="1" ht="12" outlineLevel="1" x14ac:dyDescent="0.2">
      <c r="A14" s="6"/>
      <c r="B14" s="26"/>
      <c r="C14" s="41" t="s">
        <v>15</v>
      </c>
      <c r="D14" s="26"/>
      <c r="E14" s="53">
        <v>84636</v>
      </c>
      <c r="F14" s="7"/>
      <c r="G14" s="49">
        <f>+E14/7*5+19706+20000</f>
        <v>100160.28571428571</v>
      </c>
      <c r="H14" s="26"/>
      <c r="I14" s="38">
        <f t="shared" ref="I14:I21" si="2">+E14+G14</f>
        <v>184796.28571428571</v>
      </c>
      <c r="J14" s="7"/>
      <c r="K14" s="53">
        <v>220404</v>
      </c>
      <c r="L14" s="41"/>
      <c r="M14" s="55">
        <f t="shared" si="0"/>
        <v>-35607.71428571429</v>
      </c>
      <c r="N14" s="97"/>
    </row>
    <row r="15" spans="1:15" s="4" customFormat="1" ht="12" outlineLevel="1" x14ac:dyDescent="0.2">
      <c r="A15" s="6"/>
      <c r="B15" s="26"/>
      <c r="C15" s="41" t="s">
        <v>16</v>
      </c>
      <c r="D15" s="26"/>
      <c r="E15" s="53">
        <v>0</v>
      </c>
      <c r="F15" s="7"/>
      <c r="G15" s="49">
        <f t="shared" si="1"/>
        <v>0</v>
      </c>
      <c r="H15" s="26"/>
      <c r="I15" s="38">
        <f t="shared" si="2"/>
        <v>0</v>
      </c>
      <c r="J15" s="7"/>
      <c r="K15" s="53">
        <v>0</v>
      </c>
      <c r="L15" s="41"/>
      <c r="M15" s="55">
        <f t="shared" si="0"/>
        <v>0</v>
      </c>
      <c r="N15" s="97"/>
    </row>
    <row r="16" spans="1:15" s="4" customFormat="1" ht="12" outlineLevel="1" x14ac:dyDescent="0.2">
      <c r="A16" s="6"/>
      <c r="B16" s="26"/>
      <c r="C16" s="41" t="s">
        <v>17</v>
      </c>
      <c r="D16" s="26"/>
      <c r="E16" s="53">
        <v>0</v>
      </c>
      <c r="F16" s="7"/>
      <c r="G16" s="49">
        <f t="shared" si="1"/>
        <v>0</v>
      </c>
      <c r="H16" s="26"/>
      <c r="I16" s="38">
        <f t="shared" si="2"/>
        <v>0</v>
      </c>
      <c r="J16" s="7"/>
      <c r="K16" s="53">
        <v>0</v>
      </c>
      <c r="L16" s="41"/>
      <c r="M16" s="55">
        <f t="shared" si="0"/>
        <v>0</v>
      </c>
      <c r="N16" s="97"/>
    </row>
    <row r="17" spans="1:15" s="4" customFormat="1" ht="12" outlineLevel="1" x14ac:dyDescent="0.2">
      <c r="A17" s="6"/>
      <c r="B17" s="26"/>
      <c r="C17" s="41" t="s">
        <v>18</v>
      </c>
      <c r="D17" s="26"/>
      <c r="E17" s="53">
        <f>126073+865</f>
        <v>126938</v>
      </c>
      <c r="F17" s="38"/>
      <c r="G17" s="49">
        <f>+E17/7*5+9896+880</f>
        <v>101446</v>
      </c>
      <c r="H17" s="54"/>
      <c r="I17" s="38">
        <f t="shared" si="2"/>
        <v>228384</v>
      </c>
      <c r="J17" s="38"/>
      <c r="K17" s="53">
        <v>261072</v>
      </c>
      <c r="L17" s="41"/>
      <c r="M17" s="55">
        <f t="shared" si="0"/>
        <v>-32688</v>
      </c>
      <c r="N17" s="97"/>
    </row>
    <row r="18" spans="1:15" s="4" customFormat="1" ht="12" outlineLevel="1" x14ac:dyDescent="0.2">
      <c r="A18" s="6"/>
      <c r="B18" s="26"/>
      <c r="C18" s="41" t="s">
        <v>19</v>
      </c>
      <c r="D18" s="26"/>
      <c r="E18" s="53">
        <f>97688+8144</f>
        <v>105832</v>
      </c>
      <c r="F18" s="38"/>
      <c r="G18" s="49">
        <f>+E18/7*5+6796+5000</f>
        <v>87390.28571428571</v>
      </c>
      <c r="H18" s="54"/>
      <c r="I18" s="38">
        <f t="shared" si="2"/>
        <v>193222.28571428571</v>
      </c>
      <c r="J18" s="38"/>
      <c r="K18" s="53">
        <f>190068+14400</f>
        <v>204468</v>
      </c>
      <c r="L18" s="41"/>
      <c r="M18" s="55">
        <f t="shared" si="0"/>
        <v>-11245.71428571429</v>
      </c>
      <c r="N18" s="97"/>
    </row>
    <row r="19" spans="1:15" s="4" customFormat="1" ht="12" outlineLevel="1" x14ac:dyDescent="0.2">
      <c r="A19" s="6"/>
      <c r="B19" s="26"/>
      <c r="C19" s="41" t="s">
        <v>20</v>
      </c>
      <c r="D19" s="26"/>
      <c r="E19" s="53">
        <v>0</v>
      </c>
      <c r="F19" s="38"/>
      <c r="G19" s="49">
        <f t="shared" si="1"/>
        <v>0</v>
      </c>
      <c r="H19" s="54"/>
      <c r="I19" s="38">
        <f t="shared" si="2"/>
        <v>0</v>
      </c>
      <c r="J19" s="38"/>
      <c r="K19" s="53">
        <v>0</v>
      </c>
      <c r="L19" s="41"/>
      <c r="M19" s="55">
        <f t="shared" si="0"/>
        <v>0</v>
      </c>
      <c r="N19" s="97"/>
    </row>
    <row r="20" spans="1:15" s="4" customFormat="1" ht="12" outlineLevel="1" x14ac:dyDescent="0.2">
      <c r="A20" s="6"/>
      <c r="B20" s="26"/>
      <c r="C20" s="41" t="s">
        <v>21</v>
      </c>
      <c r="D20" s="26"/>
      <c r="E20" s="53">
        <f>48663+226</f>
        <v>48889</v>
      </c>
      <c r="F20" s="38"/>
      <c r="G20" s="49">
        <f>+E20/7*5+5074+1028</f>
        <v>41022.714285714283</v>
      </c>
      <c r="H20" s="54"/>
      <c r="I20" s="38">
        <f t="shared" si="2"/>
        <v>89911.71428571429</v>
      </c>
      <c r="J20" s="38"/>
      <c r="K20" s="53">
        <v>101232</v>
      </c>
      <c r="L20" s="41"/>
      <c r="M20" s="55">
        <f t="shared" si="0"/>
        <v>-11320.28571428571</v>
      </c>
      <c r="N20" s="97"/>
    </row>
    <row r="21" spans="1:15" s="4" customFormat="1" ht="12" outlineLevel="1" x14ac:dyDescent="0.2">
      <c r="A21" s="6"/>
      <c r="B21" s="26"/>
      <c r="C21" s="41" t="s">
        <v>22</v>
      </c>
      <c r="D21" s="26"/>
      <c r="E21" s="53">
        <v>9264</v>
      </c>
      <c r="F21" s="38"/>
      <c r="G21" s="49">
        <f>+E21/7*5+224+270</f>
        <v>7111.1428571428569</v>
      </c>
      <c r="H21" s="54"/>
      <c r="I21" s="38">
        <f t="shared" si="2"/>
        <v>16375.142857142857</v>
      </c>
      <c r="J21" s="38"/>
      <c r="K21" s="53">
        <f>15468</f>
        <v>15468</v>
      </c>
      <c r="L21" s="41"/>
      <c r="M21" s="55">
        <f t="shared" si="0"/>
        <v>907.14285714285688</v>
      </c>
      <c r="N21" s="97"/>
    </row>
    <row r="22" spans="1:15" s="3" customFormat="1" ht="15" x14ac:dyDescent="0.25">
      <c r="A22" s="46"/>
      <c r="B22" s="47"/>
      <c r="C22" s="48" t="s">
        <v>23</v>
      </c>
      <c r="D22" s="47"/>
      <c r="E22" s="50">
        <v>617813</v>
      </c>
      <c r="F22" s="50"/>
      <c r="G22" s="50">
        <f>SUM(G23:G26)</f>
        <v>453535</v>
      </c>
      <c r="H22" s="47"/>
      <c r="I22" s="50">
        <f>+E22+G22</f>
        <v>1071348</v>
      </c>
      <c r="J22" s="56"/>
      <c r="K22" s="50">
        <f>SUM(K23:K26)</f>
        <v>1097316</v>
      </c>
      <c r="L22" s="48"/>
      <c r="M22" s="52">
        <f t="shared" si="0"/>
        <v>-25968</v>
      </c>
      <c r="N22" s="97"/>
    </row>
    <row r="23" spans="1:15" s="4" customFormat="1" ht="12" outlineLevel="1" x14ac:dyDescent="0.2">
      <c r="A23" s="6"/>
      <c r="B23" s="26"/>
      <c r="C23" s="41" t="s">
        <v>24</v>
      </c>
      <c r="D23" s="26"/>
      <c r="E23" s="53">
        <v>308906.5</v>
      </c>
      <c r="F23" s="38"/>
      <c r="G23" s="49">
        <f>+E23/7*5+8126+4114</f>
        <v>232887.5</v>
      </c>
      <c r="H23" s="54"/>
      <c r="I23" s="38">
        <f>+E23+G23</f>
        <v>541794</v>
      </c>
      <c r="J23" s="38"/>
      <c r="K23" s="53">
        <v>558924</v>
      </c>
      <c r="L23" s="41"/>
      <c r="M23" s="55">
        <f t="shared" si="0"/>
        <v>-17130</v>
      </c>
      <c r="N23" s="97"/>
    </row>
    <row r="24" spans="1:15" s="4" customFormat="1" ht="12" outlineLevel="1" x14ac:dyDescent="0.2">
      <c r="A24" s="6"/>
      <c r="B24" s="26"/>
      <c r="C24" s="41" t="s">
        <v>25</v>
      </c>
      <c r="D24" s="26"/>
      <c r="E24" s="53">
        <v>185343.9</v>
      </c>
      <c r="F24" s="38"/>
      <c r="G24" s="49">
        <f t="shared" si="1"/>
        <v>132388.5</v>
      </c>
      <c r="H24" s="54"/>
      <c r="I24" s="38">
        <f>+E24+G24</f>
        <v>317732.40000000002</v>
      </c>
      <c r="J24" s="38"/>
      <c r="K24" s="53">
        <v>322716</v>
      </c>
      <c r="L24" s="41"/>
      <c r="M24" s="55">
        <f t="shared" si="0"/>
        <v>-4983.5999999999767</v>
      </c>
      <c r="N24" s="97"/>
    </row>
    <row r="25" spans="1:15" s="4" customFormat="1" ht="12" outlineLevel="1" x14ac:dyDescent="0.2">
      <c r="A25" s="6"/>
      <c r="B25" s="26"/>
      <c r="C25" s="41" t="s">
        <v>26</v>
      </c>
      <c r="D25" s="26"/>
      <c r="E25" s="53">
        <v>92671.95</v>
      </c>
      <c r="F25" s="38"/>
      <c r="G25" s="49">
        <f t="shared" si="1"/>
        <v>66194.25</v>
      </c>
      <c r="H25" s="54"/>
      <c r="I25" s="38">
        <f>+E25+G25</f>
        <v>158866.20000000001</v>
      </c>
      <c r="J25" s="38"/>
      <c r="K25" s="53">
        <v>161388</v>
      </c>
      <c r="L25" s="41"/>
      <c r="M25" s="55">
        <f t="shared" si="0"/>
        <v>-2521.7999999999884</v>
      </c>
      <c r="N25" s="97"/>
    </row>
    <row r="26" spans="1:15" s="4" customFormat="1" ht="12" outlineLevel="1" x14ac:dyDescent="0.2">
      <c r="A26" s="6"/>
      <c r="B26" s="26"/>
      <c r="C26" s="41" t="s">
        <v>27</v>
      </c>
      <c r="D26" s="26"/>
      <c r="E26" s="53">
        <v>30890.65</v>
      </c>
      <c r="F26" s="7"/>
      <c r="G26" s="49">
        <f t="shared" si="1"/>
        <v>22064.75</v>
      </c>
      <c r="H26" s="26"/>
      <c r="I26" s="38">
        <f>+E26+G26</f>
        <v>52955.4</v>
      </c>
      <c r="J26" s="7"/>
      <c r="K26" s="53">
        <v>54288</v>
      </c>
      <c r="L26" s="41"/>
      <c r="M26" s="55">
        <f t="shared" si="0"/>
        <v>-1332.5999999999985</v>
      </c>
      <c r="N26" s="97"/>
    </row>
    <row r="27" spans="1:15" s="4" customFormat="1" ht="12" outlineLevel="1" x14ac:dyDescent="0.2">
      <c r="A27" s="6"/>
      <c r="B27" s="26"/>
      <c r="C27" s="41" t="s">
        <v>28</v>
      </c>
      <c r="D27" s="26"/>
      <c r="E27" s="53">
        <v>28774.799999999999</v>
      </c>
      <c r="F27" s="7"/>
      <c r="G27" s="49">
        <f t="shared" si="1"/>
        <v>20553.428571428572</v>
      </c>
      <c r="H27" s="26"/>
      <c r="I27" s="38">
        <f t="shared" ref="I27:I50" si="3">+E27+G27</f>
        <v>49328.228571428568</v>
      </c>
      <c r="J27" s="7"/>
      <c r="K27" s="53">
        <f>52812</f>
        <v>52812</v>
      </c>
      <c r="L27" s="41"/>
      <c r="M27" s="55">
        <f t="shared" si="0"/>
        <v>-3483.7714285714319</v>
      </c>
      <c r="N27" s="97"/>
    </row>
    <row r="28" spans="1:15" s="4" customFormat="1" ht="12" outlineLevel="1" x14ac:dyDescent="0.2">
      <c r="A28" s="6"/>
      <c r="B28" s="26"/>
      <c r="C28" s="41" t="s">
        <v>29</v>
      </c>
      <c r="D28" s="26"/>
      <c r="E28" s="53">
        <v>0</v>
      </c>
      <c r="F28" s="38"/>
      <c r="G28" s="49">
        <f t="shared" si="1"/>
        <v>0</v>
      </c>
      <c r="H28" s="54"/>
      <c r="I28" s="38">
        <f t="shared" si="3"/>
        <v>0</v>
      </c>
      <c r="J28" s="38"/>
      <c r="K28" s="53">
        <v>0</v>
      </c>
      <c r="L28" s="41"/>
      <c r="M28" s="55">
        <f t="shared" si="0"/>
        <v>0</v>
      </c>
      <c r="N28" s="97"/>
      <c r="O28" s="6"/>
    </row>
    <row r="29" spans="1:15" s="3" customFormat="1" ht="15" x14ac:dyDescent="0.25">
      <c r="A29" s="46"/>
      <c r="B29" s="47"/>
      <c r="C29" s="48" t="s">
        <v>30</v>
      </c>
      <c r="D29" s="47"/>
      <c r="E29" s="50">
        <v>209400</v>
      </c>
      <c r="F29" s="56"/>
      <c r="G29" s="50">
        <f>SUM(G30:G31)</f>
        <v>149571.42857142855</v>
      </c>
      <c r="H29" s="47"/>
      <c r="I29" s="50">
        <f t="shared" si="3"/>
        <v>358971.42857142852</v>
      </c>
      <c r="J29" s="56"/>
      <c r="K29" s="50">
        <f>SUM(K30:K31)</f>
        <v>0</v>
      </c>
      <c r="L29" s="48"/>
      <c r="M29" s="52">
        <f t="shared" si="0"/>
        <v>358971.42857142852</v>
      </c>
      <c r="N29" s="97"/>
      <c r="O29" s="6" t="s">
        <v>55</v>
      </c>
    </row>
    <row r="30" spans="1:15" s="4" customFormat="1" ht="12" outlineLevel="1" x14ac:dyDescent="0.2">
      <c r="A30" s="6"/>
      <c r="B30" s="26"/>
      <c r="C30" s="41" t="s">
        <v>31</v>
      </c>
      <c r="D30" s="26"/>
      <c r="E30" s="53">
        <v>102</v>
      </c>
      <c r="F30" s="7"/>
      <c r="G30" s="49">
        <f t="shared" si="1"/>
        <v>72.857142857142861</v>
      </c>
      <c r="H30" s="26"/>
      <c r="I30" s="38">
        <f t="shared" si="3"/>
        <v>174.85714285714286</v>
      </c>
      <c r="J30" s="7"/>
      <c r="K30" s="53">
        <v>0</v>
      </c>
      <c r="L30" s="41"/>
      <c r="M30" s="55">
        <f t="shared" si="0"/>
        <v>174.85714285714286</v>
      </c>
      <c r="N30" s="97"/>
    </row>
    <row r="31" spans="1:15" s="4" customFormat="1" ht="12" outlineLevel="1" x14ac:dyDescent="0.2">
      <c r="A31" s="6"/>
      <c r="B31" s="26"/>
      <c r="C31" s="41" t="s">
        <v>32</v>
      </c>
      <c r="D31" s="26"/>
      <c r="E31" s="53">
        <v>209298</v>
      </c>
      <c r="F31" s="38"/>
      <c r="G31" s="49">
        <f t="shared" si="1"/>
        <v>149498.57142857142</v>
      </c>
      <c r="H31" s="54"/>
      <c r="I31" s="38">
        <f t="shared" si="3"/>
        <v>358796.57142857142</v>
      </c>
      <c r="J31" s="38"/>
      <c r="K31" s="53">
        <v>0</v>
      </c>
      <c r="L31" s="41"/>
      <c r="M31" s="55">
        <f t="shared" si="0"/>
        <v>358796.57142857142</v>
      </c>
      <c r="N31" s="97"/>
    </row>
    <row r="32" spans="1:15" s="3" customFormat="1" ht="15" x14ac:dyDescent="0.25">
      <c r="A32" s="46"/>
      <c r="B32" s="47"/>
      <c r="C32" s="48" t="s">
        <v>33</v>
      </c>
      <c r="D32" s="47"/>
      <c r="E32" s="50">
        <v>909330</v>
      </c>
      <c r="F32" s="56"/>
      <c r="G32" s="50">
        <f>SUM(G33:G38)</f>
        <v>769792.42857142852</v>
      </c>
      <c r="H32" s="47"/>
      <c r="I32" s="50">
        <f t="shared" si="3"/>
        <v>1679122.4285714286</v>
      </c>
      <c r="J32" s="56"/>
      <c r="K32" s="50">
        <f>SUM(K33:K38)</f>
        <v>1871612</v>
      </c>
      <c r="L32" s="48"/>
      <c r="M32" s="52">
        <f t="shared" si="0"/>
        <v>-192489.57142857136</v>
      </c>
      <c r="N32" s="97"/>
    </row>
    <row r="33" spans="1:15" s="4" customFormat="1" ht="12" outlineLevel="1" x14ac:dyDescent="0.2">
      <c r="A33" s="6"/>
      <c r="B33" s="26"/>
      <c r="C33" s="41" t="s">
        <v>34</v>
      </c>
      <c r="D33" s="26"/>
      <c r="E33" s="53">
        <v>4349</v>
      </c>
      <c r="F33" s="7"/>
      <c r="G33" s="49">
        <f t="shared" si="1"/>
        <v>3106.4285714285716</v>
      </c>
      <c r="H33" s="26"/>
      <c r="I33" s="38">
        <f t="shared" si="3"/>
        <v>7455.4285714285716</v>
      </c>
      <c r="J33" s="7"/>
      <c r="K33" s="53">
        <f>9360</f>
        <v>9360</v>
      </c>
      <c r="L33" s="41"/>
      <c r="M33" s="55">
        <f t="shared" si="0"/>
        <v>-1904.5714285714284</v>
      </c>
      <c r="N33" s="97"/>
    </row>
    <row r="34" spans="1:15" s="4" customFormat="1" ht="12" outlineLevel="1" x14ac:dyDescent="0.2">
      <c r="A34" s="6"/>
      <c r="B34" s="26"/>
      <c r="C34" s="41" t="s">
        <v>35</v>
      </c>
      <c r="D34" s="26"/>
      <c r="E34" s="53">
        <v>65906</v>
      </c>
      <c r="F34" s="7"/>
      <c r="G34" s="49">
        <f>+E34/7*5+5198+3455</f>
        <v>55728.714285714283</v>
      </c>
      <c r="H34" s="26"/>
      <c r="I34" s="38">
        <f t="shared" si="3"/>
        <v>121634.71428571429</v>
      </c>
      <c r="J34" s="7"/>
      <c r="K34" s="53">
        <v>133296</v>
      </c>
      <c r="L34" s="41"/>
      <c r="M34" s="55">
        <f t="shared" si="0"/>
        <v>-11661.28571428571</v>
      </c>
      <c r="N34" s="97"/>
    </row>
    <row r="35" spans="1:15" s="4" customFormat="1" ht="12" outlineLevel="1" x14ac:dyDescent="0.2">
      <c r="A35" s="6"/>
      <c r="B35" s="26"/>
      <c r="C35" s="41" t="s">
        <v>36</v>
      </c>
      <c r="D35" s="26"/>
      <c r="E35" s="53">
        <v>175</v>
      </c>
      <c r="F35" s="7"/>
      <c r="G35" s="49">
        <f t="shared" si="1"/>
        <v>125</v>
      </c>
      <c r="H35" s="26"/>
      <c r="I35" s="38">
        <f>+E35+G35</f>
        <v>300</v>
      </c>
      <c r="J35" s="7"/>
      <c r="K35" s="53">
        <v>500</v>
      </c>
      <c r="L35" s="41"/>
      <c r="M35" s="55">
        <f>(-K35+I35)</f>
        <v>-200</v>
      </c>
      <c r="N35" s="97"/>
    </row>
    <row r="36" spans="1:15" s="4" customFormat="1" ht="12" outlineLevel="1" x14ac:dyDescent="0.2">
      <c r="A36" s="6"/>
      <c r="B36" s="26"/>
      <c r="C36" s="41" t="s">
        <v>37</v>
      </c>
      <c r="D36" s="26"/>
      <c r="E36" s="53">
        <v>0</v>
      </c>
      <c r="F36" s="7"/>
      <c r="G36" s="49">
        <f t="shared" si="1"/>
        <v>0</v>
      </c>
      <c r="H36" s="26"/>
      <c r="I36" s="38">
        <f>+E36+G36</f>
        <v>0</v>
      </c>
      <c r="J36" s="7"/>
      <c r="K36" s="53">
        <v>0</v>
      </c>
      <c r="L36" s="41"/>
      <c r="M36" s="55">
        <f>(-K36+I36)</f>
        <v>0</v>
      </c>
      <c r="N36" s="97"/>
    </row>
    <row r="37" spans="1:15" s="4" customFormat="1" ht="12" outlineLevel="1" x14ac:dyDescent="0.2">
      <c r="A37" s="6"/>
      <c r="B37" s="26"/>
      <c r="C37" s="41" t="s">
        <v>38</v>
      </c>
      <c r="D37" s="26"/>
      <c r="E37" s="53">
        <v>797890</v>
      </c>
      <c r="F37" s="7"/>
      <c r="G37" s="49">
        <f>+E37/7*5+34428+72076</f>
        <v>676425.42857142852</v>
      </c>
      <c r="H37" s="26"/>
      <c r="I37" s="38">
        <f t="shared" si="3"/>
        <v>1474315.4285714286</v>
      </c>
      <c r="J37" s="7"/>
      <c r="K37" s="53">
        <f>1638936</f>
        <v>1638936</v>
      </c>
      <c r="L37" s="41"/>
      <c r="M37" s="55">
        <f t="shared" si="0"/>
        <v>-164620.57142857136</v>
      </c>
      <c r="N37" s="97"/>
    </row>
    <row r="38" spans="1:15" s="4" customFormat="1" ht="12" outlineLevel="1" x14ac:dyDescent="0.2">
      <c r="A38" s="6"/>
      <c r="B38" s="26"/>
      <c r="C38" s="41" t="s">
        <v>39</v>
      </c>
      <c r="D38" s="26"/>
      <c r="E38" s="53">
        <v>41010</v>
      </c>
      <c r="F38" s="7"/>
      <c r="G38" s="49">
        <f>+E38/7*5+1157+3957</f>
        <v>34406.857142857145</v>
      </c>
      <c r="H38" s="26"/>
      <c r="I38" s="38">
        <f t="shared" si="3"/>
        <v>75416.857142857145</v>
      </c>
      <c r="J38" s="7"/>
      <c r="K38" s="53">
        <f>89520</f>
        <v>89520</v>
      </c>
      <c r="L38" s="41"/>
      <c r="M38" s="55">
        <f t="shared" si="0"/>
        <v>-14103.142857142855</v>
      </c>
      <c r="N38" s="97"/>
    </row>
    <row r="39" spans="1:15" s="3" customFormat="1" ht="15" x14ac:dyDescent="0.25">
      <c r="A39" s="46"/>
      <c r="B39" s="47"/>
      <c r="C39" s="48" t="s">
        <v>40</v>
      </c>
      <c r="D39" s="47"/>
      <c r="E39" s="49">
        <v>135471</v>
      </c>
      <c r="F39" s="56"/>
      <c r="G39" s="49">
        <f>+E39/7*5+9282+14331</f>
        <v>120378</v>
      </c>
      <c r="H39" s="47"/>
      <c r="I39" s="50">
        <f t="shared" si="3"/>
        <v>255849</v>
      </c>
      <c r="J39" s="56"/>
      <c r="K39" s="49">
        <f>311196</f>
        <v>311196</v>
      </c>
      <c r="L39" s="48"/>
      <c r="M39" s="52">
        <f t="shared" si="0"/>
        <v>-55347</v>
      </c>
      <c r="N39" s="97"/>
    </row>
    <row r="40" spans="1:15" s="3" customFormat="1" ht="15" x14ac:dyDescent="0.25">
      <c r="A40" s="46"/>
      <c r="B40" s="47"/>
      <c r="C40" s="48" t="s">
        <v>2</v>
      </c>
      <c r="D40" s="47"/>
      <c r="E40" s="49">
        <v>0</v>
      </c>
      <c r="F40" s="56"/>
      <c r="G40" s="49">
        <v>0</v>
      </c>
      <c r="H40" s="47"/>
      <c r="I40" s="50">
        <f t="shared" si="3"/>
        <v>0</v>
      </c>
      <c r="J40" s="56"/>
      <c r="K40" s="49">
        <v>0</v>
      </c>
      <c r="L40" s="48"/>
      <c r="M40" s="52">
        <f t="shared" si="0"/>
        <v>0</v>
      </c>
      <c r="N40" s="97"/>
    </row>
    <row r="41" spans="1:15" s="3" customFormat="1" ht="15" x14ac:dyDescent="0.25">
      <c r="A41" s="46"/>
      <c r="B41" s="47"/>
      <c r="C41" s="48" t="s">
        <v>3</v>
      </c>
      <c r="D41" s="47"/>
      <c r="E41" s="49">
        <v>0</v>
      </c>
      <c r="F41" s="56"/>
      <c r="G41" s="49">
        <v>0</v>
      </c>
      <c r="H41" s="47"/>
      <c r="I41" s="50">
        <f t="shared" si="3"/>
        <v>0</v>
      </c>
      <c r="J41" s="56"/>
      <c r="K41" s="49">
        <v>0</v>
      </c>
      <c r="L41" s="48"/>
      <c r="M41" s="52">
        <f t="shared" si="0"/>
        <v>0</v>
      </c>
      <c r="N41" s="97"/>
    </row>
    <row r="42" spans="1:15" s="3" customFormat="1" ht="15" x14ac:dyDescent="0.25">
      <c r="A42" s="46"/>
      <c r="B42" s="47"/>
      <c r="C42" s="48" t="s">
        <v>53</v>
      </c>
      <c r="D42" s="47"/>
      <c r="E42" s="49">
        <v>0</v>
      </c>
      <c r="F42" s="56"/>
      <c r="G42" s="49">
        <v>0</v>
      </c>
      <c r="H42" s="47"/>
      <c r="I42" s="50">
        <f t="shared" si="3"/>
        <v>0</v>
      </c>
      <c r="J42" s="56"/>
      <c r="K42" s="49">
        <v>0</v>
      </c>
      <c r="L42" s="48"/>
      <c r="M42" s="52">
        <f t="shared" si="0"/>
        <v>0</v>
      </c>
      <c r="N42" s="97"/>
    </row>
    <row r="43" spans="1:15" s="3" customFormat="1" ht="15" x14ac:dyDescent="0.25">
      <c r="A43" s="46"/>
      <c r="B43" s="47"/>
      <c r="C43" s="48" t="s">
        <v>41</v>
      </c>
      <c r="D43" s="47"/>
      <c r="E43" s="50">
        <v>97137</v>
      </c>
      <c r="F43" s="56"/>
      <c r="G43" s="50">
        <f>SUM(G44:G47)</f>
        <v>69383.57142857142</v>
      </c>
      <c r="H43" s="47"/>
      <c r="I43" s="50">
        <f t="shared" si="3"/>
        <v>166520.57142857142</v>
      </c>
      <c r="J43" s="56"/>
      <c r="K43" s="50">
        <f>SUM(K44:K47)</f>
        <v>189871</v>
      </c>
      <c r="L43" s="48"/>
      <c r="M43" s="52">
        <f t="shared" si="0"/>
        <v>-23350.42857142858</v>
      </c>
      <c r="N43" s="97"/>
    </row>
    <row r="44" spans="1:15" s="4" customFormat="1" ht="12" outlineLevel="1" x14ac:dyDescent="0.2">
      <c r="A44" s="6"/>
      <c r="B44" s="26"/>
      <c r="C44" s="41" t="s">
        <v>42</v>
      </c>
      <c r="D44" s="26"/>
      <c r="E44" s="53">
        <v>5302</v>
      </c>
      <c r="F44" s="7"/>
      <c r="G44" s="49">
        <f>+E44/7*5</f>
        <v>3787.1428571428573</v>
      </c>
      <c r="H44" s="26"/>
      <c r="I44" s="38">
        <f t="shared" si="3"/>
        <v>9089.1428571428569</v>
      </c>
      <c r="J44" s="7"/>
      <c r="K44" s="53">
        <v>10000</v>
      </c>
      <c r="L44" s="41"/>
      <c r="M44" s="55">
        <f t="shared" si="0"/>
        <v>-910.85714285714312</v>
      </c>
      <c r="N44" s="97"/>
    </row>
    <row r="45" spans="1:15" s="4" customFormat="1" ht="12" outlineLevel="1" x14ac:dyDescent="0.2">
      <c r="A45" s="6"/>
      <c r="B45" s="26"/>
      <c r="C45" s="41" t="s">
        <v>43</v>
      </c>
      <c r="D45" s="26"/>
      <c r="E45" s="53">
        <v>0</v>
      </c>
      <c r="F45" s="7"/>
      <c r="G45" s="49">
        <f>+E45/7*5</f>
        <v>0</v>
      </c>
      <c r="H45" s="26"/>
      <c r="I45" s="38">
        <f t="shared" si="3"/>
        <v>0</v>
      </c>
      <c r="J45" s="7"/>
      <c r="K45" s="53">
        <v>0</v>
      </c>
      <c r="L45" s="41"/>
      <c r="M45" s="55">
        <f t="shared" si="0"/>
        <v>0</v>
      </c>
      <c r="N45" s="97"/>
    </row>
    <row r="46" spans="1:15" s="4" customFormat="1" ht="12" outlineLevel="1" x14ac:dyDescent="0.2">
      <c r="A46" s="6"/>
      <c r="B46" s="26"/>
      <c r="C46" s="41" t="s">
        <v>44</v>
      </c>
      <c r="D46" s="26"/>
      <c r="E46" s="53">
        <v>0</v>
      </c>
      <c r="F46" s="7"/>
      <c r="G46" s="49">
        <f>+E46/7*5</f>
        <v>0</v>
      </c>
      <c r="H46" s="26"/>
      <c r="I46" s="38">
        <f t="shared" si="3"/>
        <v>0</v>
      </c>
      <c r="J46" s="7"/>
      <c r="K46" s="53">
        <v>0</v>
      </c>
      <c r="L46" s="41"/>
      <c r="M46" s="55">
        <f t="shared" si="0"/>
        <v>0</v>
      </c>
      <c r="N46" s="97"/>
    </row>
    <row r="47" spans="1:15" s="4" customFormat="1" ht="12" outlineLevel="1" x14ac:dyDescent="0.2">
      <c r="A47" s="6"/>
      <c r="B47" s="26"/>
      <c r="C47" s="41" t="s">
        <v>45</v>
      </c>
      <c r="D47" s="26"/>
      <c r="E47" s="53">
        <v>91835</v>
      </c>
      <c r="F47" s="7"/>
      <c r="G47" s="49">
        <f>+E47/7*5</f>
        <v>65596.428571428565</v>
      </c>
      <c r="H47" s="26"/>
      <c r="I47" s="38">
        <f t="shared" si="3"/>
        <v>157431.42857142858</v>
      </c>
      <c r="J47" s="7"/>
      <c r="K47" s="53">
        <v>179871</v>
      </c>
      <c r="L47" s="41"/>
      <c r="M47" s="55">
        <f t="shared" si="0"/>
        <v>-22439.57142857142</v>
      </c>
      <c r="N47" s="97"/>
    </row>
    <row r="48" spans="1:15" s="3" customFormat="1" ht="15" x14ac:dyDescent="0.25">
      <c r="A48" s="46"/>
      <c r="B48" s="47"/>
      <c r="C48" s="48" t="s">
        <v>46</v>
      </c>
      <c r="D48" s="47"/>
      <c r="E48" s="49">
        <v>14669586</v>
      </c>
      <c r="F48" s="56"/>
      <c r="G48" s="49">
        <f>+E48/7*5+5952138</f>
        <v>16430413.714285715</v>
      </c>
      <c r="H48" s="47"/>
      <c r="I48" s="50">
        <f t="shared" si="3"/>
        <v>31099999.714285716</v>
      </c>
      <c r="J48" s="56"/>
      <c r="K48" s="49">
        <v>31100000</v>
      </c>
      <c r="L48" s="48"/>
      <c r="M48" s="52">
        <f t="shared" si="0"/>
        <v>-0.2857142835855484</v>
      </c>
      <c r="N48" s="97"/>
      <c r="O48" s="6" t="s">
        <v>54</v>
      </c>
    </row>
    <row r="49" spans="1:14" s="3" customFormat="1" ht="15" x14ac:dyDescent="0.25">
      <c r="A49" s="46"/>
      <c r="B49" s="47"/>
      <c r="C49" s="48" t="s">
        <v>1</v>
      </c>
      <c r="D49" s="47"/>
      <c r="E49" s="49">
        <v>0</v>
      </c>
      <c r="F49" s="56"/>
      <c r="G49" s="49">
        <v>0</v>
      </c>
      <c r="H49" s="47"/>
      <c r="I49" s="50">
        <f t="shared" si="3"/>
        <v>0</v>
      </c>
      <c r="J49" s="56"/>
      <c r="K49" s="49">
        <v>0</v>
      </c>
      <c r="L49" s="48"/>
      <c r="M49" s="52">
        <f t="shared" si="0"/>
        <v>0</v>
      </c>
      <c r="N49" s="97"/>
    </row>
    <row r="50" spans="1:14" s="3" customFormat="1" ht="15" x14ac:dyDescent="0.25">
      <c r="A50" s="46"/>
      <c r="B50" s="47"/>
      <c r="C50" s="48" t="s">
        <v>47</v>
      </c>
      <c r="D50" s="47"/>
      <c r="E50" s="49">
        <v>0</v>
      </c>
      <c r="F50" s="56"/>
      <c r="G50" s="49">
        <v>0</v>
      </c>
      <c r="H50" s="47"/>
      <c r="I50" s="50">
        <f t="shared" si="3"/>
        <v>0</v>
      </c>
      <c r="J50" s="56"/>
      <c r="K50" s="49">
        <v>0</v>
      </c>
      <c r="L50" s="48"/>
      <c r="M50" s="52">
        <f t="shared" si="0"/>
        <v>0</v>
      </c>
      <c r="N50" s="97"/>
    </row>
    <row r="51" spans="1:14" s="5" customFormat="1" ht="13.5" thickBot="1" x14ac:dyDescent="0.25">
      <c r="A51" s="6"/>
      <c r="B51" s="26"/>
      <c r="C51" s="41"/>
      <c r="D51" s="57"/>
      <c r="E51" s="58"/>
      <c r="F51" s="59"/>
      <c r="G51" s="60"/>
      <c r="H51" s="26"/>
      <c r="I51" s="38"/>
      <c r="J51" s="7"/>
      <c r="K51" s="38"/>
      <c r="L51" s="41"/>
      <c r="M51" s="61"/>
      <c r="N51" s="97"/>
    </row>
    <row r="52" spans="1:14" ht="13.5" thickBot="1" x14ac:dyDescent="0.25">
      <c r="A52" s="6"/>
      <c r="B52" s="62"/>
      <c r="C52" s="63" t="s">
        <v>48</v>
      </c>
      <c r="D52" s="64"/>
      <c r="E52" s="65">
        <f>+E11+E12+E22+E29+E32+E39+E40+E41+E42+E43+E48+E49+E50+E27</f>
        <v>27109998.800000001</v>
      </c>
      <c r="F52" s="66"/>
      <c r="G52" s="65">
        <f>+G11+G12+G22+G29+G32+G39+G40+G41+G42+G43+G48+G49+G50+G27</f>
        <v>25541420.857142854</v>
      </c>
      <c r="H52" s="64"/>
      <c r="I52" s="65">
        <f>+I11+I12+I22+I29+I32+I39+I40+I41+I42+I43+I48+I49+I50+I27</f>
        <v>52651419.657142863</v>
      </c>
      <c r="J52" s="66"/>
      <c r="K52" s="65">
        <f>+K11+K12+K22+K29+K32+K39+K40+K41+K42+K43+K48+K49+K50+K27</f>
        <v>53825780</v>
      </c>
      <c r="L52" s="68"/>
      <c r="M52" s="113">
        <f t="shared" si="0"/>
        <v>-1174360.3428571373</v>
      </c>
      <c r="N52" s="97"/>
    </row>
    <row r="53" spans="1:14" x14ac:dyDescent="0.2">
      <c r="A53" s="6"/>
      <c r="B53" s="70"/>
      <c r="C53" s="71"/>
      <c r="D53" s="72"/>
      <c r="E53" s="73"/>
      <c r="F53" s="72"/>
      <c r="G53" s="73"/>
      <c r="H53" s="72"/>
      <c r="I53" s="73"/>
      <c r="J53" s="72"/>
      <c r="K53" s="73"/>
      <c r="L53" s="72"/>
      <c r="M53" s="74"/>
      <c r="N53" s="97"/>
    </row>
    <row r="54" spans="1:14" s="3" customFormat="1" ht="15" x14ac:dyDescent="0.25">
      <c r="A54" s="46"/>
      <c r="B54" s="75"/>
      <c r="C54" s="71" t="s">
        <v>49</v>
      </c>
      <c r="D54" s="72"/>
      <c r="E54" s="53">
        <v>-5619118</v>
      </c>
      <c r="F54" s="76"/>
      <c r="G54" s="49">
        <f>+E54/7*5-1523796.67-202753-31591-1606721-12830298</f>
        <v>-20208815.384285714</v>
      </c>
      <c r="H54" s="76"/>
      <c r="I54" s="50">
        <f>+E54+G54</f>
        <v>-25827933.384285714</v>
      </c>
      <c r="J54" s="76"/>
      <c r="K54" s="53">
        <f>-12016038.81-19037476.39</f>
        <v>-31053515.200000003</v>
      </c>
      <c r="L54" s="76"/>
      <c r="M54" s="77">
        <f>-K54+I54</f>
        <v>5225581.8157142885</v>
      </c>
      <c r="N54" s="97"/>
    </row>
    <row r="55" spans="1:14" s="3" customFormat="1" ht="15" x14ac:dyDescent="0.25">
      <c r="A55" s="46"/>
      <c r="B55" s="75"/>
      <c r="C55" s="71" t="s">
        <v>50</v>
      </c>
      <c r="D55" s="72"/>
      <c r="E55" s="53">
        <v>-12966565</v>
      </c>
      <c r="F55" s="76"/>
      <c r="G55" s="49">
        <f>+E55/7*5-1869617+425936+5001884</f>
        <v>-5703629.1428571437</v>
      </c>
      <c r="H55" s="76"/>
      <c r="I55" s="50">
        <f>+E55+G55</f>
        <v>-18670194.142857142</v>
      </c>
      <c r="J55" s="76"/>
      <c r="K55" s="53">
        <v>-19083961</v>
      </c>
      <c r="L55" s="76"/>
      <c r="M55" s="77">
        <f>-K55+I55</f>
        <v>413766.85714285821</v>
      </c>
      <c r="N55" s="97"/>
    </row>
    <row r="56" spans="1:14" ht="13.5" thickBot="1" x14ac:dyDescent="0.25">
      <c r="A56" s="6"/>
      <c r="B56" s="78"/>
      <c r="C56" s="79"/>
      <c r="D56" s="80"/>
      <c r="E56" s="81"/>
      <c r="F56" s="80"/>
      <c r="G56" s="81"/>
      <c r="H56" s="72"/>
      <c r="I56" s="73"/>
      <c r="J56" s="72"/>
      <c r="K56" s="73"/>
      <c r="L56" s="72"/>
      <c r="M56" s="82"/>
      <c r="N56" s="97"/>
    </row>
    <row r="57" spans="1:14" ht="13.5" thickBot="1" x14ac:dyDescent="0.25">
      <c r="A57" s="6"/>
      <c r="B57" s="78"/>
      <c r="C57" s="83" t="s">
        <v>51</v>
      </c>
      <c r="D57" s="64"/>
      <c r="E57" s="65">
        <f>+E52+E54+E55</f>
        <v>8524315.8000000007</v>
      </c>
      <c r="F57" s="66"/>
      <c r="G57" s="84">
        <f>+G52+G54+G55</f>
        <v>-371023.67000000365</v>
      </c>
      <c r="H57" s="64"/>
      <c r="I57" s="67">
        <f>+E57+G57</f>
        <v>8153292.1299999971</v>
      </c>
      <c r="J57" s="66"/>
      <c r="K57" s="65">
        <f>+K52+K54+K55</f>
        <v>3688303.799999997</v>
      </c>
      <c r="L57" s="68"/>
      <c r="M57" s="69">
        <f>-K57+I57</f>
        <v>4464988.33</v>
      </c>
      <c r="N57" s="97"/>
    </row>
    <row r="58" spans="1:14" ht="13.5" thickBot="1" x14ac:dyDescent="0.25">
      <c r="A58" s="6"/>
      <c r="B58" s="7"/>
      <c r="C58" s="7"/>
      <c r="D58" s="7"/>
      <c r="E58" s="7"/>
      <c r="F58" s="7"/>
      <c r="G58" s="85"/>
      <c r="H58" s="7"/>
      <c r="I58" s="7"/>
      <c r="J58" s="7"/>
      <c r="K58" s="7"/>
      <c r="L58" s="7"/>
      <c r="M58" s="7"/>
      <c r="N58" s="97"/>
    </row>
    <row r="59" spans="1:14" s="2" customFormat="1" ht="15" thickBot="1" x14ac:dyDescent="0.25">
      <c r="A59" s="6"/>
      <c r="B59" s="36" t="s">
        <v>52</v>
      </c>
      <c r="C59" s="86"/>
      <c r="D59" s="87"/>
      <c r="E59" s="88"/>
      <c r="F59" s="85"/>
      <c r="G59" s="89"/>
      <c r="H59" s="87"/>
      <c r="I59" s="90">
        <v>133</v>
      </c>
      <c r="J59" s="91"/>
      <c r="K59" s="92">
        <v>133</v>
      </c>
      <c r="L59" s="93"/>
      <c r="M59" s="94">
        <f>(-K59+I59)</f>
        <v>0</v>
      </c>
      <c r="N59" s="97"/>
    </row>
    <row r="60" spans="1:14" x14ac:dyDescent="0.2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97"/>
    </row>
    <row r="61" spans="1:14" x14ac:dyDescent="0.2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97"/>
    </row>
    <row r="62" spans="1:14" x14ac:dyDescent="0.2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97"/>
    </row>
    <row r="63" spans="1:14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97"/>
    </row>
    <row r="64" spans="1:14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97"/>
    </row>
    <row r="65" spans="1:14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97"/>
    </row>
    <row r="66" spans="1:14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97"/>
    </row>
    <row r="67" spans="1:14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97"/>
    </row>
    <row r="68" spans="1:14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97"/>
    </row>
    <row r="69" spans="1:14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97"/>
    </row>
    <row r="70" spans="1:14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97"/>
    </row>
    <row r="71" spans="1:14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97"/>
    </row>
    <row r="72" spans="1:14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97"/>
    </row>
    <row r="73" spans="1:14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95"/>
    </row>
    <row r="74" spans="1:14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95"/>
    </row>
    <row r="75" spans="1:14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95"/>
    </row>
    <row r="76" spans="1:14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95"/>
    </row>
    <row r="77" spans="1:14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95"/>
    </row>
    <row r="78" spans="1:14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95"/>
    </row>
    <row r="79" spans="1:14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95"/>
    </row>
    <row r="80" spans="1:14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95"/>
    </row>
    <row r="81" spans="1:14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95"/>
    </row>
    <row r="82" spans="1:14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95"/>
    </row>
    <row r="83" spans="1:14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95"/>
    </row>
    <row r="84" spans="1:14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95"/>
    </row>
    <row r="85" spans="1:14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95"/>
    </row>
    <row r="86" spans="1:14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95"/>
    </row>
    <row r="87" spans="1:14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95"/>
    </row>
    <row r="88" spans="1:14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95"/>
    </row>
    <row r="89" spans="1:14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95"/>
    </row>
    <row r="90" spans="1:14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95"/>
    </row>
    <row r="91" spans="1:14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95"/>
    </row>
    <row r="92" spans="1:14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95"/>
    </row>
    <row r="93" spans="1:14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95"/>
    </row>
    <row r="94" spans="1:14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95"/>
    </row>
    <row r="95" spans="1:14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95"/>
    </row>
    <row r="96" spans="1:14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95"/>
    </row>
    <row r="97" spans="1:14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95"/>
    </row>
    <row r="98" spans="1:14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95"/>
    </row>
    <row r="99" spans="1:14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95"/>
    </row>
    <row r="100" spans="1:14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95"/>
    </row>
    <row r="101" spans="1:14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95"/>
    </row>
    <row r="102" spans="1:14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95"/>
    </row>
    <row r="103" spans="1:14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95"/>
    </row>
    <row r="104" spans="1:14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96"/>
    </row>
    <row r="105" spans="1:14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96"/>
    </row>
    <row r="106" spans="1:14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96"/>
    </row>
    <row r="107" spans="1:14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96"/>
    </row>
    <row r="108" spans="1:14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96"/>
    </row>
    <row r="109" spans="1:14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96"/>
    </row>
    <row r="110" spans="1:14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96"/>
    </row>
    <row r="111" spans="1:14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96"/>
    </row>
    <row r="112" spans="1:14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96"/>
    </row>
    <row r="113" spans="1:14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96"/>
    </row>
    <row r="114" spans="1:14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96"/>
    </row>
    <row r="115" spans="1:14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96"/>
    </row>
    <row r="116" spans="1:14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96"/>
    </row>
    <row r="117" spans="1:14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96"/>
    </row>
    <row r="118" spans="1:14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96"/>
    </row>
    <row r="119" spans="1:14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96"/>
    </row>
    <row r="120" spans="1:14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96"/>
    </row>
    <row r="121" spans="1:14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96"/>
    </row>
    <row r="122" spans="1:14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96"/>
    </row>
    <row r="123" spans="1:14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96"/>
    </row>
    <row r="124" spans="1:14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 spans="1:14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 spans="1:14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 spans="1:14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 spans="1:14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1:13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 spans="1:13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 spans="1:13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 spans="1:13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 spans="1:13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 spans="1:13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 spans="1:13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 spans="1:13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 spans="1:13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 spans="1:13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 spans="1:13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 spans="1:13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 spans="1:13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 spans="1:13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 spans="1:13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 spans="1:13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</row>
  </sheetData>
  <mergeCells count="1">
    <mergeCell ref="B3:M3"/>
  </mergeCells>
  <phoneticPr fontId="0" type="noConversion"/>
  <pageMargins left="0.75" right="0.75" top="1" bottom="1" header="0.5" footer="0.5"/>
  <pageSetup scale="61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External legal billout</vt:lpstr>
      <vt:lpstr>Internal legal billout</vt:lpstr>
      <vt:lpstr>Allocations</vt:lpstr>
      <vt:lpstr>legal - rev</vt:lpstr>
      <vt:lpstr>'legal - rev'!Print_Area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vnguyen2</dc:creator>
  <cp:lastModifiedBy>Felienne</cp:lastModifiedBy>
  <cp:lastPrinted>2001-09-04T23:19:17Z</cp:lastPrinted>
  <dcterms:created xsi:type="dcterms:W3CDTF">2001-08-29T01:41:51Z</dcterms:created>
  <dcterms:modified xsi:type="dcterms:W3CDTF">2014-09-04T13:40:09Z</dcterms:modified>
</cp:coreProperties>
</file>