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firstSheet="1" activeTab="1"/>
  </bookViews>
  <sheets>
    <sheet name="Bill Out to ENA Commercial Team" sheetId="8" r:id="rId1"/>
    <sheet name="Legal" sheetId="4" r:id="rId2"/>
    <sheet name="LegalAlloc" sheetId="5" r:id="rId3"/>
    <sheet name="2002 Plan interna legal" sheetId="6" r:id="rId4"/>
    <sheet name="2002 Plan-external legal" sheetId="7" r:id="rId5"/>
  </sheets>
  <externalReferences>
    <externalReference r:id="rId6"/>
    <externalReference r:id="rId7"/>
  </externalReferences>
  <definedNames>
    <definedName name="_xlnm.Print_Area" localSheetId="3">'2002 Plan interna legal'!$A$1:$L$60</definedName>
    <definedName name="_xlnm.Print_Area" localSheetId="4">'2002 Plan-external legal'!$A$1:$Q$83</definedName>
    <definedName name="_xlnm.Print_Area" localSheetId="0">'Bill Out to ENA Commercial Team'!$A$1:$H$59</definedName>
    <definedName name="_xlnm.Print_Area" localSheetId="1">Legal!$B$1:$O$59</definedName>
    <definedName name="_xlnm.Print_Area" localSheetId="2">LegalAlloc!$A$1:$K$33</definedName>
  </definedNames>
  <calcPr calcId="152511"/>
</workbook>
</file>

<file path=xl/calcChain.xml><?xml version="1.0" encoding="utf-8"?>
<calcChain xmlns="http://schemas.openxmlformats.org/spreadsheetml/2006/main">
  <c r="E9" i="6" l="1"/>
  <c r="H11" i="6"/>
  <c r="E17" i="6"/>
  <c r="C19" i="6"/>
  <c r="J19" i="6" s="1"/>
  <c r="L19" i="6" s="1"/>
  <c r="D21" i="6"/>
  <c r="J21" i="6" s="1"/>
  <c r="C28" i="6"/>
  <c r="C7" i="6" s="1"/>
  <c r="D28" i="6"/>
  <c r="E28" i="6"/>
  <c r="E15" i="6" s="1"/>
  <c r="F28" i="6"/>
  <c r="F17" i="6" s="1"/>
  <c r="G28" i="6"/>
  <c r="G11" i="6" s="1"/>
  <c r="G25" i="6" s="1"/>
  <c r="H28" i="6"/>
  <c r="H17" i="6" s="1"/>
  <c r="G33" i="6"/>
  <c r="C35" i="6"/>
  <c r="E35" i="6"/>
  <c r="E54" i="6" s="1"/>
  <c r="F35" i="6"/>
  <c r="H35" i="6"/>
  <c r="J35" i="6"/>
  <c r="L35" i="6" s="1"/>
  <c r="C37" i="6"/>
  <c r="J37" i="6" s="1"/>
  <c r="E37" i="6"/>
  <c r="F37" i="6"/>
  <c r="H37" i="6"/>
  <c r="H9" i="6" s="1"/>
  <c r="H25" i="6" s="1"/>
  <c r="C39" i="6"/>
  <c r="C54" i="6" s="1"/>
  <c r="E39" i="6"/>
  <c r="E11" i="6" s="1"/>
  <c r="F39" i="6"/>
  <c r="G39" i="6"/>
  <c r="G54" i="6" s="1"/>
  <c r="H39" i="6"/>
  <c r="C41" i="6"/>
  <c r="E41" i="6"/>
  <c r="J41" i="6" s="1"/>
  <c r="L41" i="6" s="1"/>
  <c r="F41" i="6"/>
  <c r="H41" i="6"/>
  <c r="C43" i="6"/>
  <c r="J43" i="6" s="1"/>
  <c r="L43" i="6" s="1"/>
  <c r="E43" i="6"/>
  <c r="F43" i="6"/>
  <c r="H43" i="6"/>
  <c r="H15" i="6" s="1"/>
  <c r="C45" i="6"/>
  <c r="J45" i="6" s="1"/>
  <c r="L45" i="6" s="1"/>
  <c r="E45" i="6"/>
  <c r="F45" i="6"/>
  <c r="H45" i="6"/>
  <c r="E47" i="6"/>
  <c r="J47" i="6" s="1"/>
  <c r="L47" i="6" s="1"/>
  <c r="F47" i="6"/>
  <c r="H47" i="6"/>
  <c r="C49" i="6"/>
  <c r="J49" i="6"/>
  <c r="L49" i="6"/>
  <c r="J51" i="6"/>
  <c r="L51" i="6"/>
  <c r="F54" i="6"/>
  <c r="M60" i="6"/>
  <c r="A4" i="7"/>
  <c r="E6" i="7"/>
  <c r="F6" i="7"/>
  <c r="G6" i="7"/>
  <c r="H6" i="7"/>
  <c r="I6" i="7"/>
  <c r="J6" i="7"/>
  <c r="K6" i="7"/>
  <c r="L6" i="7"/>
  <c r="E7" i="7"/>
  <c r="F7" i="7"/>
  <c r="G7" i="7"/>
  <c r="H7" i="7"/>
  <c r="I7" i="7"/>
  <c r="J7" i="7"/>
  <c r="K7" i="7"/>
  <c r="L7" i="7"/>
  <c r="E8" i="7"/>
  <c r="F8" i="7"/>
  <c r="G8" i="7"/>
  <c r="H8" i="7"/>
  <c r="I8" i="7"/>
  <c r="J8" i="7"/>
  <c r="K8" i="7"/>
  <c r="L8" i="7"/>
  <c r="E9" i="7"/>
  <c r="F9" i="7"/>
  <c r="G9" i="7"/>
  <c r="H9" i="7"/>
  <c r="I9" i="7"/>
  <c r="J9" i="7"/>
  <c r="K9" i="7"/>
  <c r="L9" i="7"/>
  <c r="F10" i="7"/>
  <c r="G10" i="7"/>
  <c r="H10" i="7"/>
  <c r="I10" i="7"/>
  <c r="J10" i="7"/>
  <c r="K10" i="7"/>
  <c r="L10" i="7"/>
  <c r="E11" i="7"/>
  <c r="F11" i="7"/>
  <c r="G11" i="7"/>
  <c r="H11" i="7"/>
  <c r="I11" i="7"/>
  <c r="J11" i="7"/>
  <c r="K11" i="7"/>
  <c r="L11" i="7"/>
  <c r="E12" i="7"/>
  <c r="F12" i="7"/>
  <c r="G12" i="7"/>
  <c r="H12" i="7"/>
  <c r="I12" i="7"/>
  <c r="J12" i="7"/>
  <c r="K12" i="7"/>
  <c r="L12" i="7"/>
  <c r="E13" i="7"/>
  <c r="F13" i="7"/>
  <c r="G13" i="7"/>
  <c r="H13" i="7"/>
  <c r="I13" i="7"/>
  <c r="J13" i="7"/>
  <c r="K13" i="7"/>
  <c r="L13" i="7"/>
  <c r="E14" i="7"/>
  <c r="F14" i="7"/>
  <c r="G14" i="7"/>
  <c r="H14" i="7"/>
  <c r="I14" i="7"/>
  <c r="J14" i="7"/>
  <c r="K14" i="7"/>
  <c r="L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L16" i="7"/>
  <c r="E17" i="7"/>
  <c r="F17" i="7"/>
  <c r="G17" i="7"/>
  <c r="H17" i="7"/>
  <c r="I17" i="7"/>
  <c r="J17" i="7"/>
  <c r="K17" i="7"/>
  <c r="K73" i="7" s="1"/>
  <c r="L17" i="7"/>
  <c r="E18" i="7"/>
  <c r="F18" i="7"/>
  <c r="G18" i="7"/>
  <c r="H18" i="7"/>
  <c r="H73" i="7" s="1"/>
  <c r="I18" i="7"/>
  <c r="J18" i="7"/>
  <c r="K18" i="7"/>
  <c r="L18" i="7"/>
  <c r="E19" i="7"/>
  <c r="F19" i="7"/>
  <c r="G19" i="7"/>
  <c r="H19" i="7"/>
  <c r="I19" i="7"/>
  <c r="J19" i="7"/>
  <c r="K19" i="7"/>
  <c r="L19" i="7"/>
  <c r="E20" i="7"/>
  <c r="F20" i="7"/>
  <c r="G20" i="7"/>
  <c r="H20" i="7"/>
  <c r="I20" i="7"/>
  <c r="J20" i="7"/>
  <c r="K20" i="7"/>
  <c r="L20" i="7"/>
  <c r="E21" i="7"/>
  <c r="F21" i="7"/>
  <c r="G21" i="7"/>
  <c r="H21" i="7"/>
  <c r="I21" i="7"/>
  <c r="J21" i="7"/>
  <c r="K21" i="7"/>
  <c r="L21" i="7"/>
  <c r="E22" i="7"/>
  <c r="F22" i="7"/>
  <c r="G22" i="7"/>
  <c r="H22" i="7"/>
  <c r="I22" i="7"/>
  <c r="J22" i="7"/>
  <c r="K22" i="7"/>
  <c r="L22" i="7"/>
  <c r="E23" i="7"/>
  <c r="F23" i="7"/>
  <c r="G23" i="7"/>
  <c r="H23" i="7"/>
  <c r="I23" i="7"/>
  <c r="J23" i="7"/>
  <c r="K23" i="7"/>
  <c r="L23" i="7"/>
  <c r="E24" i="7"/>
  <c r="F24" i="7"/>
  <c r="G24" i="7"/>
  <c r="H24" i="7"/>
  <c r="I24" i="7"/>
  <c r="J24" i="7"/>
  <c r="K24" i="7"/>
  <c r="L24" i="7"/>
  <c r="E25" i="7"/>
  <c r="F25" i="7"/>
  <c r="G25" i="7"/>
  <c r="H25" i="7"/>
  <c r="I25" i="7"/>
  <c r="J25" i="7"/>
  <c r="K25" i="7"/>
  <c r="L25" i="7"/>
  <c r="E26" i="7"/>
  <c r="F26" i="7"/>
  <c r="G26" i="7"/>
  <c r="H26" i="7"/>
  <c r="I26" i="7"/>
  <c r="J26" i="7"/>
  <c r="K26" i="7"/>
  <c r="L26" i="7"/>
  <c r="E27" i="7"/>
  <c r="E73" i="7" s="1"/>
  <c r="F27" i="7"/>
  <c r="G27" i="7"/>
  <c r="H27" i="7"/>
  <c r="I27" i="7"/>
  <c r="J27" i="7"/>
  <c r="K27" i="7"/>
  <c r="L27" i="7"/>
  <c r="E28" i="7"/>
  <c r="F28" i="7"/>
  <c r="G28" i="7"/>
  <c r="H28" i="7"/>
  <c r="I28" i="7"/>
  <c r="J28" i="7"/>
  <c r="K28" i="7"/>
  <c r="L28" i="7"/>
  <c r="E29" i="7"/>
  <c r="F29" i="7"/>
  <c r="G29" i="7"/>
  <c r="H29" i="7"/>
  <c r="I29" i="7"/>
  <c r="J29" i="7"/>
  <c r="K29" i="7"/>
  <c r="L29" i="7"/>
  <c r="E30" i="7"/>
  <c r="F30" i="7"/>
  <c r="G30" i="7"/>
  <c r="H30" i="7"/>
  <c r="I30" i="7"/>
  <c r="J30" i="7"/>
  <c r="K30" i="7"/>
  <c r="L30" i="7"/>
  <c r="E31" i="7"/>
  <c r="F31" i="7"/>
  <c r="G31" i="7"/>
  <c r="H31" i="7"/>
  <c r="I31" i="7"/>
  <c r="J31" i="7"/>
  <c r="K31" i="7"/>
  <c r="L31" i="7"/>
  <c r="E32" i="7"/>
  <c r="F32" i="7"/>
  <c r="G32" i="7"/>
  <c r="H32" i="7"/>
  <c r="I32" i="7"/>
  <c r="J32" i="7"/>
  <c r="K32" i="7"/>
  <c r="L32" i="7"/>
  <c r="E33" i="7"/>
  <c r="F33" i="7"/>
  <c r="G33" i="7"/>
  <c r="H33" i="7"/>
  <c r="I33" i="7"/>
  <c r="J33" i="7"/>
  <c r="K33" i="7"/>
  <c r="L33" i="7"/>
  <c r="E34" i="7"/>
  <c r="F34" i="7"/>
  <c r="G34" i="7"/>
  <c r="H34" i="7"/>
  <c r="I34" i="7"/>
  <c r="J34" i="7"/>
  <c r="K34" i="7"/>
  <c r="L34" i="7"/>
  <c r="E35" i="7"/>
  <c r="F35" i="7"/>
  <c r="G35" i="7"/>
  <c r="H35" i="7"/>
  <c r="I35" i="7"/>
  <c r="J35" i="7"/>
  <c r="K35" i="7"/>
  <c r="L35" i="7"/>
  <c r="E36" i="7"/>
  <c r="F36" i="7"/>
  <c r="G36" i="7"/>
  <c r="H36" i="7"/>
  <c r="I36" i="7"/>
  <c r="J36" i="7"/>
  <c r="K36" i="7"/>
  <c r="L36" i="7"/>
  <c r="E37" i="7"/>
  <c r="F37" i="7"/>
  <c r="G37" i="7"/>
  <c r="H37" i="7"/>
  <c r="I37" i="7"/>
  <c r="J37" i="7"/>
  <c r="K37" i="7"/>
  <c r="L37" i="7"/>
  <c r="E38" i="7"/>
  <c r="F38" i="7"/>
  <c r="G38" i="7"/>
  <c r="H38" i="7"/>
  <c r="I38" i="7"/>
  <c r="J38" i="7"/>
  <c r="K38" i="7"/>
  <c r="L38" i="7"/>
  <c r="E39" i="7"/>
  <c r="F39" i="7"/>
  <c r="G39" i="7"/>
  <c r="H39" i="7"/>
  <c r="I39" i="7"/>
  <c r="J39" i="7"/>
  <c r="K39" i="7"/>
  <c r="L39" i="7"/>
  <c r="E40" i="7"/>
  <c r="F40" i="7"/>
  <c r="G40" i="7"/>
  <c r="H40" i="7"/>
  <c r="I40" i="7"/>
  <c r="J40" i="7"/>
  <c r="K40" i="7"/>
  <c r="L40" i="7"/>
  <c r="E41" i="7"/>
  <c r="F41" i="7"/>
  <c r="G41" i="7"/>
  <c r="H41" i="7"/>
  <c r="I41" i="7"/>
  <c r="J41" i="7"/>
  <c r="K41" i="7"/>
  <c r="L41" i="7"/>
  <c r="E42" i="7"/>
  <c r="F42" i="7"/>
  <c r="G42" i="7"/>
  <c r="H42" i="7"/>
  <c r="I42" i="7"/>
  <c r="J42" i="7"/>
  <c r="K42" i="7"/>
  <c r="L42" i="7"/>
  <c r="L73" i="7" s="1"/>
  <c r="E43" i="7"/>
  <c r="F43" i="7"/>
  <c r="G43" i="7"/>
  <c r="H43" i="7"/>
  <c r="I43" i="7"/>
  <c r="J43" i="7"/>
  <c r="K43" i="7"/>
  <c r="L43" i="7"/>
  <c r="E44" i="7"/>
  <c r="F44" i="7"/>
  <c r="G44" i="7"/>
  <c r="H44" i="7"/>
  <c r="I44" i="7"/>
  <c r="J44" i="7"/>
  <c r="J73" i="7" s="1"/>
  <c r="K44" i="7"/>
  <c r="L44" i="7"/>
  <c r="E45" i="7"/>
  <c r="F45" i="7"/>
  <c r="G45" i="7"/>
  <c r="H45" i="7"/>
  <c r="I45" i="7"/>
  <c r="J45" i="7"/>
  <c r="K45" i="7"/>
  <c r="L45" i="7"/>
  <c r="E46" i="7"/>
  <c r="F46" i="7"/>
  <c r="G46" i="7"/>
  <c r="H46" i="7"/>
  <c r="I46" i="7"/>
  <c r="J46" i="7"/>
  <c r="K46" i="7"/>
  <c r="L46" i="7"/>
  <c r="E47" i="7"/>
  <c r="F47" i="7"/>
  <c r="G47" i="7"/>
  <c r="H47" i="7"/>
  <c r="I47" i="7"/>
  <c r="J47" i="7"/>
  <c r="K47" i="7"/>
  <c r="L47" i="7"/>
  <c r="E48" i="7"/>
  <c r="F48" i="7"/>
  <c r="G48" i="7"/>
  <c r="H48" i="7"/>
  <c r="I48" i="7"/>
  <c r="J48" i="7"/>
  <c r="K48" i="7"/>
  <c r="L48" i="7"/>
  <c r="E49" i="7"/>
  <c r="F49" i="7"/>
  <c r="G49" i="7"/>
  <c r="H49" i="7"/>
  <c r="I49" i="7"/>
  <c r="J49" i="7"/>
  <c r="K49" i="7"/>
  <c r="L49" i="7"/>
  <c r="E50" i="7"/>
  <c r="F50" i="7"/>
  <c r="G50" i="7"/>
  <c r="H50" i="7"/>
  <c r="I50" i="7"/>
  <c r="J50" i="7"/>
  <c r="K50" i="7"/>
  <c r="L50" i="7"/>
  <c r="E51" i="7"/>
  <c r="F51" i="7"/>
  <c r="G51" i="7"/>
  <c r="H51" i="7"/>
  <c r="I51" i="7"/>
  <c r="J51" i="7"/>
  <c r="K51" i="7"/>
  <c r="L51" i="7"/>
  <c r="E52" i="7"/>
  <c r="F52" i="7"/>
  <c r="G52" i="7"/>
  <c r="H52" i="7"/>
  <c r="I52" i="7"/>
  <c r="J52" i="7"/>
  <c r="K52" i="7"/>
  <c r="L52" i="7"/>
  <c r="E53" i="7"/>
  <c r="F53" i="7"/>
  <c r="G53" i="7"/>
  <c r="H53" i="7"/>
  <c r="I53" i="7"/>
  <c r="J53" i="7"/>
  <c r="K53" i="7"/>
  <c r="L53" i="7"/>
  <c r="E54" i="7"/>
  <c r="F54" i="7"/>
  <c r="G54" i="7"/>
  <c r="H54" i="7"/>
  <c r="I54" i="7"/>
  <c r="J54" i="7"/>
  <c r="K54" i="7"/>
  <c r="L54" i="7"/>
  <c r="E55" i="7"/>
  <c r="F55" i="7"/>
  <c r="G55" i="7"/>
  <c r="H55" i="7"/>
  <c r="I55" i="7"/>
  <c r="K55" i="7"/>
  <c r="L55" i="7"/>
  <c r="E56" i="7"/>
  <c r="F56" i="7"/>
  <c r="G56" i="7"/>
  <c r="H56" i="7"/>
  <c r="I56" i="7"/>
  <c r="J56" i="7"/>
  <c r="K56" i="7"/>
  <c r="L56" i="7"/>
  <c r="E57" i="7"/>
  <c r="F57" i="7"/>
  <c r="G57" i="7"/>
  <c r="H57" i="7"/>
  <c r="I57" i="7"/>
  <c r="J57" i="7"/>
  <c r="K57" i="7"/>
  <c r="L57" i="7"/>
  <c r="E58" i="7"/>
  <c r="F58" i="7"/>
  <c r="G58" i="7"/>
  <c r="H58" i="7"/>
  <c r="I58" i="7"/>
  <c r="J58" i="7"/>
  <c r="K58" i="7"/>
  <c r="L58" i="7"/>
  <c r="E59" i="7"/>
  <c r="G59" i="7"/>
  <c r="H59" i="7"/>
  <c r="I59" i="7"/>
  <c r="J59" i="7"/>
  <c r="K59" i="7"/>
  <c r="L59" i="7"/>
  <c r="E60" i="7"/>
  <c r="F60" i="7"/>
  <c r="G60" i="7"/>
  <c r="H60" i="7"/>
  <c r="I60" i="7"/>
  <c r="J60" i="7"/>
  <c r="K60" i="7"/>
  <c r="L60" i="7"/>
  <c r="E61" i="7"/>
  <c r="F61" i="7"/>
  <c r="G61" i="7"/>
  <c r="H61" i="7"/>
  <c r="I61" i="7"/>
  <c r="J61" i="7"/>
  <c r="K61" i="7"/>
  <c r="L61" i="7"/>
  <c r="E62" i="7"/>
  <c r="F62" i="7"/>
  <c r="G62" i="7"/>
  <c r="H62" i="7"/>
  <c r="I62" i="7"/>
  <c r="J62" i="7"/>
  <c r="K62" i="7"/>
  <c r="L62" i="7"/>
  <c r="E63" i="7"/>
  <c r="F63" i="7"/>
  <c r="G63" i="7"/>
  <c r="H63" i="7"/>
  <c r="I63" i="7"/>
  <c r="J63" i="7"/>
  <c r="K63" i="7"/>
  <c r="L63" i="7"/>
  <c r="E64" i="7"/>
  <c r="F64" i="7"/>
  <c r="G64" i="7"/>
  <c r="H64" i="7"/>
  <c r="I64" i="7"/>
  <c r="J64" i="7"/>
  <c r="K64" i="7"/>
  <c r="L64" i="7"/>
  <c r="E65" i="7"/>
  <c r="F65" i="7"/>
  <c r="G65" i="7"/>
  <c r="H65" i="7"/>
  <c r="I65" i="7"/>
  <c r="J65" i="7"/>
  <c r="K65" i="7"/>
  <c r="L65" i="7"/>
  <c r="E66" i="7"/>
  <c r="F66" i="7"/>
  <c r="G66" i="7"/>
  <c r="H66" i="7"/>
  <c r="I66" i="7"/>
  <c r="J66" i="7"/>
  <c r="K66" i="7"/>
  <c r="L66" i="7"/>
  <c r="E67" i="7"/>
  <c r="F67" i="7"/>
  <c r="G67" i="7"/>
  <c r="H67" i="7"/>
  <c r="I67" i="7"/>
  <c r="J67" i="7"/>
  <c r="K67" i="7"/>
  <c r="L67" i="7"/>
  <c r="E68" i="7"/>
  <c r="F68" i="7"/>
  <c r="G68" i="7"/>
  <c r="H68" i="7"/>
  <c r="I68" i="7"/>
  <c r="J68" i="7"/>
  <c r="K68" i="7"/>
  <c r="L68" i="7"/>
  <c r="E69" i="7"/>
  <c r="F69" i="7"/>
  <c r="G69" i="7"/>
  <c r="H69" i="7"/>
  <c r="I69" i="7"/>
  <c r="J69" i="7"/>
  <c r="K69" i="7"/>
  <c r="L69" i="7"/>
  <c r="E70" i="7"/>
  <c r="F70" i="7"/>
  <c r="G70" i="7"/>
  <c r="H70" i="7"/>
  <c r="I70" i="7"/>
  <c r="J70" i="7"/>
  <c r="K70" i="7"/>
  <c r="L70" i="7"/>
  <c r="E71" i="7"/>
  <c r="F71" i="7"/>
  <c r="G71" i="7"/>
  <c r="H71" i="7"/>
  <c r="I71" i="7"/>
  <c r="J71" i="7"/>
  <c r="K71" i="7"/>
  <c r="L71" i="7"/>
  <c r="E72" i="7"/>
  <c r="F72" i="7"/>
  <c r="G72" i="7"/>
  <c r="H72" i="7"/>
  <c r="I72" i="7"/>
  <c r="J72" i="7"/>
  <c r="K72" i="7"/>
  <c r="L72" i="7"/>
  <c r="D73" i="7"/>
  <c r="M51" i="7" s="1"/>
  <c r="D74" i="7"/>
  <c r="F74" i="7"/>
  <c r="G74" i="7"/>
  <c r="H74" i="7"/>
  <c r="I74" i="7"/>
  <c r="J74" i="7"/>
  <c r="K74" i="7"/>
  <c r="L74" i="7"/>
  <c r="N74" i="7"/>
  <c r="D75" i="7"/>
  <c r="P75" i="7" s="1"/>
  <c r="E75" i="7"/>
  <c r="F75" i="7"/>
  <c r="G75" i="7"/>
  <c r="H75" i="7"/>
  <c r="I75" i="7"/>
  <c r="J75" i="7"/>
  <c r="K75" i="7"/>
  <c r="L75" i="7"/>
  <c r="N75" i="7"/>
  <c r="D76" i="7"/>
  <c r="P76" i="7" s="1"/>
  <c r="N76" i="7"/>
  <c r="D78" i="7"/>
  <c r="A85" i="7"/>
  <c r="H7" i="8"/>
  <c r="E9" i="8"/>
  <c r="H9" i="8"/>
  <c r="H10" i="8"/>
  <c r="H11" i="8"/>
  <c r="H13" i="8"/>
  <c r="E14" i="8"/>
  <c r="H14" i="8"/>
  <c r="H15" i="8"/>
  <c r="H17" i="8"/>
  <c r="H18" i="8"/>
  <c r="E19" i="8"/>
  <c r="H19" i="8"/>
  <c r="H21" i="8"/>
  <c r="H22" i="8"/>
  <c r="H23" i="8"/>
  <c r="E25" i="8"/>
  <c r="H25" i="8"/>
  <c r="H26" i="8"/>
  <c r="H27" i="8"/>
  <c r="H29" i="8"/>
  <c r="E30" i="8"/>
  <c r="H30" i="8"/>
  <c r="H31" i="8"/>
  <c r="H33" i="8"/>
  <c r="H34" i="8"/>
  <c r="E35" i="8"/>
  <c r="H35" i="8"/>
  <c r="H37" i="8"/>
  <c r="H38" i="8"/>
  <c r="H39" i="8"/>
  <c r="E41" i="8"/>
  <c r="H41" i="8"/>
  <c r="H42" i="8"/>
  <c r="H43" i="8"/>
  <c r="H45" i="8"/>
  <c r="E46" i="8"/>
  <c r="H46" i="8"/>
  <c r="H47" i="8"/>
  <c r="H49" i="8"/>
  <c r="H50" i="8"/>
  <c r="E51" i="8"/>
  <c r="H51" i="8"/>
  <c r="H53" i="8"/>
  <c r="H54" i="8"/>
  <c r="H55" i="8"/>
  <c r="E57" i="8"/>
  <c r="H57" i="8"/>
  <c r="H58" i="8"/>
  <c r="D59" i="8"/>
  <c r="E7" i="8" s="1"/>
  <c r="G59" i="8"/>
  <c r="H8" i="8" s="1"/>
  <c r="G60" i="8"/>
  <c r="A61" i="8"/>
  <c r="G63" i="8"/>
  <c r="G65" i="8"/>
  <c r="G66" i="8"/>
  <c r="G67" i="8"/>
  <c r="G11" i="4"/>
  <c r="K11" i="4"/>
  <c r="M11" i="4"/>
  <c r="N11" i="4" s="1"/>
  <c r="P11" i="4"/>
  <c r="T11" i="4"/>
  <c r="E12" i="4"/>
  <c r="K12" i="4"/>
  <c r="M12" i="4"/>
  <c r="N12" i="4" s="1"/>
  <c r="R12" i="4"/>
  <c r="N13" i="4"/>
  <c r="P13" i="4"/>
  <c r="T13" i="4"/>
  <c r="U13" i="4" s="1"/>
  <c r="G14" i="4"/>
  <c r="N14" i="4"/>
  <c r="P14" i="4"/>
  <c r="T14" i="4"/>
  <c r="U14" i="4" s="1"/>
  <c r="N15" i="4"/>
  <c r="P15" i="4"/>
  <c r="T15" i="4" s="1"/>
  <c r="U15" i="4"/>
  <c r="N16" i="4"/>
  <c r="P16" i="4"/>
  <c r="T16" i="4"/>
  <c r="U16" i="4" s="1"/>
  <c r="G17" i="4"/>
  <c r="N17" i="4"/>
  <c r="P17" i="4"/>
  <c r="T17" i="4"/>
  <c r="U17" i="4"/>
  <c r="G18" i="4"/>
  <c r="P18" i="4" s="1"/>
  <c r="T18" i="4" s="1"/>
  <c r="U18" i="4" s="1"/>
  <c r="N18" i="4"/>
  <c r="N19" i="4"/>
  <c r="P19" i="4"/>
  <c r="T19" i="4"/>
  <c r="U19" i="4" s="1"/>
  <c r="G20" i="4"/>
  <c r="P20" i="4" s="1"/>
  <c r="T20" i="4" s="1"/>
  <c r="U20" i="4" s="1"/>
  <c r="N20" i="4"/>
  <c r="G21" i="4"/>
  <c r="N21" i="4"/>
  <c r="P21" i="4"/>
  <c r="T21" i="4"/>
  <c r="U21" i="4" s="1"/>
  <c r="E22" i="4"/>
  <c r="G22" i="4"/>
  <c r="P22" i="4" s="1"/>
  <c r="T22" i="4" s="1"/>
  <c r="U22" i="4" s="1"/>
  <c r="K22" i="4"/>
  <c r="N22" i="4"/>
  <c r="R22" i="4"/>
  <c r="G23" i="4"/>
  <c r="N23" i="4"/>
  <c r="P23" i="4"/>
  <c r="T23" i="4"/>
  <c r="U23" i="4" s="1"/>
  <c r="G24" i="4"/>
  <c r="P24" i="4" s="1"/>
  <c r="T24" i="4" s="1"/>
  <c r="N24" i="4"/>
  <c r="U24" i="4"/>
  <c r="G25" i="4"/>
  <c r="N25" i="4"/>
  <c r="P25" i="4"/>
  <c r="T25" i="4" s="1"/>
  <c r="U25" i="4" s="1"/>
  <c r="G26" i="4"/>
  <c r="N26" i="4"/>
  <c r="P26" i="4"/>
  <c r="T26" i="4" s="1"/>
  <c r="U26" i="4"/>
  <c r="G27" i="4"/>
  <c r="N27" i="4"/>
  <c r="P27" i="4"/>
  <c r="T27" i="4" s="1"/>
  <c r="U27" i="4" s="1"/>
  <c r="N28" i="4"/>
  <c r="P28" i="4"/>
  <c r="T28" i="4"/>
  <c r="U28" i="4"/>
  <c r="E29" i="4"/>
  <c r="P29" i="4" s="1"/>
  <c r="T29" i="4" s="1"/>
  <c r="U29" i="4" s="1"/>
  <c r="G29" i="4"/>
  <c r="K29" i="4"/>
  <c r="L29" i="4"/>
  <c r="R29" i="4"/>
  <c r="G30" i="4"/>
  <c r="N30" i="4"/>
  <c r="P30" i="4"/>
  <c r="T30" i="4" s="1"/>
  <c r="U30" i="4" s="1"/>
  <c r="M31" i="4"/>
  <c r="M29" i="4" s="1"/>
  <c r="P31" i="4"/>
  <c r="T31" i="4" s="1"/>
  <c r="U31" i="4" s="1"/>
  <c r="E32" i="4"/>
  <c r="P32" i="4" s="1"/>
  <c r="T32" i="4" s="1"/>
  <c r="U32" i="4" s="1"/>
  <c r="K32" i="4"/>
  <c r="N32" i="4" s="1"/>
  <c r="L32" i="4"/>
  <c r="M32" i="4"/>
  <c r="R32" i="4"/>
  <c r="N33" i="4"/>
  <c r="P33" i="4"/>
  <c r="T33" i="4" s="1"/>
  <c r="U33" i="4" s="1"/>
  <c r="N34" i="4"/>
  <c r="P34" i="4"/>
  <c r="T34" i="4"/>
  <c r="U34" i="4" s="1"/>
  <c r="N35" i="4"/>
  <c r="P35" i="4"/>
  <c r="T35" i="4"/>
  <c r="U35" i="4" s="1"/>
  <c r="N36" i="4"/>
  <c r="P36" i="4"/>
  <c r="T36" i="4"/>
  <c r="U36" i="4" s="1"/>
  <c r="G37" i="4"/>
  <c r="G32" i="4" s="1"/>
  <c r="N37" i="4"/>
  <c r="P37" i="4"/>
  <c r="T37" i="4"/>
  <c r="U37" i="4" s="1"/>
  <c r="N38" i="4"/>
  <c r="P38" i="4"/>
  <c r="T38" i="4" s="1"/>
  <c r="U38" i="4" s="1"/>
  <c r="N39" i="4"/>
  <c r="P39" i="4"/>
  <c r="T39" i="4" s="1"/>
  <c r="U39" i="4" s="1"/>
  <c r="N40" i="4"/>
  <c r="P40" i="4"/>
  <c r="T40" i="4" s="1"/>
  <c r="U40" i="4" s="1"/>
  <c r="N41" i="4"/>
  <c r="P41" i="4"/>
  <c r="T41" i="4" s="1"/>
  <c r="U41" i="4" s="1"/>
  <c r="N42" i="4"/>
  <c r="P42" i="4"/>
  <c r="T42" i="4" s="1"/>
  <c r="U42" i="4"/>
  <c r="E43" i="4"/>
  <c r="K43" i="4"/>
  <c r="L43" i="4"/>
  <c r="M43" i="4"/>
  <c r="R43" i="4"/>
  <c r="G44" i="4"/>
  <c r="P44" i="4" s="1"/>
  <c r="N44" i="4"/>
  <c r="T44" i="4"/>
  <c r="U44" i="4" s="1"/>
  <c r="G45" i="4"/>
  <c r="N45" i="4"/>
  <c r="P45" i="4"/>
  <c r="T45" i="4"/>
  <c r="U45" i="4" s="1"/>
  <c r="G46" i="4"/>
  <c r="N46" i="4"/>
  <c r="P46" i="4"/>
  <c r="T46" i="4"/>
  <c r="U46" i="4" s="1"/>
  <c r="G47" i="4"/>
  <c r="P47" i="4" s="1"/>
  <c r="T47" i="4" s="1"/>
  <c r="N47" i="4"/>
  <c r="U47" i="4"/>
  <c r="K48" i="4"/>
  <c r="N48" i="4"/>
  <c r="P48" i="4"/>
  <c r="T48" i="4" s="1"/>
  <c r="U48" i="4" s="1"/>
  <c r="N49" i="4"/>
  <c r="P49" i="4"/>
  <c r="T49" i="4"/>
  <c r="U49" i="4"/>
  <c r="N50" i="4"/>
  <c r="P50" i="4"/>
  <c r="T50" i="4" s="1"/>
  <c r="U50" i="4" s="1"/>
  <c r="I52" i="4"/>
  <c r="L52" i="4"/>
  <c r="L56" i="4" s="1"/>
  <c r="N54" i="4"/>
  <c r="T54" i="4"/>
  <c r="I56" i="4"/>
  <c r="N58" i="4"/>
  <c r="P58" i="4"/>
  <c r="R58" i="4"/>
  <c r="T58" i="4"/>
  <c r="U58" i="4" s="1"/>
  <c r="N59" i="4"/>
  <c r="T59" i="4"/>
  <c r="U59" i="4" s="1"/>
  <c r="I61" i="4"/>
  <c r="K63" i="4"/>
  <c r="M63" i="4"/>
  <c r="N63" i="4"/>
  <c r="T63" i="4"/>
  <c r="U63" i="4"/>
  <c r="C7" i="5"/>
  <c r="I7" i="5"/>
  <c r="C9" i="5"/>
  <c r="E9" i="5" s="1"/>
  <c r="I9" i="5"/>
  <c r="I23" i="5" s="1"/>
  <c r="I29" i="5" s="1"/>
  <c r="K29" i="5" s="1"/>
  <c r="M29" i="5" s="1"/>
  <c r="E10" i="5"/>
  <c r="G10" i="5" s="1"/>
  <c r="I10" i="5"/>
  <c r="K10" i="5"/>
  <c r="M10" i="5" s="1"/>
  <c r="E11" i="5"/>
  <c r="G11" i="5"/>
  <c r="I11" i="5"/>
  <c r="K11" i="5" s="1"/>
  <c r="M11" i="5" s="1"/>
  <c r="E12" i="5"/>
  <c r="G12" i="5" s="1"/>
  <c r="K12" i="5"/>
  <c r="M12" i="5"/>
  <c r="C13" i="5"/>
  <c r="E13" i="5"/>
  <c r="G13" i="5" s="1"/>
  <c r="I13" i="5"/>
  <c r="K13" i="5"/>
  <c r="M13" i="5"/>
  <c r="E14" i="5"/>
  <c r="G14" i="5" s="1"/>
  <c r="K14" i="5"/>
  <c r="M14" i="5" s="1"/>
  <c r="C15" i="5"/>
  <c r="E15" i="5" s="1"/>
  <c r="G15" i="5"/>
  <c r="I15" i="5"/>
  <c r="K15" i="5"/>
  <c r="M15" i="5" s="1"/>
  <c r="C16" i="5"/>
  <c r="E16" i="5"/>
  <c r="G16" i="5" s="1"/>
  <c r="I16" i="5"/>
  <c r="K16" i="5"/>
  <c r="M16" i="5"/>
  <c r="C17" i="5"/>
  <c r="E17" i="5"/>
  <c r="G17" i="5" s="1"/>
  <c r="I17" i="5"/>
  <c r="K17" i="5" s="1"/>
  <c r="M17" i="5" s="1"/>
  <c r="C18" i="5"/>
  <c r="E18" i="5" s="1"/>
  <c r="G18" i="5" s="1"/>
  <c r="I18" i="5"/>
  <c r="K18" i="5" s="1"/>
  <c r="M18" i="5" s="1"/>
  <c r="C19" i="5"/>
  <c r="E19" i="5"/>
  <c r="G19" i="5"/>
  <c r="I19" i="5"/>
  <c r="K19" i="5"/>
  <c r="M19" i="5"/>
  <c r="E20" i="5"/>
  <c r="G20" i="5"/>
  <c r="I20" i="5"/>
  <c r="K20" i="5"/>
  <c r="M20" i="5"/>
  <c r="E21" i="5"/>
  <c r="G21" i="5"/>
  <c r="I21" i="5"/>
  <c r="K21" i="5" s="1"/>
  <c r="M21" i="5" s="1"/>
  <c r="C22" i="5"/>
  <c r="E22" i="5"/>
  <c r="G22" i="5"/>
  <c r="I22" i="5"/>
  <c r="K22" i="5"/>
  <c r="M22" i="5"/>
  <c r="I24" i="5"/>
  <c r="K27" i="5" s="1"/>
  <c r="N29" i="4" l="1"/>
  <c r="N52" i="4" s="1"/>
  <c r="N56" i="4" s="1"/>
  <c r="N61" i="4" s="1"/>
  <c r="M52" i="4"/>
  <c r="K31" i="5"/>
  <c r="M31" i="5" s="1"/>
  <c r="M27" i="5"/>
  <c r="G9" i="5"/>
  <c r="P43" i="4"/>
  <c r="T43" i="4" s="1"/>
  <c r="U43" i="4" s="1"/>
  <c r="M69" i="7"/>
  <c r="E52" i="4"/>
  <c r="E61" i="4" s="1"/>
  <c r="M70" i="7"/>
  <c r="M57" i="7"/>
  <c r="C23" i="5"/>
  <c r="K9" i="5"/>
  <c r="L61" i="4"/>
  <c r="G43" i="4"/>
  <c r="U11" i="4"/>
  <c r="E58" i="8"/>
  <c r="E53" i="8"/>
  <c r="E47" i="8"/>
  <c r="E42" i="8"/>
  <c r="E37" i="8"/>
  <c r="E31" i="8"/>
  <c r="E26" i="8"/>
  <c r="E21" i="8"/>
  <c r="E15" i="8"/>
  <c r="E10" i="8"/>
  <c r="E59" i="8" s="1"/>
  <c r="M65" i="7"/>
  <c r="M39" i="7"/>
  <c r="K52" i="4"/>
  <c r="K61" i="4" s="1"/>
  <c r="N31" i="4"/>
  <c r="R52" i="4"/>
  <c r="R56" i="4" s="1"/>
  <c r="R61" i="4" s="1"/>
  <c r="M73" i="7"/>
  <c r="M38" i="7"/>
  <c r="G73" i="7"/>
  <c r="M54" i="7"/>
  <c r="M47" i="7"/>
  <c r="E39" i="8"/>
  <c r="E13" i="8"/>
  <c r="M19" i="7"/>
  <c r="F73" i="7"/>
  <c r="J17" i="6"/>
  <c r="L17" i="6" s="1"/>
  <c r="M27" i="7"/>
  <c r="I73" i="7"/>
  <c r="J7" i="6"/>
  <c r="P74" i="7"/>
  <c r="P4" i="7" s="1"/>
  <c r="N4" i="7" s="1"/>
  <c r="M68" i="7"/>
  <c r="M46" i="7"/>
  <c r="N43" i="4"/>
  <c r="P12" i="4"/>
  <c r="E55" i="8"/>
  <c r="E50" i="8"/>
  <c r="E45" i="8"/>
  <c r="E34" i="8"/>
  <c r="E29" i="8"/>
  <c r="E23" i="8"/>
  <c r="E18" i="8"/>
  <c r="D77" i="7"/>
  <c r="D79" i="7" s="1"/>
  <c r="M61" i="7"/>
  <c r="I31" i="5"/>
  <c r="G12" i="4"/>
  <c r="M67" i="7"/>
  <c r="M60" i="7"/>
  <c r="L37" i="6"/>
  <c r="M7" i="7"/>
  <c r="M10" i="7"/>
  <c r="M18" i="7"/>
  <c r="M26" i="7"/>
  <c r="M34" i="7"/>
  <c r="M42" i="7"/>
  <c r="M50" i="7"/>
  <c r="M64" i="7"/>
  <c r="M72" i="7"/>
  <c r="M13" i="7"/>
  <c r="M21" i="7"/>
  <c r="M29" i="7"/>
  <c r="M37" i="7"/>
  <c r="M45" i="7"/>
  <c r="M53" i="7"/>
  <c r="M56" i="7"/>
  <c r="M59" i="7"/>
  <c r="M16" i="7"/>
  <c r="M24" i="7"/>
  <c r="M32" i="7"/>
  <c r="M40" i="7"/>
  <c r="M48" i="7"/>
  <c r="M62" i="7"/>
  <c r="M8" i="7"/>
  <c r="M11" i="7"/>
  <c r="M14" i="7"/>
  <c r="M22" i="7"/>
  <c r="M30" i="7"/>
  <c r="M6" i="7"/>
  <c r="M17" i="7"/>
  <c r="M25" i="7"/>
  <c r="M33" i="7"/>
  <c r="M41" i="7"/>
  <c r="M49" i="7"/>
  <c r="M63" i="7"/>
  <c r="M71" i="7"/>
  <c r="M15" i="7"/>
  <c r="M9" i="7"/>
  <c r="M12" i="7"/>
  <c r="M20" i="7"/>
  <c r="M28" i="7"/>
  <c r="M36" i="7"/>
  <c r="M44" i="7"/>
  <c r="M52" i="7"/>
  <c r="M55" i="7"/>
  <c r="M66" i="7"/>
  <c r="M23" i="7"/>
  <c r="M31" i="7"/>
  <c r="K23" i="5"/>
  <c r="M23" i="5" s="1"/>
  <c r="E8" i="8"/>
  <c r="E12" i="8"/>
  <c r="E16" i="8"/>
  <c r="E20" i="8"/>
  <c r="E24" i="8"/>
  <c r="E28" i="8"/>
  <c r="E32" i="8"/>
  <c r="E36" i="8"/>
  <c r="E40" i="8"/>
  <c r="E44" i="8"/>
  <c r="E48" i="8"/>
  <c r="E52" i="8"/>
  <c r="E56" i="8"/>
  <c r="E54" i="8"/>
  <c r="E49" i="8"/>
  <c r="E43" i="8"/>
  <c r="E38" i="8"/>
  <c r="E33" i="8"/>
  <c r="E27" i="8"/>
  <c r="E22" i="8"/>
  <c r="E17" i="8"/>
  <c r="E11" i="8"/>
  <c r="A81" i="7"/>
  <c r="M58" i="7"/>
  <c r="M43" i="7"/>
  <c r="M35" i="7"/>
  <c r="E25" i="6"/>
  <c r="H56" i="8"/>
  <c r="H52" i="8"/>
  <c r="H48" i="8"/>
  <c r="H44" i="8"/>
  <c r="H40" i="8"/>
  <c r="H36" i="8"/>
  <c r="H32" i="8"/>
  <c r="H28" i="8"/>
  <c r="H24" i="8"/>
  <c r="H20" i="8"/>
  <c r="H16" i="8"/>
  <c r="H12" i="8"/>
  <c r="H59" i="8" s="1"/>
  <c r="H54" i="6"/>
  <c r="F13" i="6"/>
  <c r="J13" i="6" s="1"/>
  <c r="L13" i="6" s="1"/>
  <c r="D25" i="6"/>
  <c r="F9" i="6"/>
  <c r="J9" i="6" s="1"/>
  <c r="L9" i="6" s="1"/>
  <c r="J39" i="6"/>
  <c r="L39" i="6" s="1"/>
  <c r="L54" i="6" s="1"/>
  <c r="F15" i="6"/>
  <c r="J15" i="6" s="1"/>
  <c r="L15" i="6" s="1"/>
  <c r="F11" i="6"/>
  <c r="J11" i="6" s="1"/>
  <c r="L11" i="6" s="1"/>
  <c r="C23" i="6"/>
  <c r="J23" i="6" s="1"/>
  <c r="L23" i="6" s="1"/>
  <c r="F7" i="6"/>
  <c r="K24" i="5" l="1"/>
  <c r="M9" i="5"/>
  <c r="M24" i="5" s="1"/>
  <c r="J54" i="6"/>
  <c r="C24" i="5"/>
  <c r="E27" i="5" s="1"/>
  <c r="C29" i="5"/>
  <c r="E23" i="5"/>
  <c r="G52" i="4"/>
  <c r="G61" i="4" s="1"/>
  <c r="C25" i="6"/>
  <c r="N15" i="7"/>
  <c r="P15" i="7" s="1"/>
  <c r="N23" i="7"/>
  <c r="P23" i="7" s="1"/>
  <c r="N31" i="7"/>
  <c r="P31" i="7" s="1"/>
  <c r="N39" i="7"/>
  <c r="P39" i="7" s="1"/>
  <c r="N47" i="7"/>
  <c r="P47" i="7" s="1"/>
  <c r="N58" i="7"/>
  <c r="P58" i="7" s="1"/>
  <c r="N61" i="7"/>
  <c r="P61" i="7" s="1"/>
  <c r="N69" i="7"/>
  <c r="P69" i="7" s="1"/>
  <c r="N7" i="7"/>
  <c r="P7" i="7" s="1"/>
  <c r="N10" i="7"/>
  <c r="P10" i="7" s="1"/>
  <c r="N18" i="7"/>
  <c r="P18" i="7" s="1"/>
  <c r="N26" i="7"/>
  <c r="P26" i="7" s="1"/>
  <c r="N34" i="7"/>
  <c r="P34" i="7" s="1"/>
  <c r="N42" i="7"/>
  <c r="P42" i="7" s="1"/>
  <c r="N50" i="7"/>
  <c r="P50" i="7" s="1"/>
  <c r="N64" i="7"/>
  <c r="P64" i="7" s="1"/>
  <c r="N13" i="7"/>
  <c r="N21" i="7"/>
  <c r="P21" i="7" s="1"/>
  <c r="N29" i="7"/>
  <c r="P29" i="7" s="1"/>
  <c r="N37" i="7"/>
  <c r="P37" i="7" s="1"/>
  <c r="N45" i="7"/>
  <c r="P45" i="7" s="1"/>
  <c r="N53" i="7"/>
  <c r="P53" i="7" s="1"/>
  <c r="N56" i="7"/>
  <c r="P56" i="7" s="1"/>
  <c r="N59" i="7"/>
  <c r="P59" i="7" s="1"/>
  <c r="N8" i="7"/>
  <c r="P8" i="7" s="1"/>
  <c r="N11" i="7"/>
  <c r="P11" i="7" s="1"/>
  <c r="N19" i="7"/>
  <c r="P19" i="7" s="1"/>
  <c r="N27" i="7"/>
  <c r="P27" i="7" s="1"/>
  <c r="N35" i="7"/>
  <c r="P35" i="7" s="1"/>
  <c r="N14" i="7"/>
  <c r="P14" i="7" s="1"/>
  <c r="N22" i="7"/>
  <c r="P22" i="7" s="1"/>
  <c r="N30" i="7"/>
  <c r="P30" i="7" s="1"/>
  <c r="N38" i="7"/>
  <c r="P38" i="7" s="1"/>
  <c r="N46" i="7"/>
  <c r="P46" i="7" s="1"/>
  <c r="N54" i="7"/>
  <c r="P54" i="7" s="1"/>
  <c r="N57" i="7"/>
  <c r="P57" i="7" s="1"/>
  <c r="N60" i="7"/>
  <c r="P60" i="7" s="1"/>
  <c r="N68" i="7"/>
  <c r="P68" i="7" s="1"/>
  <c r="N9" i="7"/>
  <c r="P9" i="7" s="1"/>
  <c r="N20" i="7"/>
  <c r="P20" i="7" s="1"/>
  <c r="N28" i="7"/>
  <c r="P28" i="7" s="1"/>
  <c r="N6" i="7"/>
  <c r="N17" i="7"/>
  <c r="P17" i="7" s="1"/>
  <c r="N25" i="7"/>
  <c r="P25" i="7" s="1"/>
  <c r="N33" i="7"/>
  <c r="P33" i="7" s="1"/>
  <c r="N41" i="7"/>
  <c r="P41" i="7" s="1"/>
  <c r="N49" i="7"/>
  <c r="P49" i="7" s="1"/>
  <c r="N63" i="7"/>
  <c r="P63" i="7" s="1"/>
  <c r="N71" i="7"/>
  <c r="P71" i="7" s="1"/>
  <c r="N12" i="7"/>
  <c r="P12" i="7" s="1"/>
  <c r="N66" i="7"/>
  <c r="P66" i="7" s="1"/>
  <c r="N70" i="7"/>
  <c r="P70" i="7" s="1"/>
  <c r="N55" i="7"/>
  <c r="P55" i="7" s="1"/>
  <c r="N16" i="7"/>
  <c r="P16" i="7" s="1"/>
  <c r="N36" i="7"/>
  <c r="P36" i="7" s="1"/>
  <c r="N43" i="7"/>
  <c r="P43" i="7" s="1"/>
  <c r="N40" i="7"/>
  <c r="P40" i="7" s="1"/>
  <c r="N44" i="7"/>
  <c r="P44" i="7" s="1"/>
  <c r="N51" i="7"/>
  <c r="P51" i="7" s="1"/>
  <c r="N67" i="7"/>
  <c r="P67" i="7" s="1"/>
  <c r="N52" i="7"/>
  <c r="P52" i="7" s="1"/>
  <c r="N62" i="7"/>
  <c r="P62" i="7" s="1"/>
  <c r="N72" i="7"/>
  <c r="P72" i="7" s="1"/>
  <c r="N24" i="7"/>
  <c r="P24" i="7" s="1"/>
  <c r="N48" i="7"/>
  <c r="P48" i="7" s="1"/>
  <c r="N32" i="7"/>
  <c r="P32" i="7" s="1"/>
  <c r="N65" i="7"/>
  <c r="P65" i="7" s="1"/>
  <c r="J25" i="6"/>
  <c r="L7" i="6"/>
  <c r="L25" i="6" s="1"/>
  <c r="G56" i="4"/>
  <c r="K56" i="4"/>
  <c r="F25" i="6"/>
  <c r="E56" i="4"/>
  <c r="M56" i="4"/>
  <c r="M61" i="4"/>
  <c r="T12" i="4"/>
  <c r="P52" i="4"/>
  <c r="P56" i="4" s="1"/>
  <c r="P61" i="4" s="1"/>
  <c r="G23" i="5" l="1"/>
  <c r="G24" i="5" s="1"/>
  <c r="E24" i="5"/>
  <c r="E29" i="5"/>
  <c r="G29" i="5" s="1"/>
  <c r="C31" i="5"/>
  <c r="G27" i="5"/>
  <c r="E31" i="5"/>
  <c r="G31" i="5" s="1"/>
  <c r="N77" i="7"/>
  <c r="N73" i="7"/>
  <c r="P6" i="7"/>
  <c r="U12" i="4"/>
  <c r="T52" i="4"/>
  <c r="P13" i="7"/>
  <c r="N78" i="7"/>
  <c r="P78" i="7"/>
  <c r="U52" i="4" l="1"/>
  <c r="T56" i="4"/>
  <c r="N79" i="7"/>
  <c r="P73" i="7"/>
  <c r="P77" i="7"/>
  <c r="P79" i="7" s="1"/>
  <c r="P80" i="7" s="1"/>
  <c r="T61" i="4" l="1"/>
  <c r="U61" i="4" s="1"/>
  <c r="U56" i="4"/>
</calcChain>
</file>

<file path=xl/comments1.xml><?xml version="1.0" encoding="utf-8"?>
<comments xmlns="http://schemas.openxmlformats.org/spreadsheetml/2006/main">
  <authors>
    <author>lguillia</author>
  </authors>
  <commentList>
    <comment ref="F7" authorId="0" shapeId="0">
      <text>
        <r>
          <rPr>
            <b/>
            <sz val="8"/>
            <color indexed="81"/>
            <rFont val="Tahoma"/>
          </rPr>
          <t>Hide columns D through G for presentation purposes</t>
        </r>
      </text>
    </comment>
    <comment ref="U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Hide column N for presentation purposes</t>
        </r>
      </text>
    </comment>
    <comment ref="I11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plug here 1.2M per Faith, (219,970) to back out EBS bonuses; 22k forced to get back to 52113 total</t>
        </r>
      </text>
    </comment>
    <comment ref="K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estimated ee
</t>
        </r>
      </text>
    </comment>
    <comment ref="K2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estimated travel
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C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add 1.2M per Faith
</t>
        </r>
      </text>
    </comment>
    <comment ref="C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120484
121125
</t>
        </r>
      </text>
    </comment>
    <comment ref="C1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100055
</t>
        </r>
      </text>
    </comment>
    <comment ref="C11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150249</t>
        </r>
      </text>
    </comment>
    <comment ref="C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140052
</t>
        </r>
      </text>
    </comment>
    <comment ref="I1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 APACHI for 2002
</t>
        </r>
      </text>
    </comment>
    <comment ref="C13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140167
</t>
        </r>
      </text>
    </comment>
    <comment ref="A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is EPI</t>
        </r>
      </text>
    </comment>
    <comment ref="C14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106042</t>
        </r>
      </text>
    </comment>
    <comment ref="C15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106196
</t>
        </r>
      </text>
    </comment>
    <comment ref="C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100663
</t>
        </r>
      </text>
    </comment>
    <comment ref="C1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102564</t>
        </r>
      </text>
    </comment>
    <comment ref="C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103478 (Murray = 1,193,172)</t>
        </r>
      </text>
    </comment>
    <comment ref="I18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Murray in Plan and Forecast
</t>
        </r>
      </text>
    </comment>
    <comment ref="C19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104151</t>
        </r>
      </text>
    </comment>
    <comment ref="C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105168;  not split between wholesale and retail in 2001</t>
        </r>
      </text>
    </comment>
    <comment ref="C22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140399
140402</t>
        </r>
      </text>
    </comment>
  </commentList>
</comments>
</file>

<file path=xl/sharedStrings.xml><?xml version="1.0" encoding="utf-8"?>
<sst xmlns="http://schemas.openxmlformats.org/spreadsheetml/2006/main" count="359" uniqueCount="246">
  <si>
    <t>2002 Plan Summary - Legal</t>
  </si>
  <si>
    <t>'01 Fcst vs '02 Plan</t>
  </si>
  <si>
    <t>Actuals</t>
  </si>
  <si>
    <t>Forecast</t>
  </si>
  <si>
    <t>Plan</t>
  </si>
  <si>
    <t>Fav/(Unfav)</t>
  </si>
  <si>
    <t>Jan-July</t>
  </si>
  <si>
    <t>Aug-Dec</t>
  </si>
  <si>
    <t xml:space="preserve">  Direct Expenses </t>
  </si>
  <si>
    <t>Compensation/Taxes and Benefits</t>
  </si>
  <si>
    <t>Merits/Promotions increase</t>
  </si>
  <si>
    <t>Employee Expenses</t>
  </si>
  <si>
    <t xml:space="preserve">     Recruiting and Relocations</t>
  </si>
  <si>
    <t xml:space="preserve">     Communications (Cell Phones, Pagers, etc.)</t>
  </si>
  <si>
    <t xml:space="preserve">     Conferences and Training</t>
  </si>
  <si>
    <t xml:space="preserve">     Club Dues</t>
  </si>
  <si>
    <t xml:space="preserve">     Employee Memberships &amp; Dues</t>
  </si>
  <si>
    <t xml:space="preserve">     Tuition Reimbursement</t>
  </si>
  <si>
    <t xml:space="preserve">     Employee Entertainment</t>
  </si>
  <si>
    <t xml:space="preserve">     Overtime/Working Meals</t>
  </si>
  <si>
    <t xml:space="preserve">     Other Employee Expenses</t>
  </si>
  <si>
    <t>Travel/Entertainment</t>
  </si>
  <si>
    <t xml:space="preserve">     Travel - Air</t>
  </si>
  <si>
    <t xml:space="preserve">     Travel - Lodging</t>
  </si>
  <si>
    <t xml:space="preserve">     Travel - Meals</t>
  </si>
  <si>
    <t xml:space="preserve">     Travel - Other</t>
  </si>
  <si>
    <t xml:space="preserve">     Client Entertainment</t>
  </si>
  <si>
    <t xml:space="preserve">     Customer Meetings</t>
  </si>
  <si>
    <t>Consulting</t>
  </si>
  <si>
    <t>All O/S planned in O/S legal</t>
  </si>
  <si>
    <t xml:space="preserve">     Advertising &amp; Promotions</t>
  </si>
  <si>
    <t xml:space="preserve">     Outside Services Excluding Legal and Tax</t>
  </si>
  <si>
    <t>Office</t>
  </si>
  <si>
    <t xml:space="preserve">     3rd Party Rent</t>
  </si>
  <si>
    <t xml:space="preserve">     Supplies</t>
  </si>
  <si>
    <t xml:space="preserve">     Subscriptions and Periodicals</t>
  </si>
  <si>
    <t xml:space="preserve">     Postage and Freight</t>
  </si>
  <si>
    <t xml:space="preserve">     Corporate Rent</t>
  </si>
  <si>
    <t xml:space="preserve">     Technology</t>
  </si>
  <si>
    <t>Controllable Infrastructure</t>
  </si>
  <si>
    <t>System Development</t>
  </si>
  <si>
    <t>Insurance</t>
  </si>
  <si>
    <t>Other Expense</t>
  </si>
  <si>
    <t xml:space="preserve">     Taxes Other than Income</t>
  </si>
  <si>
    <t xml:space="preserve">     Charitable Contributions</t>
  </si>
  <si>
    <t xml:space="preserve">     Company Membership &amp; Dues</t>
  </si>
  <si>
    <t xml:space="preserve">     Other Expenses (Transportation, Fees &amp; Permits, etc.)</t>
  </si>
  <si>
    <t>Outside Legal</t>
  </si>
  <si>
    <t>Per M. Haedicke, flat yr on yr</t>
  </si>
  <si>
    <t>Outside Tax</t>
  </si>
  <si>
    <t>Depreciation and Amortization</t>
  </si>
  <si>
    <t>Total Direct Expenses</t>
  </si>
  <si>
    <t>Amounts Billed to Other Business Units</t>
  </si>
  <si>
    <t>Amounts Directed to ENA Commercial Teams</t>
  </si>
  <si>
    <t>Expenses Net of Intercompany Billings</t>
  </si>
  <si>
    <t xml:space="preserve">  Headcount</t>
  </si>
  <si>
    <r>
      <t xml:space="preserve">Analyst Associates </t>
    </r>
    <r>
      <rPr>
        <sz val="9"/>
        <rFont val="Arial"/>
        <family val="2"/>
      </rPr>
      <t>(Includes Comp, Taxes and Benefits and allocation)</t>
    </r>
  </si>
  <si>
    <t>2001 Forecast</t>
  </si>
  <si>
    <t>2002 Plan</t>
  </si>
  <si>
    <t>$</t>
  </si>
  <si>
    <t>%</t>
  </si>
  <si>
    <t xml:space="preserve">  Allocation to business units</t>
  </si>
  <si>
    <t xml:space="preserve">     EGM</t>
  </si>
  <si>
    <t xml:space="preserve">     RAC - Investment Underwriting</t>
  </si>
  <si>
    <t xml:space="preserve">     Corp</t>
  </si>
  <si>
    <t xml:space="preserve">     APACHI</t>
  </si>
  <si>
    <t xml:space="preserve">     ENW</t>
  </si>
  <si>
    <t xml:space="preserve">     EEDC</t>
  </si>
  <si>
    <t xml:space="preserve">     EEL</t>
  </si>
  <si>
    <t xml:space="preserve">     EI - S.A.</t>
  </si>
  <si>
    <t xml:space="preserve">     EIM</t>
  </si>
  <si>
    <t xml:space="preserve">     EBS</t>
  </si>
  <si>
    <t xml:space="preserve">     Xcelerator</t>
  </si>
  <si>
    <t xml:space="preserve">     EPI</t>
  </si>
  <si>
    <t xml:space="preserve">     ENA</t>
  </si>
  <si>
    <t>Total</t>
  </si>
  <si>
    <t>ENA Commercial Teams</t>
  </si>
  <si>
    <t>ENA Net to Group</t>
  </si>
  <si>
    <t>Total ENA</t>
  </si>
  <si>
    <t>2002 Internal legal billout to other business units (nonENA)</t>
  </si>
  <si>
    <t>L. Schuler - 105653</t>
  </si>
  <si>
    <t>L. Schuler (EBS) - 140567</t>
  </si>
  <si>
    <t>M. Haedicke - 105655</t>
  </si>
  <si>
    <t>M. Taylor - 105657</t>
  </si>
  <si>
    <t>A. Aronowitz - 105658</t>
  </si>
  <si>
    <t>Total/month</t>
  </si>
  <si>
    <t>Total/year</t>
  </si>
  <si>
    <t>Enron Capital Management - CC 106196</t>
  </si>
  <si>
    <t>Enron Global Markets - CC 120484</t>
  </si>
  <si>
    <t>Enron Industrial Markets - CC 103478</t>
  </si>
  <si>
    <t>Enron South America - CC 102564</t>
  </si>
  <si>
    <t>Enron Networks - CC 140167</t>
  </si>
  <si>
    <t>EEL - CC 100663</t>
  </si>
  <si>
    <t>Enron Principal Investments - CC 140399</t>
  </si>
  <si>
    <t>Enron Broadband Services</t>
  </si>
  <si>
    <t>a)</t>
  </si>
  <si>
    <t>Xcelerator</t>
  </si>
  <si>
    <t>Total Monthly Internal Expenses for 2002 Plan</t>
  </si>
  <si>
    <t>Flat amount of $8M/yr</t>
  </si>
  <si>
    <t>Note:  These amounts are being billed to the above business units monthly.</t>
  </si>
  <si>
    <t>a) EBS internal is 3,000,000 for the year, and 5,000,000 for external for the year for a total of 8,000,000 flat rate billed.</t>
  </si>
  <si>
    <t>Cost Center</t>
  </si>
  <si>
    <t>BUs and Commercial Teams</t>
  </si>
  <si>
    <t>Old Name</t>
  </si>
  <si>
    <t>Energy Capital - 105653</t>
  </si>
  <si>
    <t>West Orig - 105654</t>
  </si>
  <si>
    <t>Litigation - 105656</t>
  </si>
  <si>
    <t>Fin'l Trdg - 105657</t>
  </si>
  <si>
    <t>EGM - 105658</t>
  </si>
  <si>
    <t>Labor &amp; Emp Law - 105660</t>
  </si>
  <si>
    <t>Power Trdg - 107061</t>
  </si>
  <si>
    <t>EIM - 107062</t>
  </si>
  <si>
    <t>RAC - Investment Underwriting</t>
  </si>
  <si>
    <t>I/C - CORP-Other G&amp;A Costs</t>
  </si>
  <si>
    <t>I/C</t>
  </si>
  <si>
    <t>I/C - EEL-ECT NA G&amp;A ALLOCATIONS</t>
  </si>
  <si>
    <t>I/C - ES-HOU - Corp. Allocations (EI - So. Am)</t>
  </si>
  <si>
    <t>I/C - EIM</t>
  </si>
  <si>
    <t>I/C - EBS</t>
  </si>
  <si>
    <t>Pulp &amp; Paper</t>
  </si>
  <si>
    <t>I/C - EES - Commodity Risk Management</t>
  </si>
  <si>
    <t>I/C - EES - IT - Executive</t>
  </si>
  <si>
    <t>NA-Company 413 Group Non Controllable</t>
  </si>
  <si>
    <t>NA-Treasury</t>
  </si>
  <si>
    <t>Group</t>
  </si>
  <si>
    <t>Bridgeline</t>
  </si>
  <si>
    <t>NA-Upstream Originations Compression</t>
  </si>
  <si>
    <t>I/C - ECM(EGF)</t>
  </si>
  <si>
    <t>NA-Generation Investments</t>
  </si>
  <si>
    <t>NA-Office of the Chair G&amp;A</t>
  </si>
  <si>
    <t>NBD</t>
  </si>
  <si>
    <t>NA-Natural Gas Derivatives</t>
  </si>
  <si>
    <t>Office of the Chairman</t>
  </si>
  <si>
    <t>NA-HPL</t>
  </si>
  <si>
    <t>NA-East Originations G&amp;A</t>
  </si>
  <si>
    <t>NA-Industrial Downstream G&amp;A</t>
  </si>
  <si>
    <t>East Orig</t>
  </si>
  <si>
    <t>NA-Gas Network Services G&amp;A</t>
  </si>
  <si>
    <t>Downstream Industrial</t>
  </si>
  <si>
    <t>NA-Upstream Originations Storage</t>
  </si>
  <si>
    <t>Assets</t>
  </si>
  <si>
    <t>NA-Enron Power Transmission G&amp;A</t>
  </si>
  <si>
    <t>NA-Gas Network Development G&amp;A</t>
  </si>
  <si>
    <t>NA-Transportation &amp; Storage G&amp;A</t>
  </si>
  <si>
    <t>NA-Gas Network Engineering G&amp;A</t>
  </si>
  <si>
    <t>NA-Gas Network Opererations</t>
  </si>
  <si>
    <t>NA-Rocky Mountain G&amp;A</t>
  </si>
  <si>
    <t>NA-Debt Trading Trading G&amp;A</t>
  </si>
  <si>
    <t>NA-Genco G&amp;A</t>
  </si>
  <si>
    <t>Credit Spread</t>
  </si>
  <si>
    <t>NA-Asset Trading G&amp;A</t>
  </si>
  <si>
    <t>Genco</t>
  </si>
  <si>
    <t>NA-Financial Gas G&amp;A</t>
  </si>
  <si>
    <t>NA-Central Gas G&amp;A</t>
  </si>
  <si>
    <t>LT Gas Trading</t>
  </si>
  <si>
    <t>NA-East Gas G&amp;A</t>
  </si>
  <si>
    <t>Short-term Gas Trading - Central</t>
  </si>
  <si>
    <t>NA-West Gas G&amp;A</t>
  </si>
  <si>
    <t xml:space="preserve">Short-term Gas Trading - East </t>
  </si>
  <si>
    <t>NA-CTG G&amp;A</t>
  </si>
  <si>
    <t>Short-term Gas Trading - West</t>
  </si>
  <si>
    <t>NA-Risk Management Houston G&amp;A</t>
  </si>
  <si>
    <t>CTG</t>
  </si>
  <si>
    <t>NA-Risk Management New York G&amp;A</t>
  </si>
  <si>
    <t>Risk Management - Houston</t>
  </si>
  <si>
    <t>NA-Energy Capital Resources</t>
  </si>
  <si>
    <t>Risk Management - New York</t>
  </si>
  <si>
    <t>NA-Upstream Originations Executive</t>
  </si>
  <si>
    <t>Financial Origination</t>
  </si>
  <si>
    <t>NA-Upstream Originations Prod E-Commerce</t>
  </si>
  <si>
    <t>SA: perf &amp; nonperf</t>
  </si>
  <si>
    <t>NA-TAC</t>
  </si>
  <si>
    <t>Upstream Origination</t>
  </si>
  <si>
    <t>NA-Assets Transportation G&amp;A</t>
  </si>
  <si>
    <t>Executive Assets</t>
  </si>
  <si>
    <t>NA-Offshore Services G&amp;A</t>
  </si>
  <si>
    <t>NA-Canada Finance G&amp;A</t>
  </si>
  <si>
    <t>NA-Canada Trading G&amp;A</t>
  </si>
  <si>
    <t>NA-Mexico G&amp;A</t>
  </si>
  <si>
    <t xml:space="preserve">NA-West Power Originations </t>
  </si>
  <si>
    <t>Canada</t>
  </si>
  <si>
    <t>NA-West Origination Development</t>
  </si>
  <si>
    <t>NA-West Power Trading G&amp;A</t>
  </si>
  <si>
    <t>Mexico</t>
  </si>
  <si>
    <t>NA-East Power Northeast Trading</t>
  </si>
  <si>
    <t>NA-Natural Gas Midwest Originations</t>
  </si>
  <si>
    <t>West Originations</t>
  </si>
  <si>
    <t>NA-East Power Generation Development</t>
  </si>
  <si>
    <t>NA-West Gas Denver</t>
  </si>
  <si>
    <t>West Power Trading</t>
  </si>
  <si>
    <t>NA-East Power Peakers</t>
  </si>
  <si>
    <t>NA-East Power Mgmt Book Trading</t>
  </si>
  <si>
    <t>NA-East Power Northeast Origination</t>
  </si>
  <si>
    <t>NA-East Power Southeast Origination</t>
  </si>
  <si>
    <t>NA-East Power Southeast Trading</t>
  </si>
  <si>
    <t>NA-East Power ERCOT Trading</t>
  </si>
  <si>
    <t>NA-Natural Gas East Region Originations</t>
  </si>
  <si>
    <t>Northeast Origination</t>
  </si>
  <si>
    <t>I/C - Enron Global Markets</t>
  </si>
  <si>
    <t>ENRON FREIGHT MARKETS</t>
  </si>
  <si>
    <t>I/C - ENW</t>
  </si>
  <si>
    <t>NA-Principal Investing G&amp;A</t>
  </si>
  <si>
    <t>NA-Restructuring</t>
  </si>
  <si>
    <t>I/C,Coal,Weather, SO2,Currency, Insurance and Equity Trdg</t>
  </si>
  <si>
    <t>NA-North Carolina Coal Plants (Alamac)</t>
  </si>
  <si>
    <t>Corp Development</t>
  </si>
  <si>
    <t>excludes 105659-HPL that will not be here in 2002, includes Murray</t>
  </si>
  <si>
    <t>External BUs =</t>
  </si>
  <si>
    <t xml:space="preserve">External CTs = </t>
  </si>
  <si>
    <t>Commercial Teams</t>
  </si>
  <si>
    <t>TOTAL</t>
  </si>
  <si>
    <t>Bill Out to ENA Commercial Teams</t>
  </si>
  <si>
    <t xml:space="preserve">Outside Legal Costs </t>
  </si>
  <si>
    <t>Legal</t>
  </si>
  <si>
    <t>Analysis of I/C Billings</t>
  </si>
  <si>
    <t>HC</t>
  </si>
  <si>
    <t xml:space="preserve">     EGF/ECM</t>
  </si>
  <si>
    <t xml:space="preserve">     EES Wholesale</t>
  </si>
  <si>
    <t>YTD Summary of external legal billout to other BUs and commercial teams</t>
  </si>
  <si>
    <t>As of 07-31-01</t>
  </si>
  <si>
    <t>b)</t>
  </si>
  <si>
    <t>(estimated)</t>
  </si>
  <si>
    <t>Notes:</t>
  </si>
  <si>
    <t>I/C - EIM (J. Murray cost center)</t>
  </si>
  <si>
    <t>I/C - EEDC (now EPI)</t>
  </si>
  <si>
    <t>a)  EIM allocation from Murray is for 6,525,540:  5M for external and remainder for internal.</t>
  </si>
  <si>
    <t>b)  EBS allocation is for 8M.  5M for external and 3M for internal.</t>
  </si>
  <si>
    <t>J. Murray - 107062</t>
  </si>
  <si>
    <t>b) Murray internal is 1,525,540 for the year and 5M for external for the year = 6,525,540 2002 Plan.</t>
  </si>
  <si>
    <t>c)</t>
  </si>
  <si>
    <t>Flat amount of 250k/yr</t>
  </si>
  <si>
    <t>c) EPI interanl is 250k for the year and 650k for external for the year; 900k total.</t>
  </si>
  <si>
    <t>Total Jan- July Actuals</t>
  </si>
  <si>
    <t>Total Aug-Dec Based on %</t>
  </si>
  <si>
    <t>140399/140402</t>
  </si>
  <si>
    <t>IC - EPI/Restructuring</t>
  </si>
  <si>
    <t>c)  EPI allocations is 900k.  650k for external and 250 for internal.</t>
  </si>
  <si>
    <t>Original 2001</t>
  </si>
  <si>
    <t>Adjustments</t>
  </si>
  <si>
    <t>EPI</t>
  </si>
  <si>
    <t>Original Plan</t>
  </si>
  <si>
    <t>EBS</t>
  </si>
  <si>
    <t>Bonus Accrual</t>
  </si>
  <si>
    <t>Total Expenses Including Bonus Accrual</t>
  </si>
  <si>
    <t>Note</t>
  </si>
  <si>
    <t>2002 Plan Direct Expense and allocations to business units include Bonus Accrual.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</si>
</sst>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"/>
    <numFmt numFmtId="166" formatCode="_(* #,##0_);_(* \(#,##0\);_(* &quot;-&quot;??_);_(@_)"/>
    <numFmt numFmtId="171" formatCode="0.0%"/>
    <numFmt numFmtId="213" formatCode="_(* #,##0.0000000_);_(* \(#,##0.0000000\);_(* &quot;-&quot;??_);_(@_)"/>
  </numFmts>
  <fonts count="29" x14ac:knownFonts="1">
    <font>
      <sz val="10"/>
      <name val="Arial"/>
    </font>
    <font>
      <sz val="10"/>
      <name val="Arial"/>
    </font>
    <font>
      <sz val="8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b/>
      <sz val="11"/>
      <color indexed="22"/>
      <name val="Arial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" fillId="0" borderId="0" applyBorder="0" applyAlignment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65" fontId="5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</cellStyleXfs>
  <cellXfs count="290">
    <xf numFmtId="0" fontId="0" fillId="0" borderId="0" xfId="0"/>
    <xf numFmtId="0" fontId="0" fillId="0" borderId="0" xfId="0" applyProtection="1"/>
    <xf numFmtId="0" fontId="0" fillId="0" borderId="0" xfId="0" applyBorder="1" applyProtection="1"/>
    <xf numFmtId="10" fontId="1" fillId="0" borderId="0" xfId="9" applyNumberFormat="1" applyProtection="1"/>
    <xf numFmtId="0" fontId="6" fillId="0" borderId="0" xfId="0" applyFont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6" fillId="0" borderId="0" xfId="0" applyFont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8" fillId="0" borderId="0" xfId="0" applyFont="1" applyBorder="1" applyAlignment="1">
      <alignment horizontal="center"/>
    </xf>
    <xf numFmtId="0" fontId="9" fillId="4" borderId="4" xfId="0" applyFont="1" applyFill="1" applyBorder="1" applyProtection="1"/>
    <xf numFmtId="0" fontId="9" fillId="4" borderId="6" xfId="0" applyFont="1" applyFill="1" applyBorder="1" applyProtection="1"/>
    <xf numFmtId="0" fontId="8" fillId="4" borderId="5" xfId="0" applyFont="1" applyFill="1" applyBorder="1" applyAlignment="1" applyProtection="1">
      <alignment horizontal="center"/>
    </xf>
    <xf numFmtId="0" fontId="9" fillId="4" borderId="5" xfId="0" applyFont="1" applyFill="1" applyBorder="1" applyProtection="1"/>
    <xf numFmtId="0" fontId="8" fillId="4" borderId="6" xfId="0" quotePrefix="1" applyFont="1" applyFill="1" applyBorder="1" applyAlignment="1" applyProtection="1">
      <alignment horizontal="center"/>
    </xf>
    <xf numFmtId="0" fontId="9" fillId="4" borderId="7" xfId="0" applyFont="1" applyFill="1" applyBorder="1" applyProtection="1"/>
    <xf numFmtId="0" fontId="9" fillId="4" borderId="9" xfId="0" applyFont="1" applyFill="1" applyBorder="1" applyProtection="1"/>
    <xf numFmtId="0" fontId="8" fillId="4" borderId="8" xfId="0" applyFont="1" applyFill="1" applyBorder="1" applyAlignment="1" applyProtection="1">
      <alignment horizontal="center"/>
    </xf>
    <xf numFmtId="0" fontId="9" fillId="4" borderId="8" xfId="0" applyFont="1" applyFill="1" applyBorder="1" applyProtection="1"/>
    <xf numFmtId="0" fontId="8" fillId="4" borderId="9" xfId="0" applyFont="1" applyFill="1" applyBorder="1" applyAlignment="1" applyProtection="1">
      <alignment horizontal="center"/>
    </xf>
    <xf numFmtId="0" fontId="9" fillId="0" borderId="10" xfId="0" applyFont="1" applyBorder="1" applyProtection="1"/>
    <xf numFmtId="0" fontId="10" fillId="0" borderId="11" xfId="0" applyFont="1" applyBorder="1" applyAlignment="1" applyProtection="1">
      <alignment horizontal="center"/>
    </xf>
    <xf numFmtId="0" fontId="9" fillId="0" borderId="4" xfId="0" applyFont="1" applyBorder="1" applyProtection="1"/>
    <xf numFmtId="164" fontId="10" fillId="0" borderId="5" xfId="2" applyNumberFormat="1" applyFont="1" applyBorder="1" applyAlignment="1" applyProtection="1">
      <alignment horizontal="center"/>
    </xf>
    <xf numFmtId="0" fontId="0" fillId="0" borderId="5" xfId="0" applyBorder="1" applyProtection="1"/>
    <xf numFmtId="0" fontId="11" fillId="0" borderId="5" xfId="0" applyFont="1" applyBorder="1" applyAlignment="1" applyProtection="1">
      <alignment horizontal="center"/>
    </xf>
    <xf numFmtId="0" fontId="9" fillId="0" borderId="5" xfId="0" applyFont="1" applyBorder="1" applyProtection="1"/>
    <xf numFmtId="164" fontId="10" fillId="0" borderId="5" xfId="2" applyNumberFormat="1" applyFont="1" applyBorder="1" applyProtection="1"/>
    <xf numFmtId="0" fontId="9" fillId="0" borderId="6" xfId="0" applyFont="1" applyBorder="1" applyProtection="1"/>
    <xf numFmtId="164" fontId="10" fillId="0" borderId="12" xfId="2" applyNumberFormat="1" applyFont="1" applyBorder="1" applyProtection="1"/>
    <xf numFmtId="0" fontId="12" fillId="0" borderId="0" xfId="0" applyFont="1" applyProtection="1"/>
    <xf numFmtId="0" fontId="13" fillId="4" borderId="13" xfId="0" applyFont="1" applyFill="1" applyBorder="1" applyProtection="1"/>
    <xf numFmtId="0" fontId="13" fillId="4" borderId="14" xfId="0" applyFont="1" applyFill="1" applyBorder="1" applyAlignment="1" applyProtection="1">
      <alignment horizontal="center"/>
    </xf>
    <xf numFmtId="0" fontId="12" fillId="0" borderId="10" xfId="0" applyFont="1" applyBorder="1" applyProtection="1"/>
    <xf numFmtId="38" fontId="12" fillId="0" borderId="0" xfId="1" applyNumberFormat="1" applyFont="1" applyBorder="1" applyAlignment="1" applyProtection="1"/>
    <xf numFmtId="0" fontId="12" fillId="0" borderId="0" xfId="0" applyFont="1" applyBorder="1" applyProtection="1"/>
    <xf numFmtId="0" fontId="13" fillId="0" borderId="0" xfId="0" applyFont="1" applyBorder="1" applyAlignment="1" applyProtection="1">
      <alignment horizontal="center"/>
    </xf>
    <xf numFmtId="0" fontId="12" fillId="0" borderId="11" xfId="0" applyFont="1" applyBorder="1" applyProtection="1"/>
    <xf numFmtId="164" fontId="13" fillId="0" borderId="15" xfId="2" applyNumberFormat="1" applyFont="1" applyBorder="1" applyProtection="1"/>
    <xf numFmtId="0" fontId="14" fillId="0" borderId="11" xfId="0" applyFont="1" applyBorder="1" applyProtection="1"/>
    <xf numFmtId="38" fontId="9" fillId="0" borderId="0" xfId="1" applyNumberFormat="1" applyFont="1" applyBorder="1" applyAlignment="1" applyProtection="1"/>
    <xf numFmtId="0" fontId="9" fillId="0" borderId="0" xfId="0" applyFont="1" applyBorder="1" applyProtection="1"/>
    <xf numFmtId="38" fontId="9" fillId="0" borderId="0" xfId="1" applyNumberFormat="1" applyFont="1" applyBorder="1" applyProtection="1"/>
    <xf numFmtId="0" fontId="9" fillId="0" borderId="11" xfId="0" applyFont="1" applyBorder="1" applyProtection="1"/>
    <xf numFmtId="37" fontId="9" fillId="0" borderId="15" xfId="0" applyNumberFormat="1" applyFont="1" applyBorder="1" applyProtection="1"/>
    <xf numFmtId="0" fontId="13" fillId="0" borderId="0" xfId="0" applyFont="1" applyProtection="1"/>
    <xf numFmtId="0" fontId="13" fillId="0" borderId="10" xfId="0" applyFont="1" applyBorder="1" applyProtection="1"/>
    <xf numFmtId="37" fontId="13" fillId="0" borderId="11" xfId="0" applyNumberFormat="1" applyFont="1" applyBorder="1" applyProtection="1"/>
    <xf numFmtId="37" fontId="13" fillId="0" borderId="10" xfId="0" applyNumberFormat="1" applyFont="1" applyBorder="1" applyProtection="1"/>
    <xf numFmtId="37" fontId="15" fillId="0" borderId="0" xfId="1" applyNumberFormat="1" applyFont="1" applyBorder="1" applyAlignment="1" applyProtection="1"/>
    <xf numFmtId="37" fontId="13" fillId="0" borderId="0" xfId="1" applyNumberFormat="1" applyFont="1" applyBorder="1" applyAlignment="1" applyProtection="1"/>
    <xf numFmtId="37" fontId="13" fillId="0" borderId="10" xfId="1" applyNumberFormat="1" applyFont="1" applyBorder="1" applyAlignment="1" applyProtection="1"/>
    <xf numFmtId="37" fontId="13" fillId="0" borderId="15" xfId="1" applyNumberFormat="1" applyFont="1" applyBorder="1" applyAlignment="1" applyProtection="1"/>
    <xf numFmtId="0" fontId="16" fillId="0" borderId="0" xfId="0" applyFont="1" applyProtection="1"/>
    <xf numFmtId="0" fontId="14" fillId="0" borderId="0" xfId="0" applyFont="1" applyProtection="1"/>
    <xf numFmtId="0" fontId="14" fillId="0" borderId="10" xfId="0" applyFont="1" applyBorder="1" applyProtection="1"/>
    <xf numFmtId="37" fontId="14" fillId="0" borderId="11" xfId="0" applyNumberFormat="1" applyFont="1" applyBorder="1" applyProtection="1"/>
    <xf numFmtId="37" fontId="14" fillId="0" borderId="10" xfId="0" applyNumberFormat="1" applyFont="1" applyBorder="1" applyProtection="1"/>
    <xf numFmtId="37" fontId="17" fillId="0" borderId="0" xfId="1" applyNumberFormat="1" applyFont="1" applyBorder="1" applyAlignment="1" applyProtection="1"/>
    <xf numFmtId="37" fontId="14" fillId="0" borderId="0" xfId="1" applyNumberFormat="1" applyFont="1" applyBorder="1" applyAlignment="1" applyProtection="1"/>
    <xf numFmtId="37" fontId="14" fillId="0" borderId="15" xfId="1" applyNumberFormat="1" applyFont="1" applyBorder="1" applyAlignment="1" applyProtection="1"/>
    <xf numFmtId="37" fontId="14" fillId="0" borderId="0" xfId="0" applyNumberFormat="1" applyFont="1" applyBorder="1" applyProtection="1"/>
    <xf numFmtId="37" fontId="13" fillId="0" borderId="0" xfId="0" applyNumberFormat="1" applyFont="1" applyBorder="1" applyProtection="1"/>
    <xf numFmtId="37" fontId="13" fillId="0" borderId="0" xfId="1" applyNumberFormat="1" applyFont="1" applyFill="1" applyBorder="1" applyAlignment="1" applyProtection="1"/>
    <xf numFmtId="37" fontId="14" fillId="0" borderId="7" xfId="0" applyNumberFormat="1" applyFont="1" applyBorder="1" applyProtection="1"/>
    <xf numFmtId="37" fontId="12" fillId="0" borderId="8" xfId="1" applyNumberFormat="1" applyFont="1" applyBorder="1" applyAlignment="1" applyProtection="1"/>
    <xf numFmtId="37" fontId="12" fillId="0" borderId="8" xfId="0" applyNumberFormat="1" applyFont="1" applyBorder="1" applyProtection="1"/>
    <xf numFmtId="37" fontId="12" fillId="0" borderId="0" xfId="0" applyNumberFormat="1" applyFont="1" applyBorder="1" applyProtection="1"/>
    <xf numFmtId="37" fontId="12" fillId="0" borderId="0" xfId="1" applyNumberFormat="1" applyFont="1" applyBorder="1" applyAlignment="1" applyProtection="1"/>
    <xf numFmtId="37" fontId="12" fillId="0" borderId="11" xfId="0" applyNumberFormat="1" applyFont="1" applyBorder="1" applyProtection="1"/>
    <xf numFmtId="37" fontId="12" fillId="0" borderId="16" xfId="0" applyNumberFormat="1" applyFont="1" applyBorder="1" applyProtection="1"/>
    <xf numFmtId="0" fontId="9" fillId="0" borderId="13" xfId="0" applyFont="1" applyFill="1" applyBorder="1" applyProtection="1"/>
    <xf numFmtId="37" fontId="13" fillId="0" borderId="1" xfId="0" applyNumberFormat="1" applyFont="1" applyFill="1" applyBorder="1" applyAlignment="1" applyProtection="1">
      <alignment horizontal="left"/>
    </xf>
    <xf numFmtId="37" fontId="13" fillId="0" borderId="13" xfId="0" applyNumberFormat="1" applyFont="1" applyFill="1" applyBorder="1" applyProtection="1"/>
    <xf numFmtId="37" fontId="13" fillId="0" borderId="1" xfId="2" applyNumberFormat="1" applyFont="1" applyFill="1" applyBorder="1" applyAlignment="1" applyProtection="1"/>
    <xf numFmtId="37" fontId="13" fillId="0" borderId="1" xfId="0" applyNumberFormat="1" applyFont="1" applyFill="1" applyBorder="1" applyProtection="1"/>
    <xf numFmtId="37" fontId="13" fillId="0" borderId="14" xfId="0" applyNumberFormat="1" applyFont="1" applyFill="1" applyBorder="1" applyProtection="1"/>
    <xf numFmtId="37" fontId="13" fillId="0" borderId="17" xfId="2" applyNumberFormat="1" applyFont="1" applyFill="1" applyBorder="1" applyAlignment="1" applyProtection="1"/>
    <xf numFmtId="0" fontId="9" fillId="0" borderId="10" xfId="0" applyFont="1" applyFill="1" applyBorder="1" applyProtection="1"/>
    <xf numFmtId="37" fontId="13" fillId="0" borderId="0" xfId="0" applyNumberFormat="1" applyFont="1" applyFill="1" applyBorder="1" applyAlignment="1" applyProtection="1">
      <alignment horizontal="left"/>
    </xf>
    <xf numFmtId="37" fontId="13" fillId="0" borderId="0" xfId="0" applyNumberFormat="1" applyFont="1" applyFill="1" applyBorder="1" applyProtection="1"/>
    <xf numFmtId="37" fontId="13" fillId="0" borderId="0" xfId="2" applyNumberFormat="1" applyFont="1" applyFill="1" applyBorder="1" applyAlignment="1" applyProtection="1"/>
    <xf numFmtId="0" fontId="13" fillId="0" borderId="10" xfId="0" applyFont="1" applyFill="1" applyBorder="1" applyProtection="1"/>
    <xf numFmtId="37" fontId="13" fillId="0" borderId="0" xfId="1" applyNumberFormat="1" applyFont="1" applyFill="1" applyBorder="1" applyProtection="1"/>
    <xf numFmtId="10" fontId="13" fillId="0" borderId="0" xfId="9" applyNumberFormat="1" applyFont="1" applyProtection="1"/>
    <xf numFmtId="0" fontId="13" fillId="0" borderId="7" xfId="0" applyFont="1" applyFill="1" applyBorder="1" applyProtection="1"/>
    <xf numFmtId="37" fontId="13" fillId="0" borderId="8" xfId="0" applyNumberFormat="1" applyFont="1" applyFill="1" applyBorder="1" applyAlignment="1" applyProtection="1">
      <alignment horizontal="center"/>
    </xf>
    <xf numFmtId="37" fontId="13" fillId="0" borderId="8" xfId="0" applyNumberFormat="1" applyFont="1" applyFill="1" applyBorder="1" applyProtection="1"/>
    <xf numFmtId="37" fontId="13" fillId="0" borderId="8" xfId="2" applyNumberFormat="1" applyFont="1" applyFill="1" applyBorder="1" applyAlignment="1" applyProtection="1"/>
    <xf numFmtId="37" fontId="13" fillId="0" borderId="8" xfId="0" applyNumberFormat="1" applyFont="1" applyFill="1" applyBorder="1" applyAlignment="1" applyProtection="1">
      <alignment horizontal="left"/>
    </xf>
    <xf numFmtId="0" fontId="13" fillId="0" borderId="0" xfId="0" applyFont="1" applyBorder="1" applyProtection="1"/>
    <xf numFmtId="37" fontId="13" fillId="0" borderId="1" xfId="0" applyNumberFormat="1" applyFont="1" applyBorder="1" applyProtection="1"/>
    <xf numFmtId="37" fontId="13" fillId="4" borderId="17" xfId="0" applyNumberFormat="1" applyFont="1" applyFill="1" applyBorder="1" applyAlignment="1" applyProtection="1">
      <alignment horizontal="center"/>
    </xf>
    <xf numFmtId="37" fontId="13" fillId="0" borderId="13" xfId="0" applyNumberFormat="1" applyFont="1" applyBorder="1" applyProtection="1"/>
    <xf numFmtId="37" fontId="15" fillId="0" borderId="1" xfId="0" applyNumberFormat="1" applyFont="1" applyBorder="1" applyProtection="1"/>
    <xf numFmtId="37" fontId="0" fillId="0" borderId="0" xfId="0" applyNumberFormat="1" applyBorder="1" applyProtection="1"/>
    <xf numFmtId="37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/>
    <xf numFmtId="10" fontId="1" fillId="0" borderId="0" xfId="9" applyNumberFormat="1"/>
    <xf numFmtId="166" fontId="1" fillId="0" borderId="0" xfId="1" applyNumberFormat="1" applyFont="1" applyFill="1"/>
    <xf numFmtId="166" fontId="1" fillId="0" borderId="0" xfId="1" applyNumberFormat="1"/>
    <xf numFmtId="166" fontId="1" fillId="0" borderId="0" xfId="1" applyNumberFormat="1" applyFill="1"/>
    <xf numFmtId="166" fontId="1" fillId="0" borderId="0" xfId="1" applyNumberFormat="1" applyFill="1" applyBorder="1"/>
    <xf numFmtId="0" fontId="0" fillId="0" borderId="0" xfId="0" applyBorder="1"/>
    <xf numFmtId="166" fontId="1" fillId="0" borderId="0" xfId="1" applyNumberFormat="1" applyBorder="1"/>
    <xf numFmtId="166" fontId="1" fillId="0" borderId="0" xfId="1" applyNumberFormat="1" applyFont="1" applyFill="1" applyBorder="1"/>
    <xf numFmtId="166" fontId="1" fillId="0" borderId="18" xfId="1" applyNumberFormat="1" applyBorder="1"/>
    <xf numFmtId="0" fontId="0" fillId="0" borderId="0" xfId="0" applyAlignment="1">
      <alignment horizontal="right"/>
    </xf>
    <xf numFmtId="10" fontId="1" fillId="0" borderId="0" xfId="9" applyNumberFormat="1" applyBorder="1"/>
    <xf numFmtId="166" fontId="1" fillId="0" borderId="0" xfId="1" applyNumberFormat="1" applyFont="1" applyBorder="1"/>
    <xf numFmtId="10" fontId="0" fillId="0" borderId="0" xfId="0" applyNumberFormat="1"/>
    <xf numFmtId="43" fontId="1" fillId="0" borderId="0" xfId="1"/>
    <xf numFmtId="43" fontId="1" fillId="0" borderId="0" xfId="1" applyBorder="1"/>
    <xf numFmtId="166" fontId="0" fillId="0" borderId="0" xfId="0" applyNumberFormat="1" applyBorder="1"/>
    <xf numFmtId="0" fontId="16" fillId="0" borderId="0" xfId="0" applyFont="1"/>
    <xf numFmtId="0" fontId="16" fillId="0" borderId="17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5" xfId="0" applyBorder="1"/>
    <xf numFmtId="43" fontId="0" fillId="0" borderId="15" xfId="0" applyNumberFormat="1" applyBorder="1"/>
    <xf numFmtId="0" fontId="16" fillId="0" borderId="0" xfId="0" applyFont="1" applyAlignment="1">
      <alignment horizontal="right"/>
    </xf>
    <xf numFmtId="0" fontId="0" fillId="0" borderId="1" xfId="0" applyBorder="1"/>
    <xf numFmtId="43" fontId="0" fillId="0" borderId="17" xfId="0" applyNumberFormat="1" applyBorder="1"/>
    <xf numFmtId="43" fontId="0" fillId="0" borderId="0" xfId="0" applyNumberFormat="1"/>
    <xf numFmtId="0" fontId="16" fillId="0" borderId="0" xfId="0" applyFont="1" applyBorder="1" applyAlignment="1">
      <alignment horizontal="center"/>
    </xf>
    <xf numFmtId="43" fontId="0" fillId="0" borderId="0" xfId="0" applyNumberFormat="1" applyBorder="1"/>
    <xf numFmtId="10" fontId="21" fillId="0" borderId="15" xfId="9" applyNumberFormat="1" applyFont="1" applyBorder="1"/>
    <xf numFmtId="0" fontId="3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22" fillId="0" borderId="0" xfId="0" applyFont="1"/>
    <xf numFmtId="43" fontId="0" fillId="0" borderId="0" xfId="0" applyNumberFormat="1" applyFill="1" applyBorder="1"/>
    <xf numFmtId="0" fontId="16" fillId="0" borderId="0" xfId="0" applyFont="1" applyFill="1" applyBorder="1" applyAlignment="1">
      <alignment horizontal="center"/>
    </xf>
    <xf numFmtId="0" fontId="3" fillId="5" borderId="0" xfId="0" applyNumberFormat="1" applyFont="1" applyFill="1" applyAlignment="1">
      <alignment horizontal="center"/>
    </xf>
    <xf numFmtId="0" fontId="3" fillId="5" borderId="0" xfId="0" applyFont="1" applyFill="1"/>
    <xf numFmtId="0" fontId="23" fillId="5" borderId="0" xfId="0" applyFont="1" applyFill="1" applyBorder="1" applyAlignment="1">
      <alignment horizontal="center"/>
    </xf>
    <xf numFmtId="43" fontId="3" fillId="5" borderId="0" xfId="1" applyFont="1" applyFill="1"/>
    <xf numFmtId="43" fontId="3" fillId="5" borderId="19" xfId="1" applyFont="1" applyFill="1" applyBorder="1"/>
    <xf numFmtId="43" fontId="3" fillId="5" borderId="15" xfId="0" applyNumberFormat="1" applyFont="1" applyFill="1" applyBorder="1"/>
    <xf numFmtId="43" fontId="3" fillId="5" borderId="0" xfId="0" applyNumberFormat="1" applyFont="1" applyFill="1" applyBorder="1"/>
    <xf numFmtId="0" fontId="3" fillId="0" borderId="0" xfId="0" applyFont="1"/>
    <xf numFmtId="0" fontId="3" fillId="0" borderId="0" xfId="0" applyNumberFormat="1" applyFont="1" applyAlignment="1">
      <alignment horizontal="center"/>
    </xf>
    <xf numFmtId="43" fontId="3" fillId="0" borderId="0" xfId="1" applyFont="1"/>
    <xf numFmtId="43" fontId="3" fillId="0" borderId="19" xfId="1" applyFont="1" applyBorder="1"/>
    <xf numFmtId="43" fontId="3" fillId="0" borderId="0" xfId="0" applyNumberFormat="1" applyFont="1" applyFill="1" applyBorder="1"/>
    <xf numFmtId="43" fontId="3" fillId="0" borderId="15" xfId="0" applyNumberFormat="1" applyFont="1" applyFill="1" applyBorder="1"/>
    <xf numFmtId="0" fontId="3" fillId="0" borderId="0" xfId="0" applyFont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6" borderId="0" xfId="0" applyFont="1" applyFill="1"/>
    <xf numFmtId="0" fontId="3" fillId="5" borderId="18" xfId="0" applyNumberFormat="1" applyFont="1" applyFill="1" applyBorder="1" applyAlignment="1">
      <alignment horizontal="center"/>
    </xf>
    <xf numFmtId="0" fontId="3" fillId="5" borderId="18" xfId="0" applyFont="1" applyFill="1" applyBorder="1"/>
    <xf numFmtId="43" fontId="3" fillId="5" borderId="20" xfId="1" applyFont="1" applyFill="1" applyBorder="1"/>
    <xf numFmtId="43" fontId="16" fillId="0" borderId="17" xfId="0" applyNumberFormat="1" applyFont="1" applyBorder="1"/>
    <xf numFmtId="43" fontId="16" fillId="6" borderId="21" xfId="0" applyNumberFormat="1" applyFont="1" applyFill="1" applyBorder="1"/>
    <xf numFmtId="43" fontId="16" fillId="0" borderId="3" xfId="0" applyNumberFormat="1" applyFont="1" applyBorder="1"/>
    <xf numFmtId="43" fontId="16" fillId="0" borderId="22" xfId="0" applyNumberFormat="1" applyFont="1" applyBorder="1"/>
    <xf numFmtId="43" fontId="16" fillId="0" borderId="23" xfId="0" applyNumberFormat="1" applyFont="1" applyBorder="1"/>
    <xf numFmtId="43" fontId="16" fillId="0" borderId="0" xfId="0" applyNumberFormat="1" applyFont="1" applyFill="1" applyBorder="1"/>
    <xf numFmtId="0" fontId="24" fillId="0" borderId="0" xfId="0" applyFont="1"/>
    <xf numFmtId="44" fontId="3" fillId="0" borderId="0" xfId="2" applyFont="1" applyAlignment="1">
      <alignment horizontal="right"/>
    </xf>
    <xf numFmtId="0" fontId="3" fillId="0" borderId="0" xfId="0" applyNumberFormat="1" applyFont="1" applyAlignment="1">
      <alignment horizontal="left"/>
    </xf>
    <xf numFmtId="43" fontId="16" fillId="0" borderId="0" xfId="1" applyFont="1"/>
    <xf numFmtId="43" fontId="1" fillId="0" borderId="0" xfId="1" applyNumberFormat="1" applyFont="1"/>
    <xf numFmtId="43" fontId="1" fillId="0" borderId="0" xfId="1" applyNumberFormat="1"/>
    <xf numFmtId="43" fontId="0" fillId="0" borderId="2" xfId="0" applyNumberFormat="1" applyBorder="1"/>
    <xf numFmtId="41" fontId="3" fillId="0" borderId="15" xfId="0" applyNumberFormat="1" applyFont="1" applyFill="1" applyBorder="1"/>
    <xf numFmtId="0" fontId="16" fillId="7" borderId="24" xfId="0" applyNumberFormat="1" applyFont="1" applyFill="1" applyBorder="1" applyAlignment="1">
      <alignment horizontal="center"/>
    </xf>
    <xf numFmtId="0" fontId="16" fillId="7" borderId="25" xfId="0" applyFont="1" applyFill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Font="1" applyBorder="1"/>
    <xf numFmtId="0" fontId="0" fillId="0" borderId="13" xfId="0" applyBorder="1"/>
    <xf numFmtId="0" fontId="16" fillId="0" borderId="14" xfId="0" applyFont="1" applyBorder="1"/>
    <xf numFmtId="41" fontId="16" fillId="0" borderId="17" xfId="0" applyNumberFormat="1" applyFont="1" applyBorder="1"/>
    <xf numFmtId="0" fontId="16" fillId="7" borderId="0" xfId="0" applyFont="1" applyFill="1" applyBorder="1" applyAlignment="1">
      <alignment horizontal="center"/>
    </xf>
    <xf numFmtId="0" fontId="3" fillId="0" borderId="0" xfId="0" applyFont="1" applyBorder="1"/>
    <xf numFmtId="0" fontId="3" fillId="6" borderId="0" xfId="0" applyFont="1" applyFill="1" applyBorder="1"/>
    <xf numFmtId="0" fontId="16" fillId="0" borderId="0" xfId="0" applyFont="1" applyBorder="1"/>
    <xf numFmtId="43" fontId="3" fillId="0" borderId="11" xfId="0" applyNumberFormat="1" applyFont="1" applyFill="1" applyBorder="1"/>
    <xf numFmtId="10" fontId="3" fillId="0" borderId="11" xfId="9" applyNumberFormat="1" applyFont="1" applyFill="1" applyBorder="1"/>
    <xf numFmtId="10" fontId="16" fillId="0" borderId="14" xfId="0" applyNumberFormat="1" applyFont="1" applyFill="1" applyBorder="1"/>
    <xf numFmtId="10" fontId="3" fillId="0" borderId="11" xfId="9" applyNumberFormat="1" applyFont="1" applyBorder="1"/>
    <xf numFmtId="10" fontId="16" fillId="0" borderId="14" xfId="0" applyNumberFormat="1" applyFont="1" applyBorder="1"/>
    <xf numFmtId="213" fontId="3" fillId="0" borderId="0" xfId="1" applyNumberFormat="1" applyFont="1"/>
    <xf numFmtId="0" fontId="0" fillId="0" borderId="18" xfId="0" applyBorder="1" applyAlignment="1">
      <alignment horizontal="center"/>
    </xf>
    <xf numFmtId="0" fontId="8" fillId="4" borderId="4" xfId="0" applyFont="1" applyFill="1" applyBorder="1" applyAlignment="1" applyProtection="1">
      <alignment horizontal="center"/>
    </xf>
    <xf numFmtId="0" fontId="8" fillId="4" borderId="7" xfId="0" applyFont="1" applyFill="1" applyBorder="1" applyAlignment="1" applyProtection="1">
      <alignment horizontal="center"/>
    </xf>
    <xf numFmtId="164" fontId="10" fillId="0" borderId="4" xfId="2" applyNumberFormat="1" applyFont="1" applyBorder="1" applyAlignment="1" applyProtection="1">
      <alignment horizontal="center"/>
    </xf>
    <xf numFmtId="164" fontId="13" fillId="0" borderId="0" xfId="2" applyNumberFormat="1" applyFont="1" applyBorder="1" applyAlignment="1" applyProtection="1">
      <alignment horizontal="center"/>
    </xf>
    <xf numFmtId="164" fontId="13" fillId="0" borderId="10" xfId="2" applyNumberFormat="1" applyFont="1" applyBorder="1" applyAlignment="1" applyProtection="1">
      <alignment horizontal="center"/>
    </xf>
    <xf numFmtId="38" fontId="9" fillId="0" borderId="10" xfId="1" applyNumberFormat="1" applyFont="1" applyBorder="1" applyProtection="1"/>
    <xf numFmtId="37" fontId="15" fillId="0" borderId="10" xfId="1" applyNumberFormat="1" applyFont="1" applyBorder="1" applyAlignment="1" applyProtection="1"/>
    <xf numFmtId="37" fontId="13" fillId="0" borderId="11" xfId="1" applyNumberFormat="1" applyFont="1" applyBorder="1" applyAlignment="1" applyProtection="1"/>
    <xf numFmtId="37" fontId="17" fillId="0" borderId="10" xfId="1" applyNumberFormat="1" applyFont="1" applyBorder="1" applyAlignment="1" applyProtection="1"/>
    <xf numFmtId="37" fontId="14" fillId="0" borderId="11" xfId="1" applyNumberFormat="1" applyFont="1" applyBorder="1" applyAlignment="1" applyProtection="1"/>
    <xf numFmtId="37" fontId="17" fillId="0" borderId="0" xfId="1" applyNumberFormat="1" applyFont="1" applyFill="1" applyBorder="1" applyAlignment="1" applyProtection="1"/>
    <xf numFmtId="0" fontId="16" fillId="7" borderId="23" xfId="0" applyFont="1" applyFill="1" applyBorder="1" applyAlignment="1">
      <alignment horizontal="center" wrapText="1"/>
    </xf>
    <xf numFmtId="37" fontId="15" fillId="0" borderId="0" xfId="1" applyNumberFormat="1" applyFont="1" applyFill="1" applyBorder="1" applyAlignment="1" applyProtection="1"/>
    <xf numFmtId="37" fontId="12" fillId="0" borderId="10" xfId="1" applyNumberFormat="1" applyFont="1" applyBorder="1" applyAlignment="1" applyProtection="1"/>
    <xf numFmtId="37" fontId="13" fillId="0" borderId="5" xfId="2" applyNumberFormat="1" applyFont="1" applyFill="1" applyBorder="1" applyAlignment="1" applyProtection="1"/>
    <xf numFmtId="37" fontId="13" fillId="0" borderId="13" xfId="2" applyNumberFormat="1" applyFont="1" applyFill="1" applyBorder="1" applyAlignment="1" applyProtection="1"/>
    <xf numFmtId="37" fontId="6" fillId="0" borderId="14" xfId="0" applyNumberFormat="1" applyFont="1" applyFill="1" applyBorder="1" applyProtection="1"/>
    <xf numFmtId="0" fontId="15" fillId="0" borderId="1" xfId="0" applyFont="1" applyBorder="1" applyProtection="1"/>
    <xf numFmtId="0" fontId="15" fillId="0" borderId="13" xfId="0" applyFont="1" applyBorder="1" applyProtection="1"/>
    <xf numFmtId="0" fontId="15" fillId="0" borderId="1" xfId="0" applyFont="1" applyFill="1" applyBorder="1" applyProtection="1"/>
    <xf numFmtId="1" fontId="13" fillId="0" borderId="1" xfId="1" applyNumberFormat="1" applyFont="1" applyBorder="1" applyAlignment="1" applyProtection="1"/>
    <xf numFmtId="0" fontId="0" fillId="0" borderId="0" xfId="0" applyFill="1" applyProtection="1"/>
    <xf numFmtId="0" fontId="0" fillId="0" borderId="0" xfId="0" applyAlignment="1"/>
    <xf numFmtId="0" fontId="0" fillId="0" borderId="0" xfId="0" applyBorder="1" applyAlignment="1">
      <alignment horizontal="center"/>
    </xf>
    <xf numFmtId="9" fontId="1" fillId="0" borderId="0" xfId="9" applyNumberFormat="1"/>
    <xf numFmtId="1" fontId="0" fillId="0" borderId="0" xfId="0" applyNumberFormat="1"/>
    <xf numFmtId="9" fontId="25" fillId="0" borderId="0" xfId="9" applyNumberFormat="1" applyFont="1"/>
    <xf numFmtId="1" fontId="25" fillId="0" borderId="0" xfId="0" applyNumberFormat="1" applyFont="1"/>
    <xf numFmtId="9" fontId="1" fillId="0" borderId="18" xfId="9" applyNumberFormat="1" applyBorder="1"/>
    <xf numFmtId="1" fontId="6" fillId="0" borderId="18" xfId="0" applyNumberFormat="1" applyFont="1" applyBorder="1"/>
    <xf numFmtId="9" fontId="1" fillId="0" borderId="0" xfId="9" applyNumberFormat="1" applyBorder="1"/>
    <xf numFmtId="1" fontId="6" fillId="0" borderId="0" xfId="0" applyNumberFormat="1" applyFont="1"/>
    <xf numFmtId="9" fontId="0" fillId="0" borderId="0" xfId="0" applyNumberFormat="1"/>
    <xf numFmtId="43" fontId="0" fillId="0" borderId="15" xfId="1" applyFont="1" applyBorder="1"/>
    <xf numFmtId="43" fontId="0" fillId="0" borderId="0" xfId="1" applyFont="1" applyBorder="1"/>
    <xf numFmtId="43" fontId="0" fillId="0" borderId="17" xfId="1" applyFont="1" applyBorder="1"/>
    <xf numFmtId="0" fontId="16" fillId="7" borderId="3" xfId="0" applyFont="1" applyFill="1" applyBorder="1" applyAlignment="1">
      <alignment horizontal="center" wrapText="1"/>
    </xf>
    <xf numFmtId="43" fontId="0" fillId="0" borderId="1" xfId="1" applyFont="1" applyBorder="1"/>
    <xf numFmtId="43" fontId="0" fillId="0" borderId="0" xfId="1" applyFont="1"/>
    <xf numFmtId="10" fontId="0" fillId="0" borderId="15" xfId="9" applyNumberFormat="1" applyFont="1" applyBorder="1"/>
    <xf numFmtId="43" fontId="0" fillId="0" borderId="15" xfId="9" applyNumberFormat="1" applyFont="1" applyBorder="1"/>
    <xf numFmtId="10" fontId="0" fillId="0" borderId="10" xfId="9" applyNumberFormat="1" applyFont="1" applyBorder="1"/>
    <xf numFmtId="171" fontId="0" fillId="0" borderId="0" xfId="9" applyNumberFormat="1" applyFont="1" applyBorder="1"/>
    <xf numFmtId="10" fontId="0" fillId="0" borderId="15" xfId="9" applyNumberFormat="1" applyFont="1" applyBorder="1" applyAlignment="1">
      <alignment horizontal="center"/>
    </xf>
    <xf numFmtId="10" fontId="0" fillId="0" borderId="0" xfId="9" applyNumberFormat="1" applyFont="1" applyBorder="1"/>
    <xf numFmtId="171" fontId="0" fillId="0" borderId="15" xfId="9" applyNumberFormat="1" applyFont="1" applyBorder="1"/>
    <xf numFmtId="10" fontId="0" fillId="0" borderId="1" xfId="9" applyNumberFormat="1" applyFont="1" applyBorder="1"/>
    <xf numFmtId="10" fontId="0" fillId="0" borderId="17" xfId="9" applyNumberFormat="1" applyFont="1" applyBorder="1"/>
    <xf numFmtId="10" fontId="0" fillId="0" borderId="13" xfId="9" applyNumberFormat="1" applyFont="1" applyBorder="1"/>
    <xf numFmtId="43" fontId="0" fillId="0" borderId="0" xfId="1" applyFont="1" applyAlignment="1">
      <alignment horizontal="center"/>
    </xf>
    <xf numFmtId="43" fontId="25" fillId="0" borderId="0" xfId="1" applyFont="1"/>
    <xf numFmtId="0" fontId="16" fillId="7" borderId="3" xfId="0" applyNumberFormat="1" applyFont="1" applyFill="1" applyBorder="1" applyAlignment="1">
      <alignment horizontal="center" wrapText="1"/>
    </xf>
    <xf numFmtId="0" fontId="16" fillId="7" borderId="17" xfId="0" applyFont="1" applyFill="1" applyBorder="1" applyAlignment="1">
      <alignment horizontal="center" wrapText="1"/>
    </xf>
    <xf numFmtId="0" fontId="16" fillId="7" borderId="2" xfId="0" applyFont="1" applyFill="1" applyBorder="1" applyAlignment="1">
      <alignment horizontal="center" wrapText="1"/>
    </xf>
    <xf numFmtId="0" fontId="16" fillId="7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0" borderId="0" xfId="0" applyFont="1" applyFill="1" applyBorder="1" applyAlignment="1">
      <alignment horizontal="center" wrapText="1"/>
    </xf>
    <xf numFmtId="43" fontId="26" fillId="5" borderId="15" xfId="0" applyNumberFormat="1" applyFont="1" applyFill="1" applyBorder="1"/>
    <xf numFmtId="43" fontId="26" fillId="0" borderId="15" xfId="0" applyNumberFormat="1" applyFont="1" applyFill="1" applyBorder="1"/>
    <xf numFmtId="43" fontId="26" fillId="5" borderId="0" xfId="1" applyFont="1" applyFill="1"/>
    <xf numFmtId="43" fontId="26" fillId="5" borderId="19" xfId="1" applyFont="1" applyFill="1" applyBorder="1"/>
    <xf numFmtId="43" fontId="26" fillId="5" borderId="0" xfId="0" applyNumberFormat="1" applyFont="1" applyFill="1"/>
    <xf numFmtId="0" fontId="0" fillId="0" borderId="4" xfId="0" applyFill="1" applyBorder="1" applyAlignment="1">
      <alignment horizontal="right"/>
    </xf>
    <xf numFmtId="0" fontId="0" fillId="5" borderId="5" xfId="0" applyFill="1" applyBorder="1"/>
    <xf numFmtId="43" fontId="0" fillId="5" borderId="5" xfId="0" applyNumberFormat="1" applyFill="1" applyBorder="1"/>
    <xf numFmtId="43" fontId="0" fillId="5" borderId="6" xfId="0" applyNumberFormat="1" applyFill="1" applyBorder="1"/>
    <xf numFmtId="0" fontId="0" fillId="0" borderId="7" xfId="0" applyBorder="1" applyAlignment="1">
      <alignment horizontal="right"/>
    </xf>
    <xf numFmtId="0" fontId="0" fillId="0" borderId="8" xfId="0" applyBorder="1"/>
    <xf numFmtId="43" fontId="0" fillId="0" borderId="8" xfId="0" applyNumberFormat="1" applyBorder="1"/>
    <xf numFmtId="0" fontId="0" fillId="0" borderId="8" xfId="0" applyFill="1" applyBorder="1"/>
    <xf numFmtId="43" fontId="0" fillId="0" borderId="9" xfId="0" applyNumberFormat="1" applyBorder="1"/>
    <xf numFmtId="43" fontId="0" fillId="0" borderId="18" xfId="0" applyNumberFormat="1" applyBorder="1"/>
    <xf numFmtId="37" fontId="13" fillId="0" borderId="4" xfId="2" applyNumberFormat="1" applyFont="1" applyFill="1" applyBorder="1" applyAlignment="1" applyProtection="1"/>
    <xf numFmtId="43" fontId="27" fillId="0" borderId="5" xfId="1" applyFont="1" applyFill="1" applyBorder="1" applyAlignment="1" applyProtection="1"/>
    <xf numFmtId="37" fontId="13" fillId="0" borderId="6" xfId="0" applyNumberFormat="1" applyFont="1" applyFill="1" applyBorder="1" applyProtection="1"/>
    <xf numFmtId="37" fontId="13" fillId="0" borderId="15" xfId="2" applyNumberFormat="1" applyFont="1" applyFill="1" applyBorder="1" applyAlignment="1" applyProtection="1"/>
    <xf numFmtId="37" fontId="6" fillId="0" borderId="11" xfId="1" applyNumberFormat="1" applyFont="1" applyFill="1" applyBorder="1" applyProtection="1"/>
    <xf numFmtId="37" fontId="18" fillId="0" borderId="15" xfId="0" applyNumberFormat="1" applyFont="1" applyBorder="1" applyProtection="1"/>
    <xf numFmtId="37" fontId="13" fillId="0" borderId="11" xfId="1" applyNumberFormat="1" applyFont="1" applyFill="1" applyBorder="1" applyProtection="1"/>
    <xf numFmtId="37" fontId="13" fillId="0" borderId="10" xfId="2" applyNumberFormat="1" applyFont="1" applyFill="1" applyBorder="1" applyAlignment="1" applyProtection="1"/>
    <xf numFmtId="37" fontId="13" fillId="0" borderId="11" xfId="0" applyNumberFormat="1" applyFont="1" applyFill="1" applyBorder="1" applyProtection="1"/>
    <xf numFmtId="37" fontId="13" fillId="0" borderId="16" xfId="2" applyNumberFormat="1" applyFont="1" applyFill="1" applyBorder="1" applyAlignment="1" applyProtection="1"/>
    <xf numFmtId="0" fontId="0" fillId="0" borderId="10" xfId="0" applyBorder="1" applyProtection="1"/>
    <xf numFmtId="0" fontId="0" fillId="0" borderId="11" xfId="0" applyBorder="1" applyProtection="1"/>
    <xf numFmtId="37" fontId="13" fillId="0" borderId="15" xfId="0" applyNumberFormat="1" applyFont="1" applyBorder="1" applyProtection="1"/>
    <xf numFmtId="37" fontId="13" fillId="0" borderId="17" xfId="1" applyNumberFormat="1" applyFont="1" applyBorder="1" applyAlignment="1" applyProtection="1"/>
    <xf numFmtId="9" fontId="6" fillId="0" borderId="0" xfId="9" applyNumberFormat="1" applyFont="1"/>
    <xf numFmtId="166" fontId="6" fillId="0" borderId="18" xfId="1" applyNumberFormat="1" applyFont="1" applyBorder="1"/>
    <xf numFmtId="1" fontId="25" fillId="0" borderId="18" xfId="0" applyNumberFormat="1" applyFont="1" applyBorder="1"/>
    <xf numFmtId="166" fontId="25" fillId="0" borderId="0" xfId="1" applyNumberFormat="1" applyFont="1" applyBorder="1"/>
    <xf numFmtId="9" fontId="25" fillId="0" borderId="0" xfId="0" applyNumberFormat="1" applyFont="1"/>
    <xf numFmtId="0" fontId="0" fillId="0" borderId="0" xfId="0" quotePrefix="1" applyAlignment="1">
      <alignment horizontal="left" indent="1"/>
    </xf>
    <xf numFmtId="0" fontId="16" fillId="7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18" xfId="0" applyBorder="1" applyAlignment="1">
      <alignment horizontal="center"/>
    </xf>
    <xf numFmtId="0" fontId="0" fillId="0" borderId="18" xfId="0" applyBorder="1" applyAlignment="1"/>
  </cellXfs>
  <cellStyles count="11">
    <cellStyle name="Comma" xfId="1" builtinId="3"/>
    <cellStyle name="Currency" xfId="2" builtinId="4"/>
    <cellStyle name="FIELD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Percent" xfId="9" builtinId="5"/>
    <cellStyle name="Percent [2]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%20legal%20billout-rev-9.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2/2002%20Plan/Group/SupportDetail-Presentation-Group-Rev-9.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Summary ($)"/>
      <sheetName val="Allocations"/>
      <sheetName val="2002 Ext billout"/>
      <sheetName val="YTD Summary (%) - 105659"/>
      <sheetName val="Teams"/>
      <sheetName val="Teams (2)"/>
      <sheetName val="teams (plan $)"/>
      <sheetName val="teams (plan $-2)"/>
      <sheetName val="2001 Forecast-external legal"/>
      <sheetName val="2002 Plan-external legal"/>
      <sheetName val="2001 Plan-external legal"/>
      <sheetName val="2001 Forecast-ext legal-revised"/>
      <sheetName val="2002 Plan-extl legal revised"/>
      <sheetName val="Ext to ENA Comm Team"/>
      <sheetName val="YTD Summary ($) - 105659"/>
      <sheetName val="2001 Int Legal billout"/>
      <sheetName val="2002 Plan int legal billout"/>
      <sheetName val="YTD billout"/>
      <sheetName val="Jan ext legal"/>
      <sheetName val="Feb ext legal"/>
      <sheetName val="Mar ext legal"/>
      <sheetName val="Apr ext legal"/>
      <sheetName val="Jun ext legal"/>
      <sheetName val="May ext legal"/>
      <sheetName val="Jul ext leg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7">
          <cell r="C7">
            <v>1.3807922398961196E-2</v>
          </cell>
          <cell r="E7">
            <v>1.1835066622519215E-2</v>
          </cell>
        </row>
        <row r="9">
          <cell r="D9">
            <v>3.4129589554712974E-3</v>
          </cell>
          <cell r="E9">
            <v>2.367013324503843E-2</v>
          </cell>
          <cell r="G9">
            <v>9.4324011890966342E-2</v>
          </cell>
        </row>
        <row r="11">
          <cell r="D11">
            <v>1.706473449753757E-3</v>
          </cell>
          <cell r="E11">
            <v>4.7340283212596737E-3</v>
          </cell>
          <cell r="G11">
            <v>2.2381965668900741E-2</v>
          </cell>
        </row>
        <row r="13">
          <cell r="E13">
            <v>3.550521240944756E-3</v>
          </cell>
        </row>
        <row r="15">
          <cell r="D15">
            <v>3.4129589554712974E-3</v>
          </cell>
          <cell r="E15">
            <v>1.538558786346397E-2</v>
          </cell>
          <cell r="G15">
            <v>1.5987126402508306E-3</v>
          </cell>
        </row>
        <row r="17">
          <cell r="D17">
            <v>1.706473449753757E-3</v>
          </cell>
          <cell r="E17">
            <v>1.1835070803149184E-3</v>
          </cell>
          <cell r="G17">
            <v>8.7929166977268464E-3</v>
          </cell>
        </row>
      </sheetData>
      <sheetData sheetId="16" refreshError="1"/>
      <sheetData sheetId="17" refreshError="1"/>
      <sheetData sheetId="18">
        <row r="9">
          <cell r="M9">
            <v>3654.11</v>
          </cell>
        </row>
        <row r="17">
          <cell r="E17">
            <v>10051.879999999999</v>
          </cell>
        </row>
        <row r="19">
          <cell r="E19">
            <v>6382.12</v>
          </cell>
        </row>
        <row r="20">
          <cell r="G20">
            <v>20093.13</v>
          </cell>
          <cell r="K20">
            <v>12087.09</v>
          </cell>
        </row>
        <row r="43">
          <cell r="E43">
            <v>-2050.8000000000002</v>
          </cell>
          <cell r="G43">
            <v>120</v>
          </cell>
        </row>
        <row r="44">
          <cell r="G44">
            <v>95476.21</v>
          </cell>
        </row>
        <row r="51">
          <cell r="F51">
            <v>4407.26</v>
          </cell>
        </row>
        <row r="52">
          <cell r="F52">
            <v>-91481.03</v>
          </cell>
        </row>
        <row r="54">
          <cell r="G54">
            <v>40550.04</v>
          </cell>
          <cell r="L54">
            <v>4248.4399999999996</v>
          </cell>
        </row>
        <row r="66">
          <cell r="E66">
            <v>17123.79</v>
          </cell>
          <cell r="G66">
            <v>3317.09</v>
          </cell>
          <cell r="I66">
            <v>-2142.66</v>
          </cell>
        </row>
        <row r="69">
          <cell r="E69">
            <v>5895.16</v>
          </cell>
        </row>
        <row r="70">
          <cell r="E70">
            <v>831.92</v>
          </cell>
        </row>
        <row r="71">
          <cell r="E71">
            <v>2993</v>
          </cell>
          <cell r="G71">
            <v>169972.5</v>
          </cell>
        </row>
      </sheetData>
      <sheetData sheetId="19">
        <row r="7">
          <cell r="G7">
            <v>96652.66</v>
          </cell>
          <cell r="I7">
            <v>64130.38</v>
          </cell>
        </row>
        <row r="9">
          <cell r="F9">
            <v>17528.400000000001</v>
          </cell>
          <cell r="M9">
            <v>4138.71</v>
          </cell>
        </row>
        <row r="13">
          <cell r="K13">
            <v>11214.54</v>
          </cell>
        </row>
        <row r="14">
          <cell r="E14">
            <v>53730.06</v>
          </cell>
          <cell r="H14">
            <v>5009.38</v>
          </cell>
        </row>
        <row r="17">
          <cell r="E17">
            <v>11088.58</v>
          </cell>
          <cell r="K17">
            <v>967.5</v>
          </cell>
        </row>
        <row r="18">
          <cell r="E18">
            <v>4326.12</v>
          </cell>
        </row>
        <row r="19">
          <cell r="E19">
            <v>211359.68</v>
          </cell>
        </row>
        <row r="20">
          <cell r="G20">
            <v>1199.6099999999999</v>
          </cell>
          <cell r="K20">
            <v>149.97999999999999</v>
          </cell>
        </row>
        <row r="21">
          <cell r="G21">
            <v>3361.48</v>
          </cell>
        </row>
        <row r="22">
          <cell r="G22">
            <v>10353.23</v>
          </cell>
        </row>
        <row r="43">
          <cell r="E43">
            <v>90314.57</v>
          </cell>
        </row>
        <row r="44">
          <cell r="G44">
            <v>52756.92</v>
          </cell>
          <cell r="H44">
            <v>873.08</v>
          </cell>
        </row>
        <row r="51">
          <cell r="F51">
            <v>10097.17</v>
          </cell>
          <cell r="G51">
            <v>671</v>
          </cell>
        </row>
        <row r="52">
          <cell r="F52">
            <v>26342.15</v>
          </cell>
        </row>
        <row r="54">
          <cell r="G54">
            <v>218680.75</v>
          </cell>
          <cell r="H54">
            <v>42686.85</v>
          </cell>
        </row>
        <row r="55">
          <cell r="G55">
            <v>2325</v>
          </cell>
          <cell r="H55">
            <v>1991.64</v>
          </cell>
        </row>
        <row r="60">
          <cell r="G60">
            <v>13150.35</v>
          </cell>
        </row>
        <row r="61">
          <cell r="E61">
            <v>1948.94</v>
          </cell>
          <cell r="F61">
            <v>149618.09</v>
          </cell>
          <cell r="G61">
            <v>4508.84</v>
          </cell>
          <cell r="I61">
            <v>1699.52</v>
          </cell>
        </row>
        <row r="64">
          <cell r="H64">
            <v>846.19</v>
          </cell>
        </row>
        <row r="66">
          <cell r="E66">
            <v>23857.77</v>
          </cell>
          <cell r="G66">
            <v>150</v>
          </cell>
          <cell r="H66">
            <v>19336.400000000001</v>
          </cell>
        </row>
        <row r="69">
          <cell r="E69">
            <v>13543.75</v>
          </cell>
          <cell r="H69">
            <v>10556.15</v>
          </cell>
        </row>
        <row r="70">
          <cell r="E70">
            <v>1408.38</v>
          </cell>
        </row>
        <row r="71">
          <cell r="E71">
            <v>6465.35</v>
          </cell>
          <cell r="G71">
            <v>28612.79</v>
          </cell>
        </row>
      </sheetData>
      <sheetData sheetId="20">
        <row r="7">
          <cell r="I7">
            <v>32500.53</v>
          </cell>
        </row>
        <row r="11">
          <cell r="L11">
            <v>16627.849999999999</v>
          </cell>
        </row>
        <row r="14">
          <cell r="E14">
            <v>21155.8</v>
          </cell>
        </row>
        <row r="17">
          <cell r="E17">
            <v>46042.62</v>
          </cell>
          <cell r="K17">
            <v>12013.1</v>
          </cell>
        </row>
        <row r="19">
          <cell r="E19">
            <v>61996.29</v>
          </cell>
        </row>
        <row r="20">
          <cell r="G20">
            <v>85146.36</v>
          </cell>
        </row>
        <row r="21">
          <cell r="G21">
            <v>10965.59</v>
          </cell>
          <cell r="H21">
            <v>6303.86</v>
          </cell>
        </row>
        <row r="22">
          <cell r="G22">
            <v>298587.59000000003</v>
          </cell>
          <cell r="H22">
            <v>873.08</v>
          </cell>
        </row>
        <row r="43">
          <cell r="E43">
            <v>172641.53</v>
          </cell>
        </row>
        <row r="44">
          <cell r="G44">
            <v>-148233.13</v>
          </cell>
          <cell r="H44">
            <v>-873.08</v>
          </cell>
        </row>
        <row r="51">
          <cell r="F51">
            <v>17071.849999999999</v>
          </cell>
          <cell r="G51">
            <v>1589.2</v>
          </cell>
        </row>
        <row r="52">
          <cell r="F52">
            <v>27288.26</v>
          </cell>
        </row>
        <row r="53">
          <cell r="G53">
            <v>10671.37</v>
          </cell>
        </row>
        <row r="54">
          <cell r="G54">
            <v>482430.7</v>
          </cell>
          <cell r="H54">
            <v>5968.86</v>
          </cell>
          <cell r="L54">
            <v>249645.29</v>
          </cell>
        </row>
        <row r="55">
          <cell r="H55">
            <v>3969.18</v>
          </cell>
          <cell r="L55">
            <v>41307.050000000003</v>
          </cell>
        </row>
        <row r="56">
          <cell r="E56">
            <v>2079.1</v>
          </cell>
        </row>
        <row r="57">
          <cell r="E57">
            <v>-130.16</v>
          </cell>
          <cell r="F57">
            <v>52137.87</v>
          </cell>
        </row>
        <row r="60">
          <cell r="G60">
            <v>34103.279999999999</v>
          </cell>
        </row>
        <row r="61">
          <cell r="E61">
            <v>-1948.94</v>
          </cell>
          <cell r="F61">
            <v>-149618.09</v>
          </cell>
          <cell r="G61">
            <v>-4508.84</v>
          </cell>
        </row>
        <row r="64">
          <cell r="H64">
            <v>954.21</v>
          </cell>
        </row>
        <row r="66">
          <cell r="E66">
            <v>12033.81</v>
          </cell>
          <cell r="G66">
            <v>44351.99</v>
          </cell>
          <cell r="H66">
            <v>46506.12</v>
          </cell>
          <cell r="I66">
            <v>239865.85</v>
          </cell>
        </row>
        <row r="69">
          <cell r="E69">
            <v>1156.06</v>
          </cell>
          <cell r="H69">
            <v>6937.77</v>
          </cell>
        </row>
        <row r="70">
          <cell r="E70">
            <v>183982.21</v>
          </cell>
          <cell r="F70">
            <v>17697.36</v>
          </cell>
        </row>
        <row r="71">
          <cell r="E71">
            <v>49833.85</v>
          </cell>
          <cell r="G71">
            <v>33293.82</v>
          </cell>
        </row>
        <row r="73">
          <cell r="E73">
            <v>2990.73</v>
          </cell>
        </row>
      </sheetData>
      <sheetData sheetId="21">
        <row r="7">
          <cell r="G7">
            <v>40011.79</v>
          </cell>
          <cell r="I7">
            <v>48035.21</v>
          </cell>
        </row>
        <row r="8">
          <cell r="I8">
            <v>3413.77</v>
          </cell>
        </row>
        <row r="11">
          <cell r="L11">
            <v>4522.17</v>
          </cell>
        </row>
        <row r="14">
          <cell r="E14">
            <v>1140</v>
          </cell>
        </row>
        <row r="17">
          <cell r="E17">
            <v>16787.400000000001</v>
          </cell>
        </row>
        <row r="19">
          <cell r="E19">
            <v>27809.62</v>
          </cell>
        </row>
        <row r="20">
          <cell r="I20">
            <v>34787.31</v>
          </cell>
        </row>
        <row r="21">
          <cell r="G21">
            <v>7160.43</v>
          </cell>
          <cell r="H21">
            <v>646.71</v>
          </cell>
        </row>
        <row r="22">
          <cell r="G22">
            <v>20934.95</v>
          </cell>
        </row>
        <row r="43">
          <cell r="E43">
            <v>35259.089999999997</v>
          </cell>
        </row>
        <row r="51">
          <cell r="F51">
            <v>37428.65</v>
          </cell>
          <cell r="G51">
            <v>10146.040000000001</v>
          </cell>
        </row>
        <row r="52">
          <cell r="F52">
            <v>281806.46999999997</v>
          </cell>
        </row>
        <row r="53">
          <cell r="G53">
            <v>1450.83</v>
          </cell>
        </row>
        <row r="54">
          <cell r="G54">
            <v>616960.9</v>
          </cell>
          <cell r="H54">
            <v>1648</v>
          </cell>
          <cell r="L54">
            <v>542062.91</v>
          </cell>
        </row>
        <row r="55">
          <cell r="H55">
            <v>648</v>
          </cell>
          <cell r="L55">
            <v>-4758.79</v>
          </cell>
        </row>
        <row r="57">
          <cell r="F57">
            <v>21182.83</v>
          </cell>
        </row>
        <row r="61">
          <cell r="E61">
            <v>55217.599999999999</v>
          </cell>
        </row>
        <row r="62">
          <cell r="F62">
            <v>213451.93</v>
          </cell>
        </row>
        <row r="63">
          <cell r="L63">
            <v>31742.32</v>
          </cell>
        </row>
        <row r="66">
          <cell r="E66">
            <v>659.61</v>
          </cell>
          <cell r="G66">
            <v>266021.62</v>
          </cell>
          <cell r="H66">
            <v>4975</v>
          </cell>
          <cell r="I66">
            <v>14733.59</v>
          </cell>
        </row>
        <row r="67">
          <cell r="E67">
            <v>108674.32</v>
          </cell>
        </row>
        <row r="69">
          <cell r="E69">
            <v>88.73</v>
          </cell>
          <cell r="H69">
            <v>777.51</v>
          </cell>
        </row>
        <row r="70">
          <cell r="E70">
            <v>33917.99</v>
          </cell>
          <cell r="F70">
            <v>4062.6</v>
          </cell>
        </row>
        <row r="71">
          <cell r="E71">
            <v>25442.29</v>
          </cell>
          <cell r="G71">
            <v>225155.75</v>
          </cell>
        </row>
        <row r="72">
          <cell r="E72">
            <v>335.25</v>
          </cell>
        </row>
      </sheetData>
      <sheetData sheetId="22">
        <row r="5">
          <cell r="E5">
            <v>7972.89</v>
          </cell>
        </row>
        <row r="7">
          <cell r="G7">
            <v>7079.27</v>
          </cell>
          <cell r="I7">
            <v>3323.18</v>
          </cell>
        </row>
        <row r="11">
          <cell r="L11">
            <v>2708.28</v>
          </cell>
        </row>
        <row r="14">
          <cell r="E14">
            <v>2238.3000000000002</v>
          </cell>
          <cell r="H14">
            <v>2034.18</v>
          </cell>
        </row>
        <row r="17">
          <cell r="E17">
            <v>3618.93</v>
          </cell>
        </row>
        <row r="19">
          <cell r="E19">
            <v>21739.34</v>
          </cell>
        </row>
        <row r="20">
          <cell r="G20">
            <v>215.5</v>
          </cell>
          <cell r="K20">
            <v>817.42</v>
          </cell>
        </row>
        <row r="21">
          <cell r="H21">
            <v>7214.68</v>
          </cell>
        </row>
        <row r="22">
          <cell r="G22">
            <v>52143.53</v>
          </cell>
        </row>
        <row r="43">
          <cell r="E43">
            <v>9930.57</v>
          </cell>
        </row>
        <row r="46">
          <cell r="I46">
            <v>3015</v>
          </cell>
        </row>
        <row r="51">
          <cell r="F51">
            <v>31027.24</v>
          </cell>
          <cell r="H51">
            <v>2034.18</v>
          </cell>
        </row>
        <row r="52">
          <cell r="F52">
            <v>611624.81000000006</v>
          </cell>
        </row>
        <row r="54">
          <cell r="G54">
            <v>330798.14</v>
          </cell>
          <cell r="H54">
            <v>2034.18</v>
          </cell>
          <cell r="L54">
            <v>143236.31</v>
          </cell>
        </row>
        <row r="55">
          <cell r="H55">
            <v>2034.18</v>
          </cell>
          <cell r="L55">
            <v>49891.57</v>
          </cell>
        </row>
        <row r="57">
          <cell r="F57">
            <v>16894.28</v>
          </cell>
        </row>
        <row r="61">
          <cell r="E61">
            <v>1909.03</v>
          </cell>
        </row>
        <row r="62">
          <cell r="F62">
            <v>182653.29</v>
          </cell>
        </row>
        <row r="64">
          <cell r="H64">
            <v>2034.18</v>
          </cell>
        </row>
        <row r="66">
          <cell r="E66">
            <v>11817.53</v>
          </cell>
          <cell r="G66">
            <v>197874.22</v>
          </cell>
          <cell r="H66">
            <v>10170.9</v>
          </cell>
          <cell r="I66">
            <v>342446.85</v>
          </cell>
        </row>
        <row r="69">
          <cell r="H69">
            <v>40108</v>
          </cell>
        </row>
        <row r="70">
          <cell r="E70">
            <v>3056.65</v>
          </cell>
        </row>
        <row r="71">
          <cell r="E71">
            <v>27142.15</v>
          </cell>
          <cell r="G71">
            <v>1014534.78</v>
          </cell>
        </row>
        <row r="73">
          <cell r="F73">
            <v>11929.71</v>
          </cell>
        </row>
      </sheetData>
      <sheetData sheetId="23">
        <row r="7">
          <cell r="I7">
            <v>-515.91</v>
          </cell>
        </row>
        <row r="8">
          <cell r="I8">
            <v>428.04</v>
          </cell>
        </row>
        <row r="11">
          <cell r="L11">
            <v>650</v>
          </cell>
        </row>
        <row r="14">
          <cell r="E14">
            <v>16880.349999999999</v>
          </cell>
        </row>
        <row r="17">
          <cell r="E17">
            <v>11653.84</v>
          </cell>
        </row>
        <row r="19">
          <cell r="E19">
            <v>3447.15</v>
          </cell>
        </row>
        <row r="20">
          <cell r="E20">
            <v>148.63</v>
          </cell>
          <cell r="I20">
            <v>-34787.31</v>
          </cell>
        </row>
        <row r="22">
          <cell r="G22">
            <v>55564.480000000003</v>
          </cell>
        </row>
        <row r="43">
          <cell r="E43">
            <v>22627.7</v>
          </cell>
        </row>
        <row r="45">
          <cell r="E45">
            <v>1029.82</v>
          </cell>
        </row>
        <row r="46">
          <cell r="I46">
            <v>37399.620000000003</v>
          </cell>
        </row>
        <row r="51">
          <cell r="F51">
            <v>13438.34</v>
          </cell>
        </row>
        <row r="52">
          <cell r="F52">
            <v>537903.03</v>
          </cell>
        </row>
        <row r="53">
          <cell r="G53">
            <v>7579.77</v>
          </cell>
        </row>
        <row r="54">
          <cell r="G54">
            <v>263053.42</v>
          </cell>
        </row>
        <row r="57">
          <cell r="E57">
            <v>460.1</v>
          </cell>
          <cell r="F57">
            <v>-12246.53</v>
          </cell>
        </row>
        <row r="60">
          <cell r="G60">
            <v>5871.73</v>
          </cell>
        </row>
        <row r="61">
          <cell r="E61">
            <v>1211.51</v>
          </cell>
        </row>
        <row r="62">
          <cell r="F62">
            <v>126170.36</v>
          </cell>
        </row>
        <row r="66">
          <cell r="E66">
            <v>9963.84</v>
          </cell>
          <cell r="G66">
            <v>3315.37</v>
          </cell>
          <cell r="H66">
            <v>34253.11</v>
          </cell>
          <cell r="I66">
            <v>46452.82</v>
          </cell>
          <cell r="K66">
            <v>462.9</v>
          </cell>
        </row>
        <row r="69">
          <cell r="E69">
            <v>33228.26</v>
          </cell>
        </row>
        <row r="70">
          <cell r="E70">
            <v>596.97</v>
          </cell>
        </row>
        <row r="71">
          <cell r="E71">
            <v>14777.71</v>
          </cell>
          <cell r="G71">
            <v>198060.57</v>
          </cell>
        </row>
        <row r="73">
          <cell r="F73">
            <v>117895.92</v>
          </cell>
        </row>
      </sheetData>
      <sheetData sheetId="24">
        <row r="5">
          <cell r="E5">
            <v>599540.4</v>
          </cell>
        </row>
        <row r="7">
          <cell r="G7">
            <v>97224.13</v>
          </cell>
          <cell r="H7">
            <v>10621.78</v>
          </cell>
          <cell r="I7">
            <v>30200.690000000002</v>
          </cell>
          <cell r="K7">
            <v>7660.52</v>
          </cell>
        </row>
        <row r="11">
          <cell r="L11">
            <v>4354.47</v>
          </cell>
        </row>
        <row r="14">
          <cell r="E14">
            <v>154.6</v>
          </cell>
        </row>
        <row r="17">
          <cell r="E17">
            <v>3303.25</v>
          </cell>
        </row>
        <row r="18">
          <cell r="E18">
            <v>16475.82</v>
          </cell>
        </row>
        <row r="19">
          <cell r="E19">
            <v>730663.65999999992</v>
          </cell>
        </row>
        <row r="20">
          <cell r="G20">
            <v>1772.13</v>
          </cell>
          <cell r="K20">
            <v>2685.6</v>
          </cell>
        </row>
        <row r="21">
          <cell r="G21">
            <v>14981.01</v>
          </cell>
          <cell r="H21">
            <v>718.4</v>
          </cell>
        </row>
        <row r="22">
          <cell r="G22">
            <v>56259.950000000004</v>
          </cell>
        </row>
        <row r="43">
          <cell r="E43">
            <v>51307.490000000005</v>
          </cell>
        </row>
        <row r="46">
          <cell r="I46">
            <v>6708.58</v>
          </cell>
        </row>
        <row r="51">
          <cell r="F51">
            <v>24936.76</v>
          </cell>
        </row>
        <row r="52">
          <cell r="F52">
            <v>136846.82</v>
          </cell>
        </row>
        <row r="53">
          <cell r="G53">
            <v>135982.74</v>
          </cell>
        </row>
        <row r="54">
          <cell r="G54">
            <v>559901.56000000006</v>
          </cell>
          <cell r="H54">
            <v>359.2</v>
          </cell>
          <cell r="L54">
            <v>33373.760000000002</v>
          </cell>
        </row>
        <row r="55">
          <cell r="H55">
            <v>1109.2</v>
          </cell>
          <cell r="L55">
            <v>9221.34</v>
          </cell>
        </row>
        <row r="56">
          <cell r="E56">
            <v>5873.51</v>
          </cell>
        </row>
        <row r="57">
          <cell r="F57">
            <v>-29889.61</v>
          </cell>
        </row>
        <row r="61">
          <cell r="E61">
            <v>5036.25</v>
          </cell>
        </row>
        <row r="62">
          <cell r="F62">
            <v>232454.22</v>
          </cell>
        </row>
        <row r="66">
          <cell r="E66">
            <v>15747.06</v>
          </cell>
          <cell r="G66">
            <v>19874.25</v>
          </cell>
          <cell r="H66">
            <v>2155.1999999999998</v>
          </cell>
          <cell r="I66">
            <v>72585.05</v>
          </cell>
        </row>
        <row r="69">
          <cell r="E69">
            <v>85142.65</v>
          </cell>
          <cell r="H69">
            <v>4774.2700000000004</v>
          </cell>
        </row>
        <row r="70">
          <cell r="E70">
            <v>-88265.66</v>
          </cell>
        </row>
        <row r="71">
          <cell r="E71">
            <v>57041.22</v>
          </cell>
          <cell r="G71">
            <v>329379.89</v>
          </cell>
        </row>
        <row r="73">
          <cell r="F73">
            <v>9687.44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"/>
      <sheetName val="CABC"/>
      <sheetName val="CABC Explanations"/>
      <sheetName val="CABCAlloc"/>
      <sheetName val="eSource"/>
      <sheetName val="eSourceAlloc"/>
      <sheetName val="Fin Ops"/>
      <sheetName val="Fin Ops excl Wes"/>
      <sheetName val="Fin Ops Alloc yr on yr"/>
      <sheetName val="Fin_Ops Allocations"/>
      <sheetName val="Fin_Ops 2002 Plan Detail"/>
      <sheetName val="Fin_Ops 2001 Forecast Detail"/>
      <sheetName val="Fin-Ops Variance Analysis"/>
      <sheetName val="Elaine Allocations"/>
      <sheetName val="Empee Exp reduction"/>
      <sheetName val="HR"/>
      <sheetName val="HRAlloc"/>
      <sheetName val="Legal Revised "/>
      <sheetName val="LegalAlloc-old"/>
      <sheetName val="Legal - old"/>
      <sheetName val="LegalAlloc revised"/>
      <sheetName val="PR"/>
      <sheetName val="PRAlloc"/>
      <sheetName val="Research"/>
      <sheetName val="ResearchAlloc"/>
      <sheetName val="Tax"/>
      <sheetName val="TaxAlloc"/>
      <sheetName val="TechSvcs-Cons"/>
      <sheetName val="TranSup"/>
      <sheetName val="TranSup Orig 2001 Plan"/>
      <sheetName val="TranSuppAlloc"/>
      <sheetName val="Treasury"/>
      <sheetName val="TreasAlloc"/>
      <sheetName val="EnOps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6">
          <cell r="P56">
            <v>53359418.428571433</v>
          </cell>
          <cell r="R56">
            <v>57269780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workbookViewId="0">
      <selection activeCell="D5" sqref="D5:E5"/>
    </sheetView>
  </sheetViews>
  <sheetFormatPr defaultRowHeight="12.75" x14ac:dyDescent="0.2"/>
  <cols>
    <col min="1" max="1" width="13" customWidth="1"/>
    <col min="2" max="2" width="39.85546875" customWidth="1"/>
    <col min="3" max="3" width="2.140625" customWidth="1"/>
    <col min="4" max="4" width="13.42578125" bestFit="1" customWidth="1"/>
    <col min="5" max="5" width="8" style="132" bestFit="1" customWidth="1"/>
    <col min="6" max="6" width="2.5703125" style="132" customWidth="1"/>
    <col min="7" max="7" width="14" bestFit="1" customWidth="1"/>
    <col min="8" max="8" width="8.28515625" bestFit="1" customWidth="1"/>
    <col min="9" max="9" width="10" bestFit="1" customWidth="1"/>
  </cols>
  <sheetData>
    <row r="1" spans="1:9" ht="15.75" x14ac:dyDescent="0.25">
      <c r="A1" s="282" t="s">
        <v>212</v>
      </c>
      <c r="B1" s="283"/>
      <c r="C1" s="283"/>
      <c r="D1" s="283"/>
      <c r="E1" s="283"/>
      <c r="F1" s="283"/>
      <c r="G1" s="283"/>
      <c r="H1" s="283"/>
    </row>
    <row r="2" spans="1:9" ht="15.75" x14ac:dyDescent="0.25">
      <c r="A2" s="282" t="s">
        <v>211</v>
      </c>
      <c r="B2" s="283"/>
      <c r="C2" s="283"/>
      <c r="D2" s="283"/>
      <c r="E2" s="283"/>
      <c r="F2" s="283"/>
      <c r="G2" s="283"/>
      <c r="H2" s="283"/>
    </row>
    <row r="3" spans="1:9" ht="15.75" x14ac:dyDescent="0.25">
      <c r="A3" s="282" t="s">
        <v>58</v>
      </c>
      <c r="B3" s="283"/>
      <c r="C3" s="283"/>
      <c r="D3" s="283"/>
      <c r="E3" s="283"/>
      <c r="F3" s="283"/>
      <c r="G3" s="283"/>
      <c r="H3" s="283"/>
    </row>
    <row r="4" spans="1:9" ht="26.25" customHeight="1" thickBot="1" x14ac:dyDescent="0.25">
      <c r="A4" s="133"/>
      <c r="E4" s="134"/>
      <c r="F4" s="134"/>
    </row>
    <row r="5" spans="1:9" ht="13.5" thickBot="1" x14ac:dyDescent="0.25">
      <c r="A5" s="169" t="s">
        <v>101</v>
      </c>
      <c r="B5" s="170" t="s">
        <v>209</v>
      </c>
      <c r="C5" s="176"/>
      <c r="D5" s="279" t="s">
        <v>57</v>
      </c>
      <c r="E5" s="280"/>
      <c r="F5" s="135"/>
      <c r="G5" s="279" t="s">
        <v>58</v>
      </c>
      <c r="H5" s="281"/>
    </row>
    <row r="6" spans="1:9" s="143" customFormat="1" ht="11.25" hidden="1" x14ac:dyDescent="0.2">
      <c r="A6" s="171">
        <v>105249</v>
      </c>
      <c r="B6" s="172" t="s">
        <v>121</v>
      </c>
      <c r="C6" s="177"/>
      <c r="D6" s="148">
        <v>0</v>
      </c>
      <c r="E6" s="180"/>
      <c r="F6" s="147"/>
      <c r="G6" s="148">
        <v>0</v>
      </c>
      <c r="H6" s="172"/>
    </row>
    <row r="7" spans="1:9" s="143" customFormat="1" ht="11.25" x14ac:dyDescent="0.2">
      <c r="A7" s="171">
        <v>105713</v>
      </c>
      <c r="B7" s="172" t="s">
        <v>122</v>
      </c>
      <c r="C7" s="177"/>
      <c r="D7" s="168">
        <v>22556.39</v>
      </c>
      <c r="E7" s="181">
        <f>+D7/D$59</f>
        <v>1.2853216732626558E-3</v>
      </c>
      <c r="F7" s="147"/>
      <c r="G7" s="168">
        <v>20584.674011941341</v>
      </c>
      <c r="H7" s="183">
        <f>+G7/G$59</f>
        <v>1.2853214489742569E-3</v>
      </c>
      <c r="I7" s="145"/>
    </row>
    <row r="8" spans="1:9" s="143" customFormat="1" ht="11.25" x14ac:dyDescent="0.2">
      <c r="A8" s="171">
        <v>105751</v>
      </c>
      <c r="B8" s="172" t="s">
        <v>123</v>
      </c>
      <c r="C8" s="177"/>
      <c r="D8" s="168">
        <v>205847.12</v>
      </c>
      <c r="E8" s="181">
        <f t="shared" ref="E8:E58" si="0">+D8/D$59</f>
        <v>1.1729703410638791E-2</v>
      </c>
      <c r="F8" s="147"/>
      <c r="G8" s="168">
        <v>187853.49193651174</v>
      </c>
      <c r="H8" s="183">
        <f t="shared" ref="H8:H58" si="1">+G8/G$59</f>
        <v>1.1729703482826242E-2</v>
      </c>
      <c r="I8" s="145"/>
    </row>
    <row r="9" spans="1:9" s="143" customFormat="1" ht="11.25" hidden="1" x14ac:dyDescent="0.2">
      <c r="A9" s="171">
        <v>105999</v>
      </c>
      <c r="B9" s="172" t="s">
        <v>125</v>
      </c>
      <c r="C9" s="177"/>
      <c r="D9" s="168"/>
      <c r="E9" s="181">
        <f t="shared" si="0"/>
        <v>0</v>
      </c>
      <c r="F9" s="147"/>
      <c r="G9" s="168">
        <v>0</v>
      </c>
      <c r="H9" s="183">
        <f t="shared" si="1"/>
        <v>0</v>
      </c>
      <c r="I9" s="145"/>
    </row>
    <row r="10" spans="1:9" s="143" customFormat="1" ht="11.25" hidden="1" x14ac:dyDescent="0.2">
      <c r="A10" s="171">
        <v>106005</v>
      </c>
      <c r="B10" s="172" t="s">
        <v>126</v>
      </c>
      <c r="C10" s="177"/>
      <c r="D10" s="168"/>
      <c r="E10" s="181">
        <f t="shared" si="0"/>
        <v>0</v>
      </c>
      <c r="F10" s="147"/>
      <c r="G10" s="168">
        <v>0</v>
      </c>
      <c r="H10" s="183">
        <f t="shared" si="1"/>
        <v>0</v>
      </c>
      <c r="I10" s="145"/>
    </row>
    <row r="11" spans="1:9" s="143" customFormat="1" ht="11.25" x14ac:dyDescent="0.2">
      <c r="A11" s="171">
        <v>106230</v>
      </c>
      <c r="B11" s="172" t="s">
        <v>128</v>
      </c>
      <c r="C11" s="177"/>
      <c r="D11" s="168">
        <v>2138867.2799999998</v>
      </c>
      <c r="E11" s="181">
        <f t="shared" si="0"/>
        <v>0.1218782115053138</v>
      </c>
      <c r="F11" s="147"/>
      <c r="G11" s="168">
        <v>1951903.3587731672</v>
      </c>
      <c r="H11" s="183">
        <f t="shared" si="1"/>
        <v>0.12187821152283768</v>
      </c>
      <c r="I11" s="145"/>
    </row>
    <row r="12" spans="1:9" s="143" customFormat="1" ht="11.25" x14ac:dyDescent="0.2">
      <c r="A12" s="171">
        <v>106298</v>
      </c>
      <c r="B12" s="172" t="s">
        <v>129</v>
      </c>
      <c r="C12" s="177"/>
      <c r="D12" s="168">
        <v>250042.11</v>
      </c>
      <c r="E12" s="181">
        <f t="shared" si="0"/>
        <v>1.4248048699784188E-2</v>
      </c>
      <c r="F12" s="147"/>
      <c r="G12" s="168">
        <v>228185.28561116129</v>
      </c>
      <c r="H12" s="183">
        <f t="shared" si="1"/>
        <v>1.4248048901148579E-2</v>
      </c>
      <c r="I12" s="145"/>
    </row>
    <row r="13" spans="1:9" s="143" customFormat="1" ht="11.25" x14ac:dyDescent="0.2">
      <c r="A13" s="171">
        <v>106303</v>
      </c>
      <c r="B13" s="172" t="s">
        <v>131</v>
      </c>
      <c r="C13" s="177"/>
      <c r="D13" s="168">
        <v>103287.26</v>
      </c>
      <c r="E13" s="181">
        <f t="shared" si="0"/>
        <v>5.8855762757212028E-3</v>
      </c>
      <c r="F13" s="147"/>
      <c r="G13" s="168">
        <v>94258.656477131794</v>
      </c>
      <c r="H13" s="183">
        <f t="shared" si="1"/>
        <v>5.8855764658343433E-3</v>
      </c>
      <c r="I13" s="145"/>
    </row>
    <row r="14" spans="1:9" s="143" customFormat="1" ht="11.25" x14ac:dyDescent="0.2">
      <c r="A14" s="171">
        <v>106331</v>
      </c>
      <c r="B14" s="172" t="s">
        <v>133</v>
      </c>
      <c r="C14" s="177"/>
      <c r="D14" s="168">
        <v>995049.58</v>
      </c>
      <c r="E14" s="181">
        <f t="shared" si="0"/>
        <v>5.6700508864446081E-2</v>
      </c>
      <c r="F14" s="147"/>
      <c r="G14" s="168">
        <v>908069.72573797242</v>
      </c>
      <c r="H14" s="183">
        <f t="shared" si="1"/>
        <v>5.6700509076709538E-2</v>
      </c>
      <c r="I14" s="145"/>
    </row>
    <row r="15" spans="1:9" s="143" customFormat="1" ht="11.25" hidden="1" x14ac:dyDescent="0.2">
      <c r="A15" s="171">
        <v>106580</v>
      </c>
      <c r="B15" s="172" t="s">
        <v>134</v>
      </c>
      <c r="C15" s="177"/>
      <c r="D15" s="168"/>
      <c r="E15" s="181">
        <f t="shared" si="0"/>
        <v>0</v>
      </c>
      <c r="F15" s="147"/>
      <c r="G15" s="168">
        <v>0</v>
      </c>
      <c r="H15" s="183">
        <f t="shared" si="1"/>
        <v>0</v>
      </c>
      <c r="I15" s="145"/>
    </row>
    <row r="16" spans="1:9" s="143" customFormat="1" ht="11.25" hidden="1" x14ac:dyDescent="0.2">
      <c r="A16" s="171">
        <v>106582</v>
      </c>
      <c r="B16" s="172" t="s">
        <v>135</v>
      </c>
      <c r="C16" s="177"/>
      <c r="D16" s="168"/>
      <c r="E16" s="181">
        <f t="shared" si="0"/>
        <v>0</v>
      </c>
      <c r="F16" s="147"/>
      <c r="G16" s="168">
        <v>0</v>
      </c>
      <c r="H16" s="183">
        <f t="shared" si="1"/>
        <v>0</v>
      </c>
      <c r="I16" s="145"/>
    </row>
    <row r="17" spans="1:9" s="143" customFormat="1" ht="11.25" hidden="1" x14ac:dyDescent="0.2">
      <c r="A17" s="171">
        <v>106587</v>
      </c>
      <c r="B17" s="172" t="s">
        <v>137</v>
      </c>
      <c r="C17" s="177"/>
      <c r="D17" s="168"/>
      <c r="E17" s="181">
        <f t="shared" si="0"/>
        <v>0</v>
      </c>
      <c r="F17" s="147"/>
      <c r="G17" s="168">
        <v>0</v>
      </c>
      <c r="H17" s="183">
        <f t="shared" si="1"/>
        <v>0</v>
      </c>
      <c r="I17" s="145"/>
    </row>
    <row r="18" spans="1:9" s="143" customFormat="1" ht="11.25" hidden="1" x14ac:dyDescent="0.2">
      <c r="A18" s="171">
        <v>106588</v>
      </c>
      <c r="B18" s="172" t="s">
        <v>139</v>
      </c>
      <c r="C18" s="177"/>
      <c r="D18" s="168"/>
      <c r="E18" s="181">
        <f t="shared" si="0"/>
        <v>0</v>
      </c>
      <c r="F18" s="147"/>
      <c r="G18" s="168">
        <v>0</v>
      </c>
      <c r="H18" s="183">
        <f t="shared" si="1"/>
        <v>0</v>
      </c>
      <c r="I18" s="145"/>
    </row>
    <row r="19" spans="1:9" s="143" customFormat="1" ht="11.25" hidden="1" x14ac:dyDescent="0.2">
      <c r="A19" s="171">
        <v>106589</v>
      </c>
      <c r="B19" s="172" t="s">
        <v>141</v>
      </c>
      <c r="C19" s="177"/>
      <c r="D19" s="168"/>
      <c r="E19" s="181">
        <f t="shared" si="0"/>
        <v>0</v>
      </c>
      <c r="F19" s="147"/>
      <c r="G19" s="168">
        <v>0</v>
      </c>
      <c r="H19" s="183">
        <f t="shared" si="1"/>
        <v>0</v>
      </c>
      <c r="I19" s="145"/>
    </row>
    <row r="20" spans="1:9" s="143" customFormat="1" ht="11.25" hidden="1" x14ac:dyDescent="0.2">
      <c r="A20" s="171">
        <v>106590</v>
      </c>
      <c r="B20" s="172" t="s">
        <v>142</v>
      </c>
      <c r="C20" s="177"/>
      <c r="D20" s="168"/>
      <c r="E20" s="181">
        <f t="shared" si="0"/>
        <v>0</v>
      </c>
      <c r="F20" s="147"/>
      <c r="G20" s="168">
        <v>0</v>
      </c>
      <c r="H20" s="183">
        <f t="shared" si="1"/>
        <v>0</v>
      </c>
      <c r="I20" s="145"/>
    </row>
    <row r="21" spans="1:9" s="143" customFormat="1" ht="11.25" hidden="1" x14ac:dyDescent="0.2">
      <c r="A21" s="171">
        <v>106591</v>
      </c>
      <c r="B21" s="172" t="s">
        <v>143</v>
      </c>
      <c r="C21" s="177"/>
      <c r="D21" s="168"/>
      <c r="E21" s="181">
        <f t="shared" si="0"/>
        <v>0</v>
      </c>
      <c r="F21" s="147"/>
      <c r="G21" s="168">
        <v>0</v>
      </c>
      <c r="H21" s="183">
        <f t="shared" si="1"/>
        <v>0</v>
      </c>
      <c r="I21" s="145"/>
    </row>
    <row r="22" spans="1:9" s="143" customFormat="1" ht="11.25" hidden="1" x14ac:dyDescent="0.2">
      <c r="A22" s="171">
        <v>106592</v>
      </c>
      <c r="B22" s="172" t="s">
        <v>144</v>
      </c>
      <c r="C22" s="177"/>
      <c r="D22" s="168"/>
      <c r="E22" s="181">
        <f t="shared" si="0"/>
        <v>0</v>
      </c>
      <c r="F22" s="147"/>
      <c r="G22" s="168">
        <v>0</v>
      </c>
      <c r="H22" s="183">
        <f t="shared" si="1"/>
        <v>0</v>
      </c>
      <c r="I22" s="145"/>
    </row>
    <row r="23" spans="1:9" s="143" customFormat="1" ht="11.25" hidden="1" x14ac:dyDescent="0.2">
      <c r="A23" s="171">
        <v>106593</v>
      </c>
      <c r="B23" s="172" t="s">
        <v>145</v>
      </c>
      <c r="C23" s="177"/>
      <c r="D23" s="168"/>
      <c r="E23" s="181">
        <f t="shared" si="0"/>
        <v>0</v>
      </c>
      <c r="F23" s="147"/>
      <c r="G23" s="168">
        <v>0</v>
      </c>
      <c r="H23" s="183">
        <f t="shared" si="1"/>
        <v>0</v>
      </c>
      <c r="I23" s="145"/>
    </row>
    <row r="24" spans="1:9" s="143" customFormat="1" ht="11.25" hidden="1" x14ac:dyDescent="0.2">
      <c r="A24" s="171">
        <v>106594</v>
      </c>
      <c r="B24" s="172" t="s">
        <v>146</v>
      </c>
      <c r="C24" s="177"/>
      <c r="D24" s="168"/>
      <c r="E24" s="181">
        <f t="shared" si="0"/>
        <v>0</v>
      </c>
      <c r="F24" s="147"/>
      <c r="G24" s="168">
        <v>0</v>
      </c>
      <c r="H24" s="183">
        <f t="shared" si="1"/>
        <v>0</v>
      </c>
      <c r="I24" s="145"/>
    </row>
    <row r="25" spans="1:9" s="143" customFormat="1" ht="11.25" hidden="1" x14ac:dyDescent="0.2">
      <c r="A25" s="171">
        <v>106595</v>
      </c>
      <c r="B25" s="172" t="s">
        <v>147</v>
      </c>
      <c r="C25" s="177"/>
      <c r="D25" s="168"/>
      <c r="E25" s="181">
        <f t="shared" si="0"/>
        <v>0</v>
      </c>
      <c r="F25" s="147"/>
      <c r="G25" s="168">
        <v>0</v>
      </c>
      <c r="H25" s="183">
        <f t="shared" si="1"/>
        <v>0</v>
      </c>
      <c r="I25" s="145"/>
    </row>
    <row r="26" spans="1:9" s="143" customFormat="1" ht="11.25" hidden="1" x14ac:dyDescent="0.2">
      <c r="A26" s="171">
        <v>106597</v>
      </c>
      <c r="B26" s="172" t="s">
        <v>148</v>
      </c>
      <c r="C26" s="177"/>
      <c r="D26" s="168"/>
      <c r="E26" s="181">
        <f t="shared" si="0"/>
        <v>0</v>
      </c>
      <c r="F26" s="147"/>
      <c r="G26" s="168">
        <v>0</v>
      </c>
      <c r="H26" s="183">
        <f t="shared" si="1"/>
        <v>0</v>
      </c>
      <c r="I26" s="145"/>
    </row>
    <row r="27" spans="1:9" s="143" customFormat="1" ht="11.25" hidden="1" x14ac:dyDescent="0.2">
      <c r="A27" s="171">
        <v>106598</v>
      </c>
      <c r="B27" s="172" t="s">
        <v>150</v>
      </c>
      <c r="C27" s="177"/>
      <c r="D27" s="168"/>
      <c r="E27" s="181">
        <f t="shared" si="0"/>
        <v>0</v>
      </c>
      <c r="F27" s="147"/>
      <c r="G27" s="168">
        <v>0</v>
      </c>
      <c r="H27" s="183">
        <f t="shared" si="1"/>
        <v>0</v>
      </c>
      <c r="I27" s="145"/>
    </row>
    <row r="28" spans="1:9" s="143" customFormat="1" ht="11.25" hidden="1" x14ac:dyDescent="0.2">
      <c r="A28" s="171">
        <v>106607</v>
      </c>
      <c r="B28" s="172" t="s">
        <v>152</v>
      </c>
      <c r="C28" s="177"/>
      <c r="D28" s="168"/>
      <c r="E28" s="181">
        <f t="shared" si="0"/>
        <v>0</v>
      </c>
      <c r="F28" s="147"/>
      <c r="G28" s="168">
        <v>0</v>
      </c>
      <c r="H28" s="183">
        <f t="shared" si="1"/>
        <v>0</v>
      </c>
      <c r="I28" s="145"/>
    </row>
    <row r="29" spans="1:9" s="143" customFormat="1" ht="11.25" hidden="1" x14ac:dyDescent="0.2">
      <c r="A29" s="171">
        <v>106608</v>
      </c>
      <c r="B29" s="172" t="s">
        <v>153</v>
      </c>
      <c r="C29" s="177"/>
      <c r="D29" s="168"/>
      <c r="E29" s="181">
        <f t="shared" si="0"/>
        <v>0</v>
      </c>
      <c r="F29" s="147"/>
      <c r="G29" s="168">
        <v>0</v>
      </c>
      <c r="H29" s="183">
        <f t="shared" si="1"/>
        <v>0</v>
      </c>
      <c r="I29" s="145"/>
    </row>
    <row r="30" spans="1:9" s="143" customFormat="1" ht="11.25" hidden="1" x14ac:dyDescent="0.2">
      <c r="A30" s="171">
        <v>106609</v>
      </c>
      <c r="B30" s="172" t="s">
        <v>155</v>
      </c>
      <c r="C30" s="177"/>
      <c r="D30" s="168"/>
      <c r="E30" s="181">
        <f t="shared" si="0"/>
        <v>0</v>
      </c>
      <c r="F30" s="147"/>
      <c r="G30" s="168">
        <v>0</v>
      </c>
      <c r="H30" s="183">
        <f t="shared" si="1"/>
        <v>0</v>
      </c>
      <c r="I30" s="145"/>
    </row>
    <row r="31" spans="1:9" s="143" customFormat="1" ht="11.25" hidden="1" x14ac:dyDescent="0.2">
      <c r="A31" s="171">
        <v>106610</v>
      </c>
      <c r="B31" s="172" t="s">
        <v>157</v>
      </c>
      <c r="C31" s="177"/>
      <c r="D31" s="168"/>
      <c r="E31" s="181">
        <f t="shared" si="0"/>
        <v>0</v>
      </c>
      <c r="F31" s="147"/>
      <c r="G31" s="168">
        <v>0</v>
      </c>
      <c r="H31" s="183">
        <f t="shared" si="1"/>
        <v>0</v>
      </c>
      <c r="I31" s="145"/>
    </row>
    <row r="32" spans="1:9" s="143" customFormat="1" ht="11.25" hidden="1" x14ac:dyDescent="0.2">
      <c r="A32" s="171">
        <v>106611</v>
      </c>
      <c r="B32" s="172" t="s">
        <v>159</v>
      </c>
      <c r="C32" s="177"/>
      <c r="D32" s="168"/>
      <c r="E32" s="181">
        <f t="shared" si="0"/>
        <v>0</v>
      </c>
      <c r="F32" s="147"/>
      <c r="G32" s="168">
        <v>0</v>
      </c>
      <c r="H32" s="183">
        <f t="shared" si="1"/>
        <v>0</v>
      </c>
      <c r="I32" s="145"/>
    </row>
    <row r="33" spans="1:9" s="143" customFormat="1" ht="11.25" hidden="1" x14ac:dyDescent="0.2">
      <c r="A33" s="171">
        <v>106616</v>
      </c>
      <c r="B33" s="172" t="s">
        <v>161</v>
      </c>
      <c r="C33" s="177"/>
      <c r="D33" s="168"/>
      <c r="E33" s="181">
        <f t="shared" si="0"/>
        <v>0</v>
      </c>
      <c r="F33" s="147"/>
      <c r="G33" s="168">
        <v>0</v>
      </c>
      <c r="H33" s="183">
        <f t="shared" si="1"/>
        <v>0</v>
      </c>
      <c r="I33" s="145"/>
    </row>
    <row r="34" spans="1:9" s="143" customFormat="1" ht="11.25" hidden="1" x14ac:dyDescent="0.2">
      <c r="A34" s="171">
        <v>106617</v>
      </c>
      <c r="B34" s="172" t="s">
        <v>163</v>
      </c>
      <c r="C34" s="177"/>
      <c r="D34" s="168"/>
      <c r="E34" s="181">
        <f t="shared" si="0"/>
        <v>0</v>
      </c>
      <c r="F34" s="147"/>
      <c r="G34" s="168">
        <v>0</v>
      </c>
      <c r="H34" s="183">
        <f t="shared" si="1"/>
        <v>0</v>
      </c>
      <c r="I34" s="145"/>
    </row>
    <row r="35" spans="1:9" s="143" customFormat="1" ht="11.25" x14ac:dyDescent="0.2">
      <c r="A35" s="171">
        <v>106790</v>
      </c>
      <c r="B35" s="172" t="s">
        <v>165</v>
      </c>
      <c r="C35" s="178"/>
      <c r="D35" s="168">
        <v>764615.72</v>
      </c>
      <c r="E35" s="181">
        <f t="shared" si="0"/>
        <v>4.3569789165435177E-2</v>
      </c>
      <c r="F35" s="147"/>
      <c r="G35" s="168">
        <v>697778.67958387965</v>
      </c>
      <c r="H35" s="183">
        <f t="shared" si="1"/>
        <v>4.3569789008357104E-2</v>
      </c>
      <c r="I35" s="145"/>
    </row>
    <row r="36" spans="1:9" s="143" customFormat="1" ht="11.25" hidden="1" x14ac:dyDescent="0.2">
      <c r="A36" s="171">
        <v>106798</v>
      </c>
      <c r="B36" s="172" t="s">
        <v>167</v>
      </c>
      <c r="C36" s="177"/>
      <c r="D36" s="168"/>
      <c r="E36" s="181">
        <f t="shared" si="0"/>
        <v>0</v>
      </c>
      <c r="F36" s="147"/>
      <c r="G36" s="168">
        <v>0</v>
      </c>
      <c r="H36" s="183">
        <f t="shared" si="1"/>
        <v>0</v>
      </c>
      <c r="I36" s="145"/>
    </row>
    <row r="37" spans="1:9" s="143" customFormat="1" ht="11.25" x14ac:dyDescent="0.2">
      <c r="A37" s="171">
        <v>106802</v>
      </c>
      <c r="B37" s="172" t="s">
        <v>169</v>
      </c>
      <c r="C37" s="177"/>
      <c r="D37" s="168">
        <v>2071.33</v>
      </c>
      <c r="E37" s="181">
        <f t="shared" si="0"/>
        <v>1.1802976192019809E-4</v>
      </c>
      <c r="F37" s="147"/>
      <c r="G37" s="168">
        <v>1890.2700414798492</v>
      </c>
      <c r="H37" s="183">
        <f t="shared" si="1"/>
        <v>1.1802978406449744E-4</v>
      </c>
      <c r="I37" s="145"/>
    </row>
    <row r="38" spans="1:9" s="143" customFormat="1" ht="11.25" x14ac:dyDescent="0.2">
      <c r="A38" s="171">
        <v>106860</v>
      </c>
      <c r="B38" s="172" t="s">
        <v>171</v>
      </c>
      <c r="C38" s="177"/>
      <c r="D38" s="168">
        <v>94781.34</v>
      </c>
      <c r="E38" s="181">
        <f t="shared" si="0"/>
        <v>5.4008868672192978E-3</v>
      </c>
      <c r="F38" s="147"/>
      <c r="G38" s="168">
        <v>86496.254897616309</v>
      </c>
      <c r="H38" s="183">
        <f t="shared" si="1"/>
        <v>5.4008866796412241E-3</v>
      </c>
      <c r="I38" s="145"/>
    </row>
    <row r="39" spans="1:9" s="143" customFormat="1" ht="11.25" hidden="1" x14ac:dyDescent="0.2">
      <c r="A39" s="171">
        <v>107021</v>
      </c>
      <c r="B39" s="172" t="s">
        <v>173</v>
      </c>
      <c r="C39" s="177"/>
      <c r="D39" s="168"/>
      <c r="E39" s="181">
        <f t="shared" si="0"/>
        <v>0</v>
      </c>
      <c r="F39" s="147"/>
      <c r="G39" s="168">
        <v>0</v>
      </c>
      <c r="H39" s="183">
        <f t="shared" si="1"/>
        <v>0</v>
      </c>
      <c r="I39" s="145"/>
    </row>
    <row r="40" spans="1:9" s="143" customFormat="1" ht="11.25" hidden="1" x14ac:dyDescent="0.2">
      <c r="A40" s="171">
        <v>107022</v>
      </c>
      <c r="B40" s="172" t="s">
        <v>175</v>
      </c>
      <c r="C40" s="177"/>
      <c r="D40" s="168"/>
      <c r="E40" s="181">
        <f t="shared" si="0"/>
        <v>0</v>
      </c>
      <c r="F40" s="147"/>
      <c r="G40" s="168">
        <v>0</v>
      </c>
      <c r="H40" s="183">
        <f t="shared" si="1"/>
        <v>0</v>
      </c>
      <c r="I40" s="145"/>
    </row>
    <row r="41" spans="1:9" s="143" customFormat="1" ht="11.25" hidden="1" x14ac:dyDescent="0.2">
      <c r="A41" s="171">
        <v>107023</v>
      </c>
      <c r="B41" s="172" t="s">
        <v>176</v>
      </c>
      <c r="C41" s="177"/>
      <c r="D41" s="168"/>
      <c r="E41" s="181">
        <f t="shared" si="0"/>
        <v>0</v>
      </c>
      <c r="F41" s="147"/>
      <c r="G41" s="168">
        <v>0</v>
      </c>
      <c r="H41" s="183">
        <f t="shared" si="1"/>
        <v>0</v>
      </c>
      <c r="I41" s="145"/>
    </row>
    <row r="42" spans="1:9" s="143" customFormat="1" ht="11.25" hidden="1" x14ac:dyDescent="0.2">
      <c r="A42" s="171">
        <v>107024</v>
      </c>
      <c r="B42" s="172" t="s">
        <v>177</v>
      </c>
      <c r="C42" s="177"/>
      <c r="D42" s="168"/>
      <c r="E42" s="181">
        <f t="shared" si="0"/>
        <v>0</v>
      </c>
      <c r="F42" s="147"/>
      <c r="G42" s="168">
        <v>0</v>
      </c>
      <c r="H42" s="183">
        <f t="shared" si="1"/>
        <v>0</v>
      </c>
      <c r="I42" s="145"/>
    </row>
    <row r="43" spans="1:9" s="143" customFormat="1" ht="11.25" x14ac:dyDescent="0.2">
      <c r="A43" s="171">
        <v>107040</v>
      </c>
      <c r="B43" s="172" t="s">
        <v>178</v>
      </c>
      <c r="C43" s="177"/>
      <c r="D43" s="168">
        <v>307430.49</v>
      </c>
      <c r="E43" s="181">
        <f t="shared" si="0"/>
        <v>1.7518187609753075E-2</v>
      </c>
      <c r="F43" s="147"/>
      <c r="G43" s="168">
        <v>280557.1937973618</v>
      </c>
      <c r="H43" s="183">
        <f t="shared" si="1"/>
        <v>1.7518187494374983E-2</v>
      </c>
      <c r="I43" s="145"/>
    </row>
    <row r="44" spans="1:9" s="143" customFormat="1" ht="11.25" x14ac:dyDescent="0.2">
      <c r="A44" s="171">
        <v>107295</v>
      </c>
      <c r="B44" s="172" t="s">
        <v>179</v>
      </c>
      <c r="C44" s="177"/>
      <c r="D44" s="168">
        <v>3078033.14</v>
      </c>
      <c r="E44" s="181">
        <f t="shared" si="0"/>
        <v>0.17539432089366724</v>
      </c>
      <c r="F44" s="147"/>
      <c r="G44" s="168">
        <v>2808974.3029030114</v>
      </c>
      <c r="H44" s="183">
        <f t="shared" si="1"/>
        <v>0.17539432099067048</v>
      </c>
      <c r="I44" s="145"/>
    </row>
    <row r="45" spans="1:9" s="143" customFormat="1" ht="11.25" x14ac:dyDescent="0.2">
      <c r="A45" s="171">
        <v>107297</v>
      </c>
      <c r="B45" s="172" t="s">
        <v>181</v>
      </c>
      <c r="C45" s="177"/>
      <c r="D45" s="168">
        <v>313136.73</v>
      </c>
      <c r="E45" s="181">
        <f t="shared" si="0"/>
        <v>1.7843343982064351E-2</v>
      </c>
      <c r="F45" s="147"/>
      <c r="G45" s="168">
        <v>285764.64161647501</v>
      </c>
      <c r="H45" s="183">
        <f t="shared" si="1"/>
        <v>1.7843344179996414E-2</v>
      </c>
      <c r="I45" s="145"/>
    </row>
    <row r="46" spans="1:9" s="143" customFormat="1" ht="11.25" x14ac:dyDescent="0.2">
      <c r="A46" s="171">
        <v>107300</v>
      </c>
      <c r="B46" s="172" t="s">
        <v>182</v>
      </c>
      <c r="C46" s="177"/>
      <c r="D46" s="168">
        <v>7115437.4699999997</v>
      </c>
      <c r="E46" s="181">
        <f t="shared" si="0"/>
        <v>0.40545610334526927</v>
      </c>
      <c r="F46" s="147"/>
      <c r="G46" s="168">
        <v>6493458.6677812096</v>
      </c>
      <c r="H46" s="183">
        <f t="shared" si="1"/>
        <v>0.40545610286980027</v>
      </c>
      <c r="I46" s="145"/>
    </row>
    <row r="47" spans="1:9" s="143" customFormat="1" ht="11.25" x14ac:dyDescent="0.2">
      <c r="A47" s="171">
        <v>107310</v>
      </c>
      <c r="B47" s="172" t="s">
        <v>184</v>
      </c>
      <c r="C47" s="177"/>
      <c r="D47" s="168">
        <v>216699.77</v>
      </c>
      <c r="E47" s="181">
        <f t="shared" si="0"/>
        <v>1.2348115588178457E-2</v>
      </c>
      <c r="F47" s="147"/>
      <c r="G47" s="168">
        <v>197757.48492830916</v>
      </c>
      <c r="H47" s="183">
        <f t="shared" si="1"/>
        <v>1.2348115735333291E-2</v>
      </c>
      <c r="I47" s="145"/>
    </row>
    <row r="48" spans="1:9" s="143" customFormat="1" ht="11.25" x14ac:dyDescent="0.2">
      <c r="A48" s="171">
        <v>107312</v>
      </c>
      <c r="B48" s="172" t="s">
        <v>185</v>
      </c>
      <c r="C48" s="177"/>
      <c r="D48" s="168">
        <v>15995.5</v>
      </c>
      <c r="E48" s="181">
        <f t="shared" si="0"/>
        <v>9.1146512472398339E-4</v>
      </c>
      <c r="F48" s="147"/>
      <c r="G48" s="168">
        <v>14597.289268583891</v>
      </c>
      <c r="H48" s="183">
        <f t="shared" si="1"/>
        <v>9.1146495605946951E-4</v>
      </c>
      <c r="I48" s="145"/>
    </row>
    <row r="49" spans="1:9" s="143" customFormat="1" ht="11.25" x14ac:dyDescent="0.2">
      <c r="A49" s="171">
        <v>107319</v>
      </c>
      <c r="B49" s="172" t="s">
        <v>187</v>
      </c>
      <c r="C49" s="177"/>
      <c r="D49" s="168">
        <v>97367.09</v>
      </c>
      <c r="E49" s="181">
        <f t="shared" si="0"/>
        <v>5.5482296165084754E-3</v>
      </c>
      <c r="F49" s="147"/>
      <c r="G49" s="168">
        <v>88855.981218648798</v>
      </c>
      <c r="H49" s="183">
        <f t="shared" si="1"/>
        <v>5.5482296422925976E-3</v>
      </c>
      <c r="I49" s="145"/>
    </row>
    <row r="50" spans="1:9" s="143" customFormat="1" ht="11.25" hidden="1" x14ac:dyDescent="0.2">
      <c r="A50" s="171">
        <v>107322</v>
      </c>
      <c r="B50" s="172" t="s">
        <v>188</v>
      </c>
      <c r="C50" s="177"/>
      <c r="D50" s="168"/>
      <c r="E50" s="181">
        <f t="shared" si="0"/>
        <v>0</v>
      </c>
      <c r="F50" s="147"/>
      <c r="G50" s="168">
        <v>0</v>
      </c>
      <c r="H50" s="183">
        <f t="shared" si="1"/>
        <v>0</v>
      </c>
      <c r="I50" s="145"/>
    </row>
    <row r="51" spans="1:9" s="143" customFormat="1" ht="11.25" hidden="1" x14ac:dyDescent="0.2">
      <c r="A51" s="171">
        <v>107323</v>
      </c>
      <c r="B51" s="172" t="s">
        <v>190</v>
      </c>
      <c r="C51" s="177"/>
      <c r="D51" s="168"/>
      <c r="E51" s="181">
        <f t="shared" si="0"/>
        <v>0</v>
      </c>
      <c r="F51" s="147"/>
      <c r="G51" s="168">
        <v>0</v>
      </c>
      <c r="H51" s="183">
        <f t="shared" si="1"/>
        <v>0</v>
      </c>
      <c r="I51" s="145"/>
    </row>
    <row r="52" spans="1:9" s="143" customFormat="1" ht="11.25" x14ac:dyDescent="0.2">
      <c r="A52" s="171">
        <v>107443</v>
      </c>
      <c r="B52" s="172" t="s">
        <v>191</v>
      </c>
      <c r="C52" s="177"/>
      <c r="D52" s="168">
        <v>106853.79</v>
      </c>
      <c r="E52" s="181">
        <f t="shared" si="0"/>
        <v>6.0888064161533136E-3</v>
      </c>
      <c r="F52" s="147"/>
      <c r="G52" s="168">
        <v>97513.426084977895</v>
      </c>
      <c r="H52" s="183">
        <f t="shared" si="1"/>
        <v>6.0888065576010283E-3</v>
      </c>
      <c r="I52" s="145"/>
    </row>
    <row r="53" spans="1:9" s="143" customFormat="1" ht="11.25" x14ac:dyDescent="0.2">
      <c r="A53" s="171">
        <v>107444</v>
      </c>
      <c r="B53" s="172" t="s">
        <v>192</v>
      </c>
      <c r="C53" s="177"/>
      <c r="D53" s="168">
        <v>130886.53</v>
      </c>
      <c r="E53" s="181">
        <f t="shared" si="0"/>
        <v>7.4582543459810191E-3</v>
      </c>
      <c r="F53" s="147"/>
      <c r="G53" s="168">
        <v>119445.40070590588</v>
      </c>
      <c r="H53" s="183">
        <f t="shared" si="1"/>
        <v>7.4582543993441004E-3</v>
      </c>
      <c r="I53" s="145"/>
    </row>
    <row r="54" spans="1:9" s="143" customFormat="1" ht="11.25" x14ac:dyDescent="0.2">
      <c r="A54" s="171">
        <v>107446</v>
      </c>
      <c r="B54" s="172" t="s">
        <v>193</v>
      </c>
      <c r="C54" s="177"/>
      <c r="D54" s="168">
        <v>1518027.2</v>
      </c>
      <c r="E54" s="181">
        <f t="shared" si="0"/>
        <v>8.6501131642174323E-2</v>
      </c>
      <c r="F54" s="147"/>
      <c r="G54" s="168">
        <v>1385332.5147618793</v>
      </c>
      <c r="H54" s="183">
        <f t="shared" si="1"/>
        <v>8.650113157740319E-2</v>
      </c>
      <c r="I54" s="145"/>
    </row>
    <row r="55" spans="1:9" s="143" customFormat="1" ht="11.25" x14ac:dyDescent="0.2">
      <c r="A55" s="171">
        <v>107447</v>
      </c>
      <c r="B55" s="172" t="s">
        <v>194</v>
      </c>
      <c r="C55" s="177"/>
      <c r="D55" s="168">
        <v>63844.97</v>
      </c>
      <c r="E55" s="181">
        <f t="shared" si="0"/>
        <v>3.6380521736769081E-3</v>
      </c>
      <c r="F55" s="147"/>
      <c r="G55" s="168">
        <v>58264.120470632392</v>
      </c>
      <c r="H55" s="183">
        <f t="shared" si="1"/>
        <v>3.6380524512110647E-3</v>
      </c>
      <c r="I55" s="185"/>
    </row>
    <row r="56" spans="1:9" s="143" customFormat="1" ht="11.25" x14ac:dyDescent="0.2">
      <c r="A56" s="171">
        <v>107449</v>
      </c>
      <c r="B56" s="172" t="s">
        <v>195</v>
      </c>
      <c r="C56" s="177"/>
      <c r="D56" s="168">
        <v>7712.69</v>
      </c>
      <c r="E56" s="181">
        <f t="shared" si="0"/>
        <v>4.3948910336078395E-4</v>
      </c>
      <c r="F56" s="147"/>
      <c r="G56" s="168">
        <v>7038.503520671381</v>
      </c>
      <c r="H56" s="183">
        <f t="shared" si="1"/>
        <v>4.3948908486729786E-4</v>
      </c>
      <c r="I56" s="145"/>
    </row>
    <row r="57" spans="1:9" s="143" customFormat="1" ht="11.25" hidden="1" x14ac:dyDescent="0.2">
      <c r="A57" s="171">
        <v>107452</v>
      </c>
      <c r="B57" s="172" t="s">
        <v>196</v>
      </c>
      <c r="C57" s="177"/>
      <c r="D57" s="168"/>
      <c r="E57" s="181">
        <f t="shared" si="0"/>
        <v>0</v>
      </c>
      <c r="F57" s="147"/>
      <c r="G57" s="168">
        <v>0</v>
      </c>
      <c r="H57" s="183">
        <f t="shared" si="1"/>
        <v>0</v>
      </c>
      <c r="I57" s="145"/>
    </row>
    <row r="58" spans="1:9" s="143" customFormat="1" ht="12" thickBot="1" x14ac:dyDescent="0.25">
      <c r="A58" s="171">
        <v>150164</v>
      </c>
      <c r="B58" s="172" t="s">
        <v>204</v>
      </c>
      <c r="C58" s="177"/>
      <c r="D58" s="168">
        <v>674.31</v>
      </c>
      <c r="E58" s="181">
        <f t="shared" si="0"/>
        <v>3.8423934747437041E-5</v>
      </c>
      <c r="F58" s="147"/>
      <c r="G58" s="168">
        <v>615.36290944642701</v>
      </c>
      <c r="H58" s="183">
        <f t="shared" si="1"/>
        <v>3.8423690652369118E-5</v>
      </c>
      <c r="I58" s="145"/>
    </row>
    <row r="59" spans="1:9" ht="13.5" thickBot="1" x14ac:dyDescent="0.25">
      <c r="A59" s="173"/>
      <c r="B59" s="174" t="s">
        <v>210</v>
      </c>
      <c r="C59" s="179"/>
      <c r="D59" s="175">
        <f>SUM(D6:D58)</f>
        <v>17549217.809999999</v>
      </c>
      <c r="E59" s="182">
        <f>SUM(E7:E58)</f>
        <v>1</v>
      </c>
      <c r="F59" s="160"/>
      <c r="G59" s="175">
        <f>SUM(G6:G58)</f>
        <v>16015195.287037974</v>
      </c>
      <c r="H59" s="184">
        <f>SUM(H7:H58)</f>
        <v>1.0000000000000002</v>
      </c>
      <c r="I59" s="126"/>
    </row>
    <row r="60" spans="1:9" x14ac:dyDescent="0.2">
      <c r="A60" s="161"/>
      <c r="B60" s="8"/>
      <c r="C60" s="8"/>
      <c r="D60" s="8"/>
      <c r="G60" s="126">
        <f>+G59-SUM(G6:G58)</f>
        <v>0</v>
      </c>
    </row>
    <row r="61" spans="1:9" hidden="1" x14ac:dyDescent="0.2">
      <c r="A61" s="162" t="e">
        <f>#REF!</f>
        <v>#REF!</v>
      </c>
      <c r="B61" s="163" t="s">
        <v>206</v>
      </c>
      <c r="C61" s="163"/>
      <c r="D61" s="163"/>
    </row>
    <row r="62" spans="1:9" hidden="1" x14ac:dyDescent="0.2">
      <c r="B62" s="8"/>
      <c r="C62" s="8"/>
      <c r="D62" s="8"/>
      <c r="G62" s="165">
        <v>5000000</v>
      </c>
    </row>
    <row r="63" spans="1:9" hidden="1" x14ac:dyDescent="0.2">
      <c r="G63" s="166">
        <f>31100000-G62</f>
        <v>26100000</v>
      </c>
    </row>
    <row r="64" spans="1:9" ht="4.5" hidden="1" customHeight="1" x14ac:dyDescent="0.2">
      <c r="B64" s="8"/>
      <c r="C64" s="8"/>
      <c r="D64" s="8"/>
    </row>
    <row r="65" spans="1:7" hidden="1" x14ac:dyDescent="0.2">
      <c r="B65" s="111" t="s">
        <v>207</v>
      </c>
      <c r="C65" s="111"/>
      <c r="D65" s="111"/>
      <c r="G65" s="126" t="e">
        <f>+#REF!+#REF!+#REF!+#REF!+#REF!+#REF!+#REF!+#REF!+#REF!+#REF!+#REF!+#REF!+#REF!+#REF!+#REF!</f>
        <v>#REF!</v>
      </c>
    </row>
    <row r="66" spans="1:7" hidden="1" x14ac:dyDescent="0.2">
      <c r="B66" s="111" t="s">
        <v>208</v>
      </c>
      <c r="C66" s="111"/>
      <c r="D66" s="111"/>
      <c r="G66" s="126" t="e">
        <f>+#REF!+G6+G7+G8+G9+G10+SUM(G11:G57)+G58</f>
        <v>#REF!</v>
      </c>
    </row>
    <row r="67" spans="1:7" hidden="1" x14ac:dyDescent="0.2">
      <c r="G67" s="167" t="e">
        <f>SUM(G65:G66)</f>
        <v>#REF!</v>
      </c>
    </row>
    <row r="68" spans="1:7" x14ac:dyDescent="0.2">
      <c r="A68" s="143"/>
    </row>
  </sheetData>
  <mergeCells count="5">
    <mergeCell ref="D5:E5"/>
    <mergeCell ref="G5:H5"/>
    <mergeCell ref="A1:H1"/>
    <mergeCell ref="A2:H2"/>
    <mergeCell ref="A3:H3"/>
  </mergeCells>
  <phoneticPr fontId="0" type="noConversion"/>
  <printOptions horizontalCentered="1"/>
  <pageMargins left="0.2" right="0.2" top="0.75" bottom="0.5" header="0.5" footer="0"/>
  <pageSetup orientation="landscape" r:id="rId1"/>
  <headerFooter alignWithMargins="0">
    <oddFooter>&amp;R&amp;7&amp;D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B1:V80"/>
  <sheetViews>
    <sheetView tabSelected="1" zoomScale="75" workbookViewId="0">
      <selection activeCell="C6" sqref="C6"/>
    </sheetView>
  </sheetViews>
  <sheetFormatPr defaultRowHeight="12.75" outlineLevelRow="1" x14ac:dyDescent="0.2"/>
  <cols>
    <col min="1" max="1" width="3.7109375" style="1" customWidth="1"/>
    <col min="2" max="2" width="2.5703125" style="1" customWidth="1"/>
    <col min="3" max="3" width="64.85546875" style="1" customWidth="1"/>
    <col min="4" max="4" width="2.5703125" style="1" hidden="1" customWidth="1"/>
    <col min="5" max="5" width="16.140625" style="1" hidden="1" customWidth="1"/>
    <col min="6" max="6" width="2.5703125" style="1" hidden="1" customWidth="1"/>
    <col min="7" max="7" width="16.140625" style="1" hidden="1" customWidth="1"/>
    <col min="8" max="8" width="2.85546875" style="1" hidden="1" customWidth="1"/>
    <col min="9" max="9" width="16.140625" style="1" hidden="1" customWidth="1"/>
    <col min="10" max="10" width="2.5703125" style="1" customWidth="1"/>
    <col min="11" max="13" width="16.140625" style="1" hidden="1" customWidth="1"/>
    <col min="14" max="14" width="16.140625" style="1" customWidth="1"/>
    <col min="15" max="15" width="2.5703125" style="1" customWidth="1"/>
    <col min="16" max="16" width="18.5703125" style="1" customWidth="1"/>
    <col min="17" max="17" width="2.5703125" style="1" customWidth="1"/>
    <col min="18" max="18" width="18.5703125" style="1" customWidth="1"/>
    <col min="19" max="19" width="2.5703125" style="1" customWidth="1"/>
    <col min="20" max="20" width="20.7109375" style="1" bestFit="1" customWidth="1"/>
    <col min="21" max="21" width="9.140625" style="3" hidden="1" customWidth="1"/>
    <col min="22" max="22" width="26.140625" style="4" bestFit="1" customWidth="1"/>
    <col min="23" max="16384" width="9.140625" style="1"/>
  </cols>
  <sheetData>
    <row r="1" spans="2:22" ht="9.75" customHeight="1" thickBot="1" x14ac:dyDescent="0.25">
      <c r="T1" s="2"/>
    </row>
    <row r="2" spans="2:22" ht="9" customHeight="1" thickBot="1" x14ac:dyDescent="0.2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 spans="2:22" customFormat="1" ht="28.5" customHeight="1" thickBot="1" x14ac:dyDescent="0.25">
      <c r="B3" s="284" t="s">
        <v>0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6"/>
      <c r="U3" s="3"/>
      <c r="V3" s="8"/>
    </row>
    <row r="4" spans="2:22" customFormat="1" ht="9" customHeight="1" thickBot="1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3"/>
      <c r="V4" s="8"/>
    </row>
    <row r="5" spans="2:22" customFormat="1" ht="15" customHeight="1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3"/>
      <c r="V5" s="8"/>
    </row>
    <row r="6" spans="2:22" x14ac:dyDescent="0.2">
      <c r="B6" s="13"/>
      <c r="C6" s="14"/>
      <c r="D6" s="13"/>
      <c r="E6" s="15">
        <v>2001</v>
      </c>
      <c r="F6" s="16"/>
      <c r="G6" s="15">
        <v>2001</v>
      </c>
      <c r="H6" s="15"/>
      <c r="I6" s="15">
        <v>2001</v>
      </c>
      <c r="J6" s="187"/>
      <c r="K6" s="15" t="s">
        <v>237</v>
      </c>
      <c r="L6" s="15"/>
      <c r="M6" s="15"/>
      <c r="N6" s="15">
        <v>2001</v>
      </c>
      <c r="O6" s="14"/>
      <c r="P6" s="15">
        <v>2001</v>
      </c>
      <c r="Q6" s="16"/>
      <c r="R6" s="15">
        <v>2002</v>
      </c>
      <c r="S6" s="14"/>
      <c r="T6" s="17" t="s">
        <v>1</v>
      </c>
    </row>
    <row r="7" spans="2:22" ht="13.5" thickBot="1" x14ac:dyDescent="0.25">
      <c r="B7" s="18"/>
      <c r="C7" s="19"/>
      <c r="D7" s="18"/>
      <c r="E7" s="20" t="s">
        <v>6</v>
      </c>
      <c r="F7" s="21"/>
      <c r="G7" s="20" t="s">
        <v>7</v>
      </c>
      <c r="H7" s="20"/>
      <c r="I7" s="20" t="s">
        <v>238</v>
      </c>
      <c r="J7" s="188"/>
      <c r="K7" s="20" t="s">
        <v>4</v>
      </c>
      <c r="L7" s="20"/>
      <c r="M7" s="20"/>
      <c r="N7" s="20" t="s">
        <v>4</v>
      </c>
      <c r="O7" s="19"/>
      <c r="P7" s="20" t="s">
        <v>3</v>
      </c>
      <c r="Q7" s="21"/>
      <c r="R7" s="20" t="s">
        <v>4</v>
      </c>
      <c r="S7" s="19"/>
      <c r="T7" s="22" t="s">
        <v>5</v>
      </c>
    </row>
    <row r="8" spans="2:22" ht="16.5" customHeight="1" thickBot="1" x14ac:dyDescent="0.25">
      <c r="B8" s="23"/>
      <c r="C8" s="24"/>
      <c r="D8" s="25"/>
      <c r="E8" s="26" t="s">
        <v>2</v>
      </c>
      <c r="F8" s="27"/>
      <c r="G8" s="26" t="s">
        <v>3</v>
      </c>
      <c r="H8" s="26"/>
      <c r="I8" s="26"/>
      <c r="J8" s="189"/>
      <c r="K8" s="26"/>
      <c r="L8" s="26" t="s">
        <v>239</v>
      </c>
      <c r="M8" s="26"/>
      <c r="N8" s="26"/>
      <c r="O8" s="31"/>
      <c r="P8" s="28"/>
      <c r="Q8" s="29"/>
      <c r="R8" s="30"/>
      <c r="S8" s="29"/>
      <c r="T8" s="32"/>
    </row>
    <row r="9" spans="2:22" s="33" customFormat="1" ht="15.75" customHeight="1" thickBot="1" x14ac:dyDescent="0.3">
      <c r="B9" s="34" t="s">
        <v>8</v>
      </c>
      <c r="C9" s="35"/>
      <c r="D9" s="36"/>
      <c r="E9" s="37"/>
      <c r="F9" s="38"/>
      <c r="G9" s="190"/>
      <c r="H9" s="190"/>
      <c r="I9" s="190"/>
      <c r="J9" s="191"/>
      <c r="K9" s="190" t="s">
        <v>240</v>
      </c>
      <c r="L9" s="190" t="s">
        <v>238</v>
      </c>
      <c r="M9" s="190" t="s">
        <v>241</v>
      </c>
      <c r="N9" s="190"/>
      <c r="O9" s="40"/>
      <c r="P9" s="39"/>
      <c r="Q9" s="38"/>
      <c r="R9" s="37"/>
      <c r="S9" s="38"/>
      <c r="T9" s="41"/>
      <c r="U9" s="3"/>
      <c r="V9" s="4"/>
    </row>
    <row r="10" spans="2:22" x14ac:dyDescent="0.2">
      <c r="B10" s="23"/>
      <c r="C10" s="42"/>
      <c r="D10" s="23"/>
      <c r="E10" s="43"/>
      <c r="F10" s="44"/>
      <c r="G10" s="45"/>
      <c r="H10" s="45"/>
      <c r="I10" s="45"/>
      <c r="J10" s="192"/>
      <c r="K10" s="45"/>
      <c r="L10" s="45"/>
      <c r="M10" s="45"/>
      <c r="N10" s="45"/>
      <c r="O10" s="46"/>
      <c r="P10" s="45"/>
      <c r="Q10" s="44"/>
      <c r="R10" s="45"/>
      <c r="S10" s="44"/>
      <c r="T10" s="47"/>
    </row>
    <row r="11" spans="2:22" s="48" customFormat="1" ht="15" x14ac:dyDescent="0.25">
      <c r="B11" s="49"/>
      <c r="C11" s="50" t="s">
        <v>9</v>
      </c>
      <c r="D11" s="51"/>
      <c r="E11" s="52">
        <v>10066928</v>
      </c>
      <c r="F11" s="53"/>
      <c r="G11" s="52">
        <f>+E11/7*5</f>
        <v>7190662.8571428563</v>
      </c>
      <c r="H11" s="52"/>
      <c r="I11" s="52">
        <v>708000</v>
      </c>
      <c r="J11" s="193"/>
      <c r="K11" s="52">
        <f>10769832+1433004+700644</f>
        <v>12903480</v>
      </c>
      <c r="L11" s="52"/>
      <c r="M11" s="52">
        <f>3321002+1003771</f>
        <v>4324773</v>
      </c>
      <c r="N11" s="52">
        <f>SUM(K11:M11)</f>
        <v>17228253</v>
      </c>
      <c r="O11" s="194"/>
      <c r="P11" s="53">
        <f>+E11+G11+I11</f>
        <v>17965590.857142858</v>
      </c>
      <c r="Q11" s="53"/>
      <c r="R11" s="52">
        <v>18400329</v>
      </c>
      <c r="S11" s="65"/>
      <c r="T11" s="55">
        <f t="shared" ref="T11:T50" si="0">(-R11+P11)</f>
        <v>-434738.14285714179</v>
      </c>
      <c r="U11" s="3">
        <f t="shared" ref="U11:U50" si="1">IF(T11=0,0,T11/P11)</f>
        <v>-2.4198377126255007E-2</v>
      </c>
      <c r="V11" s="4" t="s">
        <v>10</v>
      </c>
    </row>
    <row r="12" spans="2:22" s="48" customFormat="1" ht="15" collapsed="1" x14ac:dyDescent="0.25">
      <c r="B12" s="49"/>
      <c r="C12" s="50" t="s">
        <v>11</v>
      </c>
      <c r="D12" s="51"/>
      <c r="E12" s="53">
        <f>SUM(E13:E21)</f>
        <v>375559</v>
      </c>
      <c r="F12" s="53"/>
      <c r="G12" s="53">
        <f>SUM(G13:G21)</f>
        <v>337130</v>
      </c>
      <c r="H12" s="53"/>
      <c r="I12" s="52"/>
      <c r="J12" s="54"/>
      <c r="K12" s="52">
        <f>1010184*0.36</f>
        <v>363666.24</v>
      </c>
      <c r="L12" s="52"/>
      <c r="M12" s="52">
        <f>108000+84000</f>
        <v>192000</v>
      </c>
      <c r="N12" s="52">
        <f t="shared" ref="N12:N50" si="2">SUM(K12:M12)</f>
        <v>555666.24</v>
      </c>
      <c r="O12" s="194"/>
      <c r="P12" s="53">
        <f>+E12+G12+I12</f>
        <v>712689</v>
      </c>
      <c r="Q12" s="53"/>
      <c r="R12" s="53">
        <f>SUM(R13:R21)</f>
        <v>802644</v>
      </c>
      <c r="S12" s="65"/>
      <c r="T12" s="55">
        <f t="shared" si="0"/>
        <v>-89955</v>
      </c>
      <c r="U12" s="3">
        <f t="shared" si="1"/>
        <v>-0.12621915028855504</v>
      </c>
      <c r="V12" s="56"/>
    </row>
    <row r="13" spans="2:22" s="57" customFormat="1" ht="15" hidden="1" outlineLevel="1" x14ac:dyDescent="0.25">
      <c r="B13" s="58"/>
      <c r="C13" s="59" t="s">
        <v>12</v>
      </c>
      <c r="D13" s="60"/>
      <c r="E13" s="61">
        <v>0</v>
      </c>
      <c r="F13" s="62"/>
      <c r="G13" s="61">
        <v>0</v>
      </c>
      <c r="H13" s="61"/>
      <c r="I13" s="61"/>
      <c r="J13" s="195"/>
      <c r="K13" s="61">
        <v>0</v>
      </c>
      <c r="L13" s="61"/>
      <c r="M13" s="61"/>
      <c r="N13" s="52">
        <f t="shared" si="2"/>
        <v>0</v>
      </c>
      <c r="O13" s="196"/>
      <c r="P13" s="62">
        <f>+E13+G13+I13</f>
        <v>0</v>
      </c>
      <c r="Q13" s="62"/>
      <c r="R13" s="61">
        <v>0</v>
      </c>
      <c r="S13" s="64"/>
      <c r="T13" s="63">
        <f t="shared" si="0"/>
        <v>0</v>
      </c>
      <c r="U13" s="3">
        <f t="shared" si="1"/>
        <v>0</v>
      </c>
      <c r="V13" s="4"/>
    </row>
    <row r="14" spans="2:22" s="57" customFormat="1" ht="15" hidden="1" outlineLevel="1" x14ac:dyDescent="0.25">
      <c r="B14" s="58"/>
      <c r="C14" s="59" t="s">
        <v>13</v>
      </c>
      <c r="D14" s="60"/>
      <c r="E14" s="61">
        <v>84636</v>
      </c>
      <c r="F14" s="64"/>
      <c r="G14" s="61">
        <f>100160</f>
        <v>100160</v>
      </c>
      <c r="H14" s="61"/>
      <c r="I14" s="61"/>
      <c r="J14" s="195"/>
      <c r="K14" s="61">
        <v>0</v>
      </c>
      <c r="L14" s="61"/>
      <c r="M14" s="61"/>
      <c r="N14" s="52">
        <f t="shared" si="2"/>
        <v>0</v>
      </c>
      <c r="O14" s="59"/>
      <c r="P14" s="62">
        <f t="shared" ref="P14:P50" si="3">+E14+G14+I14</f>
        <v>184796</v>
      </c>
      <c r="Q14" s="64"/>
      <c r="R14" s="61">
        <v>220404</v>
      </c>
      <c r="S14" s="64"/>
      <c r="T14" s="63">
        <f t="shared" si="0"/>
        <v>-35608</v>
      </c>
      <c r="U14" s="3">
        <f t="shared" si="1"/>
        <v>-0.19268815342323428</v>
      </c>
      <c r="V14" s="4"/>
    </row>
    <row r="15" spans="2:22" s="57" customFormat="1" ht="15" hidden="1" outlineLevel="1" x14ac:dyDescent="0.25">
      <c r="B15" s="58"/>
      <c r="C15" s="59" t="s">
        <v>14</v>
      </c>
      <c r="D15" s="60"/>
      <c r="E15" s="61">
        <v>0</v>
      </c>
      <c r="F15" s="64"/>
      <c r="G15" s="61">
        <v>0</v>
      </c>
      <c r="H15" s="61"/>
      <c r="I15" s="61"/>
      <c r="J15" s="195"/>
      <c r="K15" s="61">
        <v>0</v>
      </c>
      <c r="L15" s="61"/>
      <c r="M15" s="61"/>
      <c r="N15" s="52">
        <f t="shared" si="2"/>
        <v>0</v>
      </c>
      <c r="O15" s="59"/>
      <c r="P15" s="62">
        <f t="shared" si="3"/>
        <v>0</v>
      </c>
      <c r="Q15" s="64"/>
      <c r="R15" s="61">
        <v>0</v>
      </c>
      <c r="S15" s="64"/>
      <c r="T15" s="63">
        <f t="shared" si="0"/>
        <v>0</v>
      </c>
      <c r="U15" s="3">
        <f t="shared" si="1"/>
        <v>0</v>
      </c>
      <c r="V15" s="4"/>
    </row>
    <row r="16" spans="2:22" s="57" customFormat="1" ht="15" hidden="1" outlineLevel="1" x14ac:dyDescent="0.25">
      <c r="B16" s="58"/>
      <c r="C16" s="59" t="s">
        <v>15</v>
      </c>
      <c r="D16" s="60"/>
      <c r="E16" s="61">
        <v>0</v>
      </c>
      <c r="F16" s="64"/>
      <c r="G16" s="61">
        <v>0</v>
      </c>
      <c r="H16" s="61"/>
      <c r="I16" s="61"/>
      <c r="J16" s="195"/>
      <c r="K16" s="61">
        <v>0</v>
      </c>
      <c r="L16" s="61"/>
      <c r="M16" s="61"/>
      <c r="N16" s="52">
        <f t="shared" si="2"/>
        <v>0</v>
      </c>
      <c r="O16" s="59"/>
      <c r="P16" s="62">
        <f t="shared" si="3"/>
        <v>0</v>
      </c>
      <c r="Q16" s="64"/>
      <c r="R16" s="61">
        <v>0</v>
      </c>
      <c r="S16" s="64"/>
      <c r="T16" s="63">
        <f t="shared" si="0"/>
        <v>0</v>
      </c>
      <c r="U16" s="3">
        <f t="shared" si="1"/>
        <v>0</v>
      </c>
      <c r="V16" s="4"/>
    </row>
    <row r="17" spans="2:22" s="57" customFormat="1" ht="15" hidden="1" outlineLevel="1" x14ac:dyDescent="0.25">
      <c r="B17" s="58"/>
      <c r="C17" s="59" t="s">
        <v>16</v>
      </c>
      <c r="D17" s="60"/>
      <c r="E17" s="61">
        <v>126938</v>
      </c>
      <c r="F17" s="62"/>
      <c r="G17" s="61">
        <f>101446</f>
        <v>101446</v>
      </c>
      <c r="H17" s="61"/>
      <c r="I17" s="61"/>
      <c r="J17" s="195"/>
      <c r="K17" s="61">
        <v>0</v>
      </c>
      <c r="L17" s="61"/>
      <c r="M17" s="61"/>
      <c r="N17" s="52">
        <f t="shared" si="2"/>
        <v>0</v>
      </c>
      <c r="O17" s="196"/>
      <c r="P17" s="62">
        <f t="shared" si="3"/>
        <v>228384</v>
      </c>
      <c r="Q17" s="62"/>
      <c r="R17" s="61">
        <v>261072</v>
      </c>
      <c r="S17" s="64"/>
      <c r="T17" s="63">
        <f t="shared" si="0"/>
        <v>-32688</v>
      </c>
      <c r="U17" s="3">
        <f t="shared" si="1"/>
        <v>-0.14312736443883986</v>
      </c>
      <c r="V17" s="4"/>
    </row>
    <row r="18" spans="2:22" s="57" customFormat="1" ht="15" hidden="1" outlineLevel="1" x14ac:dyDescent="0.25">
      <c r="B18" s="58"/>
      <c r="C18" s="59" t="s">
        <v>17</v>
      </c>
      <c r="D18" s="60"/>
      <c r="E18" s="61">
        <v>105832</v>
      </c>
      <c r="F18" s="62"/>
      <c r="G18" s="61">
        <f>87390</f>
        <v>87390</v>
      </c>
      <c r="H18" s="61"/>
      <c r="I18" s="61"/>
      <c r="J18" s="195"/>
      <c r="K18" s="61">
        <v>0</v>
      </c>
      <c r="L18" s="61"/>
      <c r="M18" s="61"/>
      <c r="N18" s="52">
        <f t="shared" si="2"/>
        <v>0</v>
      </c>
      <c r="O18" s="196"/>
      <c r="P18" s="62">
        <f t="shared" si="3"/>
        <v>193222</v>
      </c>
      <c r="Q18" s="62"/>
      <c r="R18" s="61">
        <v>204468</v>
      </c>
      <c r="S18" s="64"/>
      <c r="T18" s="63">
        <f t="shared" si="0"/>
        <v>-11246</v>
      </c>
      <c r="U18" s="3">
        <f t="shared" si="1"/>
        <v>-5.8202482119013361E-2</v>
      </c>
      <c r="V18" s="4"/>
    </row>
    <row r="19" spans="2:22" s="57" customFormat="1" ht="15" hidden="1" outlineLevel="1" x14ac:dyDescent="0.25">
      <c r="B19" s="58"/>
      <c r="C19" s="59" t="s">
        <v>18</v>
      </c>
      <c r="D19" s="60"/>
      <c r="E19" s="61">
        <v>0</v>
      </c>
      <c r="F19" s="62"/>
      <c r="G19" s="61">
        <v>0</v>
      </c>
      <c r="H19" s="61"/>
      <c r="I19" s="61"/>
      <c r="J19" s="195"/>
      <c r="K19" s="61">
        <v>0</v>
      </c>
      <c r="L19" s="61"/>
      <c r="M19" s="61"/>
      <c r="N19" s="52">
        <f t="shared" si="2"/>
        <v>0</v>
      </c>
      <c r="O19" s="196"/>
      <c r="P19" s="62">
        <f t="shared" si="3"/>
        <v>0</v>
      </c>
      <c r="Q19" s="62"/>
      <c r="R19" s="61">
        <v>0</v>
      </c>
      <c r="S19" s="64"/>
      <c r="T19" s="63">
        <f t="shared" si="0"/>
        <v>0</v>
      </c>
      <c r="U19" s="3">
        <f t="shared" si="1"/>
        <v>0</v>
      </c>
      <c r="V19" s="4"/>
    </row>
    <row r="20" spans="2:22" s="57" customFormat="1" ht="15" hidden="1" outlineLevel="1" x14ac:dyDescent="0.25">
      <c r="B20" s="58"/>
      <c r="C20" s="59" t="s">
        <v>19</v>
      </c>
      <c r="D20" s="60"/>
      <c r="E20" s="61">
        <v>48889</v>
      </c>
      <c r="F20" s="62"/>
      <c r="G20" s="61">
        <f>41023</f>
        <v>41023</v>
      </c>
      <c r="H20" s="61"/>
      <c r="I20" s="61"/>
      <c r="J20" s="195"/>
      <c r="K20" s="61">
        <v>0</v>
      </c>
      <c r="L20" s="61"/>
      <c r="M20" s="61"/>
      <c r="N20" s="52">
        <f t="shared" si="2"/>
        <v>0</v>
      </c>
      <c r="O20" s="196"/>
      <c r="P20" s="62">
        <f t="shared" si="3"/>
        <v>89912</v>
      </c>
      <c r="Q20" s="62"/>
      <c r="R20" s="61">
        <v>101232</v>
      </c>
      <c r="S20" s="64"/>
      <c r="T20" s="63">
        <f t="shared" si="0"/>
        <v>-11320</v>
      </c>
      <c r="U20" s="3">
        <f t="shared" si="1"/>
        <v>-0.12590088086128659</v>
      </c>
      <c r="V20" s="4"/>
    </row>
    <row r="21" spans="2:22" s="57" customFormat="1" ht="15" hidden="1" outlineLevel="1" x14ac:dyDescent="0.25">
      <c r="B21" s="58"/>
      <c r="C21" s="59" t="s">
        <v>20</v>
      </c>
      <c r="D21" s="60"/>
      <c r="E21" s="61">
        <v>9264</v>
      </c>
      <c r="F21" s="62"/>
      <c r="G21" s="61">
        <f>7111</f>
        <v>7111</v>
      </c>
      <c r="H21" s="61"/>
      <c r="I21" s="61"/>
      <c r="J21" s="195"/>
      <c r="K21" s="61">
        <v>0</v>
      </c>
      <c r="L21" s="61"/>
      <c r="M21" s="61"/>
      <c r="N21" s="52">
        <f t="shared" si="2"/>
        <v>0</v>
      </c>
      <c r="O21" s="196"/>
      <c r="P21" s="62">
        <f t="shared" si="3"/>
        <v>16375</v>
      </c>
      <c r="Q21" s="62"/>
      <c r="R21" s="61">
        <v>15468</v>
      </c>
      <c r="S21" s="64"/>
      <c r="T21" s="63">
        <f t="shared" si="0"/>
        <v>907</v>
      </c>
      <c r="U21" s="3">
        <f t="shared" si="1"/>
        <v>5.5389312977099238E-2</v>
      </c>
      <c r="V21" s="4"/>
    </row>
    <row r="22" spans="2:22" s="48" customFormat="1" ht="15" collapsed="1" x14ac:dyDescent="0.25">
      <c r="B22" s="49"/>
      <c r="C22" s="50" t="s">
        <v>21</v>
      </c>
      <c r="D22" s="51"/>
      <c r="E22" s="53">
        <f>SUM(E23:E28)</f>
        <v>646589</v>
      </c>
      <c r="F22" s="53"/>
      <c r="G22" s="53">
        <f>SUM(G23:G28)</f>
        <v>474087</v>
      </c>
      <c r="H22" s="53"/>
      <c r="I22" s="52"/>
      <c r="J22" s="54"/>
      <c r="K22" s="52">
        <f>1010184*0.64</f>
        <v>646517.76000000001</v>
      </c>
      <c r="L22" s="52"/>
      <c r="M22" s="52">
        <v>408000</v>
      </c>
      <c r="N22" s="52">
        <f t="shared" si="2"/>
        <v>1054517.76</v>
      </c>
      <c r="O22" s="50"/>
      <c r="P22" s="53">
        <f>+E22+G22+I22</f>
        <v>1120676</v>
      </c>
      <c r="Q22" s="65"/>
      <c r="R22" s="53">
        <f>SUM(R23:R28)</f>
        <v>1150128</v>
      </c>
      <c r="S22" s="65"/>
      <c r="T22" s="55">
        <f t="shared" si="0"/>
        <v>-29452</v>
      </c>
      <c r="U22" s="3">
        <f t="shared" si="1"/>
        <v>-2.6280566372439491E-2</v>
      </c>
      <c r="V22" s="56"/>
    </row>
    <row r="23" spans="2:22" s="57" customFormat="1" ht="15" hidden="1" outlineLevel="1" x14ac:dyDescent="0.25">
      <c r="B23" s="58"/>
      <c r="C23" s="59" t="s">
        <v>22</v>
      </c>
      <c r="D23" s="60"/>
      <c r="E23" s="61">
        <v>308907</v>
      </c>
      <c r="F23" s="62"/>
      <c r="G23" s="61">
        <f>232888-2</f>
        <v>232886</v>
      </c>
      <c r="H23" s="61"/>
      <c r="I23" s="61"/>
      <c r="J23" s="195"/>
      <c r="K23" s="61">
        <v>0</v>
      </c>
      <c r="L23" s="61"/>
      <c r="M23" s="61"/>
      <c r="N23" s="52">
        <f t="shared" si="2"/>
        <v>0</v>
      </c>
      <c r="O23" s="196"/>
      <c r="P23" s="62">
        <f t="shared" si="3"/>
        <v>541793</v>
      </c>
      <c r="Q23" s="62"/>
      <c r="R23" s="61">
        <v>558924</v>
      </c>
      <c r="S23" s="64"/>
      <c r="T23" s="63">
        <f t="shared" si="0"/>
        <v>-17131</v>
      </c>
      <c r="U23" s="3">
        <f t="shared" si="1"/>
        <v>-3.1619086994479441E-2</v>
      </c>
      <c r="V23" s="4"/>
    </row>
    <row r="24" spans="2:22" s="57" customFormat="1" ht="15" hidden="1" outlineLevel="1" x14ac:dyDescent="0.25">
      <c r="B24" s="58"/>
      <c r="C24" s="59" t="s">
        <v>23</v>
      </c>
      <c r="D24" s="60"/>
      <c r="E24" s="61">
        <v>185344</v>
      </c>
      <c r="F24" s="62"/>
      <c r="G24" s="61">
        <f>132389</f>
        <v>132389</v>
      </c>
      <c r="H24" s="61"/>
      <c r="I24" s="61"/>
      <c r="J24" s="195"/>
      <c r="K24" s="61">
        <v>0</v>
      </c>
      <c r="L24" s="61"/>
      <c r="M24" s="61"/>
      <c r="N24" s="52">
        <f t="shared" si="2"/>
        <v>0</v>
      </c>
      <c r="O24" s="196"/>
      <c r="P24" s="62">
        <f t="shared" si="3"/>
        <v>317733</v>
      </c>
      <c r="Q24" s="62"/>
      <c r="R24" s="61">
        <v>322716</v>
      </c>
      <c r="S24" s="64"/>
      <c r="T24" s="63">
        <f t="shared" si="0"/>
        <v>-4983</v>
      </c>
      <c r="U24" s="3">
        <f t="shared" si="1"/>
        <v>-1.5682979105097677E-2</v>
      </c>
      <c r="V24" s="4"/>
    </row>
    <row r="25" spans="2:22" s="57" customFormat="1" ht="15" hidden="1" outlineLevel="1" x14ac:dyDescent="0.25">
      <c r="B25" s="58"/>
      <c r="C25" s="59" t="s">
        <v>24</v>
      </c>
      <c r="D25" s="60"/>
      <c r="E25" s="61">
        <v>92672</v>
      </c>
      <c r="F25" s="62"/>
      <c r="G25" s="61">
        <f>66194</f>
        <v>66194</v>
      </c>
      <c r="H25" s="61"/>
      <c r="I25" s="61"/>
      <c r="J25" s="195"/>
      <c r="K25" s="61">
        <v>0</v>
      </c>
      <c r="L25" s="61"/>
      <c r="M25" s="61"/>
      <c r="N25" s="52">
        <f t="shared" si="2"/>
        <v>0</v>
      </c>
      <c r="O25" s="196"/>
      <c r="P25" s="62">
        <f t="shared" si="3"/>
        <v>158866</v>
      </c>
      <c r="Q25" s="62"/>
      <c r="R25" s="61">
        <v>161388</v>
      </c>
      <c r="S25" s="64"/>
      <c r="T25" s="63">
        <f t="shared" si="0"/>
        <v>-2522</v>
      </c>
      <c r="U25" s="3">
        <f t="shared" si="1"/>
        <v>-1.5875014162879408E-2</v>
      </c>
      <c r="V25" s="4"/>
    </row>
    <row r="26" spans="2:22" s="57" customFormat="1" ht="15" hidden="1" outlineLevel="1" x14ac:dyDescent="0.25">
      <c r="B26" s="58"/>
      <c r="C26" s="59" t="s">
        <v>25</v>
      </c>
      <c r="D26" s="60"/>
      <c r="E26" s="61">
        <v>30891</v>
      </c>
      <c r="F26" s="64"/>
      <c r="G26" s="61">
        <f>22065</f>
        <v>22065</v>
      </c>
      <c r="H26" s="61"/>
      <c r="I26" s="61"/>
      <c r="J26" s="195"/>
      <c r="K26" s="61">
        <v>0</v>
      </c>
      <c r="L26" s="61"/>
      <c r="M26" s="61"/>
      <c r="N26" s="52">
        <f t="shared" si="2"/>
        <v>0</v>
      </c>
      <c r="O26" s="59"/>
      <c r="P26" s="62">
        <f t="shared" si="3"/>
        <v>52956</v>
      </c>
      <c r="Q26" s="64"/>
      <c r="R26" s="61">
        <v>54288</v>
      </c>
      <c r="S26" s="64"/>
      <c r="T26" s="63">
        <f t="shared" si="0"/>
        <v>-1332</v>
      </c>
      <c r="U26" s="3">
        <f t="shared" si="1"/>
        <v>-2.5152957171991841E-2</v>
      </c>
      <c r="V26" s="4"/>
    </row>
    <row r="27" spans="2:22" s="57" customFormat="1" ht="15" hidden="1" outlineLevel="1" x14ac:dyDescent="0.25">
      <c r="B27" s="58"/>
      <c r="C27" s="59" t="s">
        <v>26</v>
      </c>
      <c r="D27" s="60"/>
      <c r="E27" s="61">
        <v>28775</v>
      </c>
      <c r="F27" s="64"/>
      <c r="G27" s="61">
        <f>20553</f>
        <v>20553</v>
      </c>
      <c r="H27" s="61"/>
      <c r="I27" s="61"/>
      <c r="J27" s="195"/>
      <c r="K27" s="197">
        <v>0</v>
      </c>
      <c r="L27" s="197"/>
      <c r="M27" s="197"/>
      <c r="N27" s="52">
        <f t="shared" si="2"/>
        <v>0</v>
      </c>
      <c r="O27" s="59"/>
      <c r="P27" s="62">
        <f t="shared" si="3"/>
        <v>49328</v>
      </c>
      <c r="Q27" s="64"/>
      <c r="R27" s="61">
        <v>52812</v>
      </c>
      <c r="S27" s="64"/>
      <c r="T27" s="63">
        <f t="shared" si="0"/>
        <v>-3484</v>
      </c>
      <c r="U27" s="3">
        <f t="shared" si="1"/>
        <v>-7.0629257216996436E-2</v>
      </c>
      <c r="V27" s="4"/>
    </row>
    <row r="28" spans="2:22" s="57" customFormat="1" ht="15" hidden="1" outlineLevel="1" x14ac:dyDescent="0.25">
      <c r="B28" s="58"/>
      <c r="C28" s="59" t="s">
        <v>27</v>
      </c>
      <c r="D28" s="60"/>
      <c r="E28" s="61">
        <v>0</v>
      </c>
      <c r="F28" s="62"/>
      <c r="G28" s="61">
        <v>0</v>
      </c>
      <c r="H28" s="61"/>
      <c r="I28" s="61"/>
      <c r="J28" s="195"/>
      <c r="K28" s="197">
        <v>0</v>
      </c>
      <c r="L28" s="197"/>
      <c r="M28" s="197"/>
      <c r="N28" s="52">
        <f t="shared" si="2"/>
        <v>0</v>
      </c>
      <c r="O28" s="196"/>
      <c r="P28" s="62">
        <f t="shared" si="3"/>
        <v>0</v>
      </c>
      <c r="Q28" s="62"/>
      <c r="R28" s="61">
        <v>0</v>
      </c>
      <c r="S28" s="64"/>
      <c r="T28" s="63">
        <f t="shared" si="0"/>
        <v>0</v>
      </c>
      <c r="U28" s="3">
        <f t="shared" si="1"/>
        <v>0</v>
      </c>
      <c r="V28" s="4"/>
    </row>
    <row r="29" spans="2:22" s="48" customFormat="1" ht="15" collapsed="1" x14ac:dyDescent="0.25">
      <c r="B29" s="49"/>
      <c r="C29" s="50" t="s">
        <v>28</v>
      </c>
      <c r="D29" s="51"/>
      <c r="E29" s="53">
        <f>SUM(E30:E31)</f>
        <v>209400</v>
      </c>
      <c r="F29" s="65"/>
      <c r="G29" s="53">
        <f>SUM(G30:G31)</f>
        <v>149571</v>
      </c>
      <c r="H29" s="53"/>
      <c r="I29" s="52"/>
      <c r="J29" s="54"/>
      <c r="K29" s="66">
        <f>SUM(K30:K31)</f>
        <v>4488105</v>
      </c>
      <c r="L29" s="66">
        <f>SUM(L30:L31)</f>
        <v>0</v>
      </c>
      <c r="M29" s="66">
        <f>SUM(M30:M31)</f>
        <v>630000</v>
      </c>
      <c r="N29" s="52">
        <f t="shared" si="2"/>
        <v>5118105</v>
      </c>
      <c r="O29" s="50"/>
      <c r="P29" s="53">
        <f>+E29+G29+I29</f>
        <v>358971</v>
      </c>
      <c r="Q29" s="65"/>
      <c r="R29" s="53">
        <f>SUM(R30:R31)</f>
        <v>0</v>
      </c>
      <c r="S29" s="65"/>
      <c r="T29" s="55">
        <f t="shared" si="0"/>
        <v>358971</v>
      </c>
      <c r="U29" s="3">
        <f t="shared" si="1"/>
        <v>1</v>
      </c>
      <c r="V29" s="4" t="s">
        <v>29</v>
      </c>
    </row>
    <row r="30" spans="2:22" s="57" customFormat="1" ht="15" hidden="1" outlineLevel="1" x14ac:dyDescent="0.25">
      <c r="B30" s="58"/>
      <c r="C30" s="59" t="s">
        <v>30</v>
      </c>
      <c r="D30" s="60"/>
      <c r="E30" s="61">
        <v>102</v>
      </c>
      <c r="F30" s="64"/>
      <c r="G30" s="61">
        <f>73-1</f>
        <v>72</v>
      </c>
      <c r="H30" s="61"/>
      <c r="I30" s="61"/>
      <c r="J30" s="195"/>
      <c r="K30" s="197">
        <v>0</v>
      </c>
      <c r="L30" s="197"/>
      <c r="M30" s="197"/>
      <c r="N30" s="52">
        <f t="shared" si="2"/>
        <v>0</v>
      </c>
      <c r="O30" s="59"/>
      <c r="P30" s="62">
        <f t="shared" si="3"/>
        <v>174</v>
      </c>
      <c r="Q30" s="64"/>
      <c r="R30" s="61">
        <v>0</v>
      </c>
      <c r="S30" s="64"/>
      <c r="T30" s="63">
        <f t="shared" si="0"/>
        <v>174</v>
      </c>
      <c r="U30" s="3">
        <f t="shared" si="1"/>
        <v>1</v>
      </c>
      <c r="V30" s="4"/>
    </row>
    <row r="31" spans="2:22" s="57" customFormat="1" ht="15" hidden="1" outlineLevel="1" x14ac:dyDescent="0.25">
      <c r="B31" s="58"/>
      <c r="C31" s="59" t="s">
        <v>31</v>
      </c>
      <c r="D31" s="60"/>
      <c r="E31" s="61">
        <v>209298</v>
      </c>
      <c r="F31" s="62"/>
      <c r="G31" s="61">
        <v>149499</v>
      </c>
      <c r="H31" s="61"/>
      <c r="I31" s="61"/>
      <c r="J31" s="195"/>
      <c r="K31" s="197">
        <v>4488105</v>
      </c>
      <c r="L31" s="197"/>
      <c r="M31" s="197">
        <f>330000+300000</f>
        <v>630000</v>
      </c>
      <c r="N31" s="52">
        <f t="shared" si="2"/>
        <v>5118105</v>
      </c>
      <c r="O31" s="196"/>
      <c r="P31" s="62">
        <f t="shared" si="3"/>
        <v>358797</v>
      </c>
      <c r="Q31" s="62"/>
      <c r="R31" s="61">
        <v>0</v>
      </c>
      <c r="S31" s="64"/>
      <c r="T31" s="63">
        <f t="shared" si="0"/>
        <v>358797</v>
      </c>
      <c r="U31" s="3">
        <f t="shared" si="1"/>
        <v>1</v>
      </c>
      <c r="V31" s="4"/>
    </row>
    <row r="32" spans="2:22" s="48" customFormat="1" ht="15" collapsed="1" x14ac:dyDescent="0.25">
      <c r="B32" s="49"/>
      <c r="C32" s="50" t="s">
        <v>32</v>
      </c>
      <c r="D32" s="51"/>
      <c r="E32" s="53">
        <f>SUM(E33:E38)</f>
        <v>909330</v>
      </c>
      <c r="F32" s="65"/>
      <c r="G32" s="53">
        <f>SUM(G33:G38)</f>
        <v>769792</v>
      </c>
      <c r="H32" s="53"/>
      <c r="I32" s="52"/>
      <c r="J32" s="54"/>
      <c r="K32" s="66">
        <f>SUM(K33:K38)</f>
        <v>1337376</v>
      </c>
      <c r="L32" s="66">
        <f>SUM(L33:L38)</f>
        <v>0</v>
      </c>
      <c r="M32" s="66">
        <f>SUM(M33:M38)</f>
        <v>93000</v>
      </c>
      <c r="N32" s="52">
        <f t="shared" si="2"/>
        <v>1430376</v>
      </c>
      <c r="O32" s="50"/>
      <c r="P32" s="53">
        <f>+E32+G32+I32</f>
        <v>1679122</v>
      </c>
      <c r="Q32" s="65"/>
      <c r="R32" s="53">
        <f>SUM(R33:R38)</f>
        <v>1871612</v>
      </c>
      <c r="S32" s="65"/>
      <c r="T32" s="55">
        <f t="shared" si="0"/>
        <v>-192490</v>
      </c>
      <c r="U32" s="3">
        <f t="shared" si="1"/>
        <v>-0.11463729258505338</v>
      </c>
      <c r="V32" s="56"/>
    </row>
    <row r="33" spans="2:22" s="57" customFormat="1" ht="15" hidden="1" outlineLevel="1" x14ac:dyDescent="0.25">
      <c r="B33" s="58"/>
      <c r="C33" s="59" t="s">
        <v>33</v>
      </c>
      <c r="D33" s="60"/>
      <c r="E33" s="61">
        <v>4349</v>
      </c>
      <c r="F33" s="64"/>
      <c r="G33" s="61">
        <v>3106</v>
      </c>
      <c r="H33" s="61"/>
      <c r="I33" s="61"/>
      <c r="J33" s="195"/>
      <c r="K33" s="197">
        <v>0</v>
      </c>
      <c r="L33" s="197"/>
      <c r="M33" s="197"/>
      <c r="N33" s="52">
        <f t="shared" si="2"/>
        <v>0</v>
      </c>
      <c r="O33" s="59"/>
      <c r="P33" s="62">
        <f t="shared" si="3"/>
        <v>7455</v>
      </c>
      <c r="Q33" s="64"/>
      <c r="R33" s="61">
        <v>9360</v>
      </c>
      <c r="S33" s="64"/>
      <c r="T33" s="63">
        <f t="shared" si="0"/>
        <v>-1905</v>
      </c>
      <c r="U33" s="3">
        <f t="shared" si="1"/>
        <v>-0.25553319919517103</v>
      </c>
      <c r="V33" s="4"/>
    </row>
    <row r="34" spans="2:22" s="57" customFormat="1" ht="15" hidden="1" outlineLevel="1" x14ac:dyDescent="0.25">
      <c r="B34" s="58"/>
      <c r="C34" s="59" t="s">
        <v>34</v>
      </c>
      <c r="D34" s="60"/>
      <c r="E34" s="61">
        <v>65906</v>
      </c>
      <c r="F34" s="64"/>
      <c r="G34" s="61">
        <v>55729</v>
      </c>
      <c r="H34" s="61"/>
      <c r="I34" s="61"/>
      <c r="J34" s="195"/>
      <c r="K34" s="197">
        <v>382476</v>
      </c>
      <c r="L34" s="197"/>
      <c r="M34" s="197">
        <v>36000</v>
      </c>
      <c r="N34" s="52">
        <f t="shared" si="2"/>
        <v>418476</v>
      </c>
      <c r="O34" s="59"/>
      <c r="P34" s="62">
        <f t="shared" si="3"/>
        <v>121635</v>
      </c>
      <c r="Q34" s="64"/>
      <c r="R34" s="61">
        <v>133296</v>
      </c>
      <c r="S34" s="64"/>
      <c r="T34" s="63">
        <f t="shared" si="0"/>
        <v>-11661</v>
      </c>
      <c r="U34" s="3">
        <f t="shared" si="1"/>
        <v>-9.5868787766678995E-2</v>
      </c>
      <c r="V34" s="4"/>
    </row>
    <row r="35" spans="2:22" s="57" customFormat="1" ht="15" hidden="1" outlineLevel="1" x14ac:dyDescent="0.25">
      <c r="B35" s="58"/>
      <c r="C35" s="59" t="s">
        <v>35</v>
      </c>
      <c r="D35" s="60"/>
      <c r="E35" s="61">
        <v>175</v>
      </c>
      <c r="F35" s="64"/>
      <c r="G35" s="61">
        <v>125</v>
      </c>
      <c r="H35" s="61"/>
      <c r="I35" s="61"/>
      <c r="J35" s="195"/>
      <c r="K35" s="197">
        <v>0</v>
      </c>
      <c r="L35" s="197"/>
      <c r="M35" s="197">
        <v>18000</v>
      </c>
      <c r="N35" s="52">
        <f t="shared" si="2"/>
        <v>18000</v>
      </c>
      <c r="O35" s="59"/>
      <c r="P35" s="62">
        <f t="shared" si="3"/>
        <v>300</v>
      </c>
      <c r="Q35" s="64"/>
      <c r="R35" s="61">
        <v>500</v>
      </c>
      <c r="S35" s="64"/>
      <c r="T35" s="63">
        <f t="shared" si="0"/>
        <v>-200</v>
      </c>
      <c r="U35" s="3">
        <f t="shared" si="1"/>
        <v>-0.66666666666666663</v>
      </c>
      <c r="V35" s="4"/>
    </row>
    <row r="36" spans="2:22" s="57" customFormat="1" ht="15" hidden="1" outlineLevel="1" x14ac:dyDescent="0.25">
      <c r="B36" s="58"/>
      <c r="C36" s="59" t="s">
        <v>36</v>
      </c>
      <c r="D36" s="60"/>
      <c r="E36" s="61">
        <v>0</v>
      </c>
      <c r="F36" s="64"/>
      <c r="G36" s="61">
        <v>0</v>
      </c>
      <c r="H36" s="61"/>
      <c r="I36" s="61"/>
      <c r="J36" s="195"/>
      <c r="K36" s="197">
        <v>0</v>
      </c>
      <c r="L36" s="197"/>
      <c r="M36" s="197">
        <v>3000</v>
      </c>
      <c r="N36" s="52">
        <f t="shared" si="2"/>
        <v>3000</v>
      </c>
      <c r="O36" s="59"/>
      <c r="P36" s="62">
        <f t="shared" si="3"/>
        <v>0</v>
      </c>
      <c r="Q36" s="64"/>
      <c r="R36" s="61">
        <v>0</v>
      </c>
      <c r="S36" s="64"/>
      <c r="T36" s="63">
        <f t="shared" si="0"/>
        <v>0</v>
      </c>
      <c r="U36" s="3">
        <f t="shared" si="1"/>
        <v>0</v>
      </c>
      <c r="V36" s="4"/>
    </row>
    <row r="37" spans="2:22" s="57" customFormat="1" ht="15" hidden="1" outlineLevel="1" x14ac:dyDescent="0.25">
      <c r="B37" s="58"/>
      <c r="C37" s="59" t="s">
        <v>37</v>
      </c>
      <c r="D37" s="60"/>
      <c r="E37" s="61">
        <v>797890</v>
      </c>
      <c r="F37" s="64"/>
      <c r="G37" s="61">
        <f>676425</f>
        <v>676425</v>
      </c>
      <c r="H37" s="61"/>
      <c r="I37" s="61"/>
      <c r="J37" s="195"/>
      <c r="K37" s="197">
        <v>945240</v>
      </c>
      <c r="L37" s="197"/>
      <c r="M37" s="197"/>
      <c r="N37" s="52">
        <f t="shared" si="2"/>
        <v>945240</v>
      </c>
      <c r="O37" s="59"/>
      <c r="P37" s="62">
        <f t="shared" si="3"/>
        <v>1474315</v>
      </c>
      <c r="Q37" s="64"/>
      <c r="R37" s="61">
        <v>1638936</v>
      </c>
      <c r="S37" s="64"/>
      <c r="T37" s="63">
        <f t="shared" si="0"/>
        <v>-164621</v>
      </c>
      <c r="U37" s="3">
        <f t="shared" si="1"/>
        <v>-0.11165931296907378</v>
      </c>
      <c r="V37" s="4"/>
    </row>
    <row r="38" spans="2:22" s="57" customFormat="1" ht="15" hidden="1" outlineLevel="1" x14ac:dyDescent="0.25">
      <c r="B38" s="58"/>
      <c r="C38" s="59" t="s">
        <v>38</v>
      </c>
      <c r="D38" s="60"/>
      <c r="E38" s="61">
        <v>41010</v>
      </c>
      <c r="F38" s="64"/>
      <c r="G38" s="61">
        <v>34407</v>
      </c>
      <c r="H38" s="61"/>
      <c r="I38" s="61"/>
      <c r="J38" s="195"/>
      <c r="K38" s="197">
        <v>9660</v>
      </c>
      <c r="L38" s="197"/>
      <c r="M38" s="197">
        <v>36000</v>
      </c>
      <c r="N38" s="52">
        <f t="shared" si="2"/>
        <v>45660</v>
      </c>
      <c r="O38" s="59"/>
      <c r="P38" s="62">
        <f t="shared" si="3"/>
        <v>75417</v>
      </c>
      <c r="Q38" s="64"/>
      <c r="R38" s="61">
        <v>89520</v>
      </c>
      <c r="S38" s="64"/>
      <c r="T38" s="63">
        <f t="shared" si="0"/>
        <v>-14103</v>
      </c>
      <c r="U38" s="3">
        <f t="shared" si="1"/>
        <v>-0.18700027845180794</v>
      </c>
      <c r="V38" s="4"/>
    </row>
    <row r="39" spans="2:22" s="48" customFormat="1" ht="15" x14ac:dyDescent="0.25">
      <c r="B39" s="49"/>
      <c r="C39" s="50" t="s">
        <v>39</v>
      </c>
      <c r="D39" s="51"/>
      <c r="E39" s="52">
        <v>135471</v>
      </c>
      <c r="F39" s="65"/>
      <c r="G39" s="52">
        <v>120378</v>
      </c>
      <c r="H39" s="52"/>
      <c r="I39" s="52"/>
      <c r="J39" s="193"/>
      <c r="K39" s="199">
        <v>150012</v>
      </c>
      <c r="L39" s="199"/>
      <c r="M39" s="199"/>
      <c r="N39" s="52">
        <f t="shared" si="2"/>
        <v>150012</v>
      </c>
      <c r="O39" s="50"/>
      <c r="P39" s="53">
        <f t="shared" si="3"/>
        <v>255849</v>
      </c>
      <c r="Q39" s="65"/>
      <c r="R39" s="52">
        <v>311196</v>
      </c>
      <c r="S39" s="65"/>
      <c r="T39" s="55">
        <f t="shared" si="0"/>
        <v>-55347</v>
      </c>
      <c r="U39" s="3">
        <f t="shared" si="1"/>
        <v>-0.21632681777141985</v>
      </c>
      <c r="V39" s="56"/>
    </row>
    <row r="40" spans="2:22" s="48" customFormat="1" ht="15" x14ac:dyDescent="0.25">
      <c r="B40" s="49"/>
      <c r="C40" s="50" t="s">
        <v>40</v>
      </c>
      <c r="D40" s="51"/>
      <c r="E40" s="52">
        <v>0</v>
      </c>
      <c r="F40" s="65"/>
      <c r="G40" s="52">
        <v>0</v>
      </c>
      <c r="H40" s="52"/>
      <c r="I40" s="52"/>
      <c r="J40" s="193"/>
      <c r="K40" s="199">
        <v>7008</v>
      </c>
      <c r="L40" s="199"/>
      <c r="M40" s="199"/>
      <c r="N40" s="52">
        <f t="shared" si="2"/>
        <v>7008</v>
      </c>
      <c r="O40" s="50"/>
      <c r="P40" s="53">
        <f t="shared" si="3"/>
        <v>0</v>
      </c>
      <c r="Q40" s="65"/>
      <c r="R40" s="52">
        <v>0</v>
      </c>
      <c r="S40" s="65"/>
      <c r="T40" s="55">
        <f t="shared" si="0"/>
        <v>0</v>
      </c>
      <c r="U40" s="3">
        <f t="shared" si="1"/>
        <v>0</v>
      </c>
      <c r="V40" s="56"/>
    </row>
    <row r="41" spans="2:22" s="48" customFormat="1" ht="15" x14ac:dyDescent="0.25">
      <c r="B41" s="49"/>
      <c r="C41" s="50" t="s">
        <v>41</v>
      </c>
      <c r="D41" s="51"/>
      <c r="E41" s="52">
        <v>0</v>
      </c>
      <c r="F41" s="65"/>
      <c r="G41" s="52">
        <v>0</v>
      </c>
      <c r="H41" s="52"/>
      <c r="I41" s="52"/>
      <c r="J41" s="193"/>
      <c r="K41" s="199">
        <v>0</v>
      </c>
      <c r="L41" s="199"/>
      <c r="M41" s="199"/>
      <c r="N41" s="52">
        <f t="shared" si="2"/>
        <v>0</v>
      </c>
      <c r="O41" s="50"/>
      <c r="P41" s="53">
        <f t="shared" si="3"/>
        <v>0</v>
      </c>
      <c r="Q41" s="65"/>
      <c r="R41" s="52">
        <v>0</v>
      </c>
      <c r="S41" s="65"/>
      <c r="T41" s="55">
        <f t="shared" si="0"/>
        <v>0</v>
      </c>
      <c r="U41" s="3">
        <f t="shared" si="1"/>
        <v>0</v>
      </c>
      <c r="V41" s="56"/>
    </row>
    <row r="42" spans="2:22" s="48" customFormat="1" ht="15" x14ac:dyDescent="0.25">
      <c r="B42" s="49"/>
      <c r="C42" s="50" t="s">
        <v>56</v>
      </c>
      <c r="D42" s="51"/>
      <c r="E42" s="52">
        <v>0</v>
      </c>
      <c r="F42" s="65"/>
      <c r="G42" s="52">
        <v>0</v>
      </c>
      <c r="H42" s="52"/>
      <c r="I42" s="52"/>
      <c r="J42" s="193"/>
      <c r="K42" s="199">
        <v>0</v>
      </c>
      <c r="L42" s="199"/>
      <c r="M42" s="199"/>
      <c r="N42" s="52">
        <f t="shared" si="2"/>
        <v>0</v>
      </c>
      <c r="O42" s="50"/>
      <c r="P42" s="53">
        <f t="shared" si="3"/>
        <v>0</v>
      </c>
      <c r="Q42" s="65"/>
      <c r="R42" s="52">
        <v>0</v>
      </c>
      <c r="S42" s="65"/>
      <c r="T42" s="55">
        <f t="shared" si="0"/>
        <v>0</v>
      </c>
      <c r="U42" s="3">
        <f t="shared" si="1"/>
        <v>0</v>
      </c>
      <c r="V42" s="56"/>
    </row>
    <row r="43" spans="2:22" s="48" customFormat="1" ht="15" collapsed="1" x14ac:dyDescent="0.25">
      <c r="B43" s="49"/>
      <c r="C43" s="50" t="s">
        <v>42</v>
      </c>
      <c r="D43" s="51"/>
      <c r="E43" s="53">
        <f>SUM(E44:E47)</f>
        <v>97137</v>
      </c>
      <c r="F43" s="65"/>
      <c r="G43" s="53">
        <f>SUM(G44:G47)</f>
        <v>69383.57142857142</v>
      </c>
      <c r="H43" s="53"/>
      <c r="I43" s="52"/>
      <c r="J43" s="54"/>
      <c r="K43" s="66">
        <f>SUM(K44:K47)</f>
        <v>13368</v>
      </c>
      <c r="L43" s="66">
        <f>SUM(L44:L47)</f>
        <v>0</v>
      </c>
      <c r="M43" s="66">
        <f>SUM(M44:M47)</f>
        <v>6000</v>
      </c>
      <c r="N43" s="52">
        <f t="shared" si="2"/>
        <v>19368</v>
      </c>
      <c r="O43" s="50"/>
      <c r="P43" s="53">
        <f t="shared" si="3"/>
        <v>166520.57142857142</v>
      </c>
      <c r="Q43" s="65"/>
      <c r="R43" s="53">
        <f>SUM(R44:R47)</f>
        <v>189871</v>
      </c>
      <c r="S43" s="65"/>
      <c r="T43" s="55">
        <f t="shared" si="0"/>
        <v>-23350.42857142858</v>
      </c>
      <c r="U43" s="3">
        <f t="shared" si="1"/>
        <v>-0.1402254890858616</v>
      </c>
      <c r="V43" s="56"/>
    </row>
    <row r="44" spans="2:22" s="57" customFormat="1" ht="15" hidden="1" outlineLevel="1" x14ac:dyDescent="0.25">
      <c r="B44" s="58"/>
      <c r="C44" s="59" t="s">
        <v>43</v>
      </c>
      <c r="D44" s="60"/>
      <c r="E44" s="61">
        <v>5302</v>
      </c>
      <c r="F44" s="64"/>
      <c r="G44" s="61">
        <f>+E44/7*5</f>
        <v>3787.1428571428573</v>
      </c>
      <c r="H44" s="61"/>
      <c r="I44" s="61"/>
      <c r="J44" s="195"/>
      <c r="K44" s="197">
        <v>0</v>
      </c>
      <c r="L44" s="197"/>
      <c r="M44" s="197"/>
      <c r="N44" s="52">
        <f t="shared" si="2"/>
        <v>0</v>
      </c>
      <c r="O44" s="59"/>
      <c r="P44" s="62">
        <f t="shared" si="3"/>
        <v>9089.1428571428569</v>
      </c>
      <c r="Q44" s="64"/>
      <c r="R44" s="61">
        <v>10000</v>
      </c>
      <c r="S44" s="64"/>
      <c r="T44" s="63">
        <f t="shared" si="0"/>
        <v>-910.85714285714312</v>
      </c>
      <c r="U44" s="3">
        <f t="shared" si="1"/>
        <v>-0.1002137558154156</v>
      </c>
      <c r="V44" s="4"/>
    </row>
    <row r="45" spans="2:22" s="57" customFormat="1" ht="15" hidden="1" outlineLevel="1" x14ac:dyDescent="0.25">
      <c r="B45" s="58"/>
      <c r="C45" s="59" t="s">
        <v>44</v>
      </c>
      <c r="D45" s="60"/>
      <c r="E45" s="61">
        <v>0</v>
      </c>
      <c r="F45" s="64"/>
      <c r="G45" s="61">
        <f>+E45/7*5</f>
        <v>0</v>
      </c>
      <c r="H45" s="61"/>
      <c r="I45" s="61"/>
      <c r="J45" s="195"/>
      <c r="K45" s="197">
        <v>0</v>
      </c>
      <c r="L45" s="197"/>
      <c r="M45" s="197"/>
      <c r="N45" s="52">
        <f t="shared" si="2"/>
        <v>0</v>
      </c>
      <c r="O45" s="59"/>
      <c r="P45" s="62">
        <f t="shared" si="3"/>
        <v>0</v>
      </c>
      <c r="Q45" s="64"/>
      <c r="R45" s="61">
        <v>0</v>
      </c>
      <c r="S45" s="64"/>
      <c r="T45" s="63">
        <f t="shared" si="0"/>
        <v>0</v>
      </c>
      <c r="U45" s="3">
        <f t="shared" si="1"/>
        <v>0</v>
      </c>
      <c r="V45" s="4"/>
    </row>
    <row r="46" spans="2:22" s="57" customFormat="1" ht="15" hidden="1" outlineLevel="1" x14ac:dyDescent="0.25">
      <c r="B46" s="58"/>
      <c r="C46" s="59" t="s">
        <v>45</v>
      </c>
      <c r="D46" s="60"/>
      <c r="E46" s="61">
        <v>0</v>
      </c>
      <c r="F46" s="64"/>
      <c r="G46" s="61">
        <f>+E46/7*5</f>
        <v>0</v>
      </c>
      <c r="H46" s="61"/>
      <c r="I46" s="61"/>
      <c r="J46" s="195"/>
      <c r="K46" s="197">
        <v>0</v>
      </c>
      <c r="L46" s="197"/>
      <c r="M46" s="197"/>
      <c r="N46" s="52">
        <f t="shared" si="2"/>
        <v>0</v>
      </c>
      <c r="O46" s="59"/>
      <c r="P46" s="62">
        <f t="shared" si="3"/>
        <v>0</v>
      </c>
      <c r="Q46" s="64"/>
      <c r="R46" s="61">
        <v>0</v>
      </c>
      <c r="S46" s="64"/>
      <c r="T46" s="63">
        <f t="shared" si="0"/>
        <v>0</v>
      </c>
      <c r="U46" s="3">
        <f t="shared" si="1"/>
        <v>0</v>
      </c>
      <c r="V46" s="4"/>
    </row>
    <row r="47" spans="2:22" s="57" customFormat="1" ht="15" hidden="1" outlineLevel="1" x14ac:dyDescent="0.25">
      <c r="B47" s="58"/>
      <c r="C47" s="59" t="s">
        <v>46</v>
      </c>
      <c r="D47" s="60"/>
      <c r="E47" s="61">
        <v>91835</v>
      </c>
      <c r="F47" s="64"/>
      <c r="G47" s="61">
        <f>+E47/7*5</f>
        <v>65596.428571428565</v>
      </c>
      <c r="H47" s="61"/>
      <c r="I47" s="61"/>
      <c r="J47" s="195"/>
      <c r="K47" s="197">
        <v>13368</v>
      </c>
      <c r="L47" s="197"/>
      <c r="M47" s="197">
        <v>6000</v>
      </c>
      <c r="N47" s="52">
        <f t="shared" si="2"/>
        <v>19368</v>
      </c>
      <c r="O47" s="59"/>
      <c r="P47" s="62">
        <f t="shared" si="3"/>
        <v>157431.42857142858</v>
      </c>
      <c r="Q47" s="64"/>
      <c r="R47" s="61">
        <v>179871</v>
      </c>
      <c r="S47" s="64"/>
      <c r="T47" s="63">
        <f t="shared" si="0"/>
        <v>-22439.57142857142</v>
      </c>
      <c r="U47" s="3">
        <f t="shared" si="1"/>
        <v>-0.14253552567104039</v>
      </c>
      <c r="V47" s="4"/>
    </row>
    <row r="48" spans="2:22" s="48" customFormat="1" ht="15" x14ac:dyDescent="0.25">
      <c r="B48" s="49"/>
      <c r="C48" s="50" t="s">
        <v>47</v>
      </c>
      <c r="D48" s="51"/>
      <c r="E48" s="52">
        <v>14219292.17</v>
      </c>
      <c r="F48" s="65"/>
      <c r="G48" s="52">
        <v>16880707.829999998</v>
      </c>
      <c r="H48" s="52"/>
      <c r="I48" s="52"/>
      <c r="J48" s="193"/>
      <c r="K48" s="199">
        <f>14385000</f>
        <v>14385000</v>
      </c>
      <c r="L48" s="199"/>
      <c r="M48" s="199">
        <v>7260000</v>
      </c>
      <c r="N48" s="52">
        <f t="shared" si="2"/>
        <v>21645000</v>
      </c>
      <c r="O48" s="50"/>
      <c r="P48" s="53">
        <f t="shared" si="3"/>
        <v>31100000</v>
      </c>
      <c r="Q48" s="65"/>
      <c r="R48" s="52">
        <v>31100000</v>
      </c>
      <c r="S48" s="65"/>
      <c r="T48" s="55">
        <f t="shared" si="0"/>
        <v>0</v>
      </c>
      <c r="U48" s="3">
        <f t="shared" si="1"/>
        <v>0</v>
      </c>
      <c r="V48" s="4" t="s">
        <v>48</v>
      </c>
    </row>
    <row r="49" spans="2:22" s="48" customFormat="1" ht="15" x14ac:dyDescent="0.25">
      <c r="B49" s="49"/>
      <c r="C49" s="50" t="s">
        <v>49</v>
      </c>
      <c r="D49" s="51"/>
      <c r="E49" s="52">
        <v>0</v>
      </c>
      <c r="F49" s="65"/>
      <c r="G49" s="52">
        <v>0</v>
      </c>
      <c r="H49" s="52"/>
      <c r="I49" s="52"/>
      <c r="J49" s="193"/>
      <c r="K49" s="199">
        <v>0</v>
      </c>
      <c r="L49" s="199"/>
      <c r="M49" s="199"/>
      <c r="N49" s="52">
        <f t="shared" si="2"/>
        <v>0</v>
      </c>
      <c r="O49" s="50"/>
      <c r="P49" s="53">
        <f t="shared" si="3"/>
        <v>0</v>
      </c>
      <c r="Q49" s="65"/>
      <c r="R49" s="52">
        <v>0</v>
      </c>
      <c r="S49" s="65"/>
      <c r="T49" s="55">
        <f t="shared" si="0"/>
        <v>0</v>
      </c>
      <c r="U49" s="3">
        <f t="shared" si="1"/>
        <v>0</v>
      </c>
      <c r="V49" s="56"/>
    </row>
    <row r="50" spans="2:22" s="48" customFormat="1" ht="15" x14ac:dyDescent="0.25">
      <c r="B50" s="49"/>
      <c r="C50" s="50" t="s">
        <v>50</v>
      </c>
      <c r="D50" s="51"/>
      <c r="E50" s="52">
        <v>0</v>
      </c>
      <c r="F50" s="65"/>
      <c r="G50" s="52">
        <v>0</v>
      </c>
      <c r="H50" s="52"/>
      <c r="I50" s="52"/>
      <c r="J50" s="193"/>
      <c r="K50" s="199">
        <v>0</v>
      </c>
      <c r="L50" s="199"/>
      <c r="M50" s="199"/>
      <c r="N50" s="52">
        <f t="shared" si="2"/>
        <v>0</v>
      </c>
      <c r="O50" s="50"/>
      <c r="P50" s="53">
        <f t="shared" si="3"/>
        <v>0</v>
      </c>
      <c r="Q50" s="65"/>
      <c r="R50" s="52">
        <v>0</v>
      </c>
      <c r="S50" s="65"/>
      <c r="T50" s="55">
        <f t="shared" si="0"/>
        <v>0</v>
      </c>
      <c r="U50" s="3">
        <f t="shared" si="1"/>
        <v>0</v>
      </c>
      <c r="V50" s="56"/>
    </row>
    <row r="51" spans="2:22" s="4" customFormat="1" ht="15" thickBot="1" x14ac:dyDescent="0.25">
      <c r="B51" s="58"/>
      <c r="C51" s="59"/>
      <c r="D51" s="67"/>
      <c r="E51" s="68"/>
      <c r="F51" s="69"/>
      <c r="G51" s="68"/>
      <c r="H51" s="71"/>
      <c r="I51" s="71"/>
      <c r="J51" s="200"/>
      <c r="K51" s="71"/>
      <c r="L51" s="71"/>
      <c r="M51" s="71"/>
      <c r="N51" s="71"/>
      <c r="O51" s="72"/>
      <c r="P51" s="71"/>
      <c r="Q51" s="70"/>
      <c r="R51" s="71"/>
      <c r="S51" s="70"/>
      <c r="T51" s="73"/>
      <c r="U51" s="3"/>
    </row>
    <row r="52" spans="2:22" ht="15.75" thickBot="1" x14ac:dyDescent="0.3">
      <c r="B52" s="74"/>
      <c r="C52" s="75" t="s">
        <v>51</v>
      </c>
      <c r="D52" s="76"/>
      <c r="E52" s="77">
        <f>+E11+E12+E22+E29+E32+E39+E40+E41+E42+E43+E48+E49+E50+E54</f>
        <v>26659706.170000002</v>
      </c>
      <c r="F52" s="78"/>
      <c r="G52" s="201">
        <f>+G11+G12+G22+G29+G32+G39+G40+G41+G42+G43+G48+G49+G50+G54</f>
        <v>25991712.258571424</v>
      </c>
      <c r="H52" s="201"/>
      <c r="I52" s="201">
        <f>+I11+I12+I22+I29+I32+I39+I40+I41+I42+I43+I48+I49+I50+I54</f>
        <v>708000</v>
      </c>
      <c r="J52" s="202"/>
      <c r="K52" s="77">
        <f>+K11+K12+K22+K29+K32+K39+K40+K41+K42+K43+K48+K49+K50+K54</f>
        <v>34294533</v>
      </c>
      <c r="L52" s="77">
        <f>+L11+L12+L22+L29+L32+L39+L40+L41+L42+L43+L48+L49+L50+L54</f>
        <v>0</v>
      </c>
      <c r="M52" s="77">
        <f>+M11+M12+M22+M29+M32+M39+M40+M41+M42+M43+M48+M49+M50+M54</f>
        <v>12913773</v>
      </c>
      <c r="N52" s="77">
        <f>+N11+N12+N22+N29+N32+N39+N40+N41+N42+N43+N48+N49+N50+N54</f>
        <v>47208306</v>
      </c>
      <c r="O52" s="203"/>
      <c r="P52" s="77">
        <f>+P11+P12+P22+P29+P32+P39+P40+P41+P42+P43+P48+P49+P50+P54</f>
        <v>53359418.428571433</v>
      </c>
      <c r="Q52" s="78"/>
      <c r="R52" s="77">
        <f>+R11+R12+R22+R29+R32+R39+R40+R41+R42+R43+R48+R49+R50</f>
        <v>53825780</v>
      </c>
      <c r="S52" s="78"/>
      <c r="T52" s="80">
        <f>+T11+T12+T22+T29+T32+T39+T40+T41+T42+T43+T48+T49+T50</f>
        <v>-466361.57142857037</v>
      </c>
      <c r="U52" s="3">
        <f>IF(T52=0,0,T52/P52)</f>
        <v>-8.7400047669720458E-3</v>
      </c>
    </row>
    <row r="53" spans="2:22" ht="15" x14ac:dyDescent="0.25">
      <c r="B53" s="81"/>
      <c r="C53" s="82"/>
      <c r="D53" s="83"/>
      <c r="E53" s="84"/>
      <c r="F53" s="83"/>
      <c r="G53" s="201"/>
      <c r="H53" s="201"/>
      <c r="I53" s="201"/>
      <c r="J53" s="259"/>
      <c r="K53" s="201"/>
      <c r="L53" s="201"/>
      <c r="M53" s="201"/>
      <c r="N53" s="260"/>
      <c r="O53" s="261"/>
      <c r="P53" s="201"/>
      <c r="Q53" s="83"/>
      <c r="R53" s="84"/>
      <c r="S53" s="83"/>
      <c r="T53" s="262"/>
    </row>
    <row r="54" spans="2:22" s="48" customFormat="1" ht="15" x14ac:dyDescent="0.25">
      <c r="B54" s="49"/>
      <c r="C54" s="50" t="s">
        <v>242</v>
      </c>
      <c r="D54" s="51"/>
      <c r="E54" s="52">
        <v>0</v>
      </c>
      <c r="F54" s="53"/>
      <c r="G54" s="52">
        <v>0</v>
      </c>
      <c r="H54" s="52"/>
      <c r="I54" s="52"/>
      <c r="J54" s="193"/>
      <c r="K54" s="52">
        <v>0</v>
      </c>
      <c r="L54" s="52"/>
      <c r="M54" s="52">
        <v>0</v>
      </c>
      <c r="N54" s="52">
        <f>SUM(K54:M54)</f>
        <v>0</v>
      </c>
      <c r="O54" s="194"/>
      <c r="P54" s="53">
        <v>0</v>
      </c>
      <c r="Q54" s="53"/>
      <c r="R54" s="52">
        <v>3444000</v>
      </c>
      <c r="S54" s="65"/>
      <c r="T54" s="55">
        <f>(-R54+P54)</f>
        <v>-3444000</v>
      </c>
      <c r="U54" s="3"/>
      <c r="V54" s="4"/>
    </row>
    <row r="55" spans="2:22" s="4" customFormat="1" ht="15" thickBot="1" x14ac:dyDescent="0.25">
      <c r="B55" s="58"/>
      <c r="C55" s="59"/>
      <c r="D55" s="67"/>
      <c r="E55" s="68"/>
      <c r="F55" s="69"/>
      <c r="G55" s="68"/>
      <c r="H55" s="71"/>
      <c r="I55" s="71"/>
      <c r="J55" s="200"/>
      <c r="K55" s="71"/>
      <c r="L55" s="71"/>
      <c r="M55" s="71"/>
      <c r="N55" s="71"/>
      <c r="O55" s="72"/>
      <c r="P55" s="71"/>
      <c r="Q55" s="70"/>
      <c r="R55" s="71"/>
      <c r="S55" s="70"/>
      <c r="T55" s="73"/>
      <c r="U55" s="3"/>
    </row>
    <row r="56" spans="2:22" ht="15.75" thickBot="1" x14ac:dyDescent="0.3">
      <c r="B56" s="74"/>
      <c r="C56" s="75" t="s">
        <v>243</v>
      </c>
      <c r="D56" s="76"/>
      <c r="E56" s="77">
        <f>+E15+E16+E26+E33+E36+E43+E44+E45+E46+E47+E52+E53+E54+E58</f>
        <v>26889220.170000002</v>
      </c>
      <c r="F56" s="78"/>
      <c r="G56" s="201">
        <f>+G15+G16+G26+G33+G36+G43+G44+G45+G46+G47+G52+G53+G54+G58</f>
        <v>26155650.401428565</v>
      </c>
      <c r="H56" s="201"/>
      <c r="I56" s="201">
        <f>+I15+I16+I26+I33+I36+I43+I44+I45+I46+I47+I52+I53+I54+I58</f>
        <v>708000</v>
      </c>
      <c r="J56" s="202"/>
      <c r="K56" s="77">
        <f>+K15+K16+K26+K33+K36+K43+K44+K45+K46+K47+K52+K53+K54+K58</f>
        <v>24723999</v>
      </c>
      <c r="L56" s="77">
        <f>+L15+L16+L26+L33+L36+L43+L44+L45+L46+L47+L52+L53+L54+L58</f>
        <v>-345000</v>
      </c>
      <c r="M56" s="77">
        <f>+M15+M16+M26+M33+M36+M43+M44+M45+M46+M47+M52+M53+M54+M58</f>
        <v>15000</v>
      </c>
      <c r="N56" s="77">
        <f>+N52+N54</f>
        <v>47208306</v>
      </c>
      <c r="O56" s="203"/>
      <c r="P56" s="77">
        <f>+P52+P54</f>
        <v>53359418.428571433</v>
      </c>
      <c r="Q56" s="78"/>
      <c r="R56" s="77">
        <f>+R52+R54</f>
        <v>57269780</v>
      </c>
      <c r="S56" s="78"/>
      <c r="T56" s="80">
        <f>+T52+T54</f>
        <v>-3910361.5714285704</v>
      </c>
      <c r="U56" s="3">
        <f>IF(T56=0,0,T56/P56)</f>
        <v>-7.328343686247446E-2</v>
      </c>
    </row>
    <row r="57" spans="2:22" ht="15" x14ac:dyDescent="0.25">
      <c r="B57" s="81"/>
      <c r="C57" s="82"/>
      <c r="D57" s="83"/>
      <c r="E57" s="84"/>
      <c r="F57" s="83"/>
      <c r="G57" s="201"/>
      <c r="H57" s="201"/>
      <c r="I57" s="201"/>
      <c r="J57" s="259"/>
      <c r="K57" s="201"/>
      <c r="L57" s="201"/>
      <c r="M57" s="201"/>
      <c r="N57" s="260"/>
      <c r="O57" s="261"/>
      <c r="P57" s="201"/>
      <c r="Q57" s="83"/>
      <c r="R57" s="84"/>
      <c r="S57" s="83"/>
      <c r="T57" s="262"/>
    </row>
    <row r="58" spans="2:22" s="48" customFormat="1" ht="15" x14ac:dyDescent="0.25">
      <c r="B58" s="85"/>
      <c r="C58" s="82" t="s">
        <v>52</v>
      </c>
      <c r="D58" s="83"/>
      <c r="E58" s="52"/>
      <c r="F58" s="86"/>
      <c r="G58" s="52"/>
      <c r="H58" s="52"/>
      <c r="I58" s="52"/>
      <c r="J58" s="195"/>
      <c r="K58" s="199">
        <v>-9597270</v>
      </c>
      <c r="L58" s="199">
        <v>-345000</v>
      </c>
      <c r="M58" s="199">
        <v>-12913773</v>
      </c>
      <c r="N58" s="52">
        <f>SUM(K58:M58)</f>
        <v>-22856043</v>
      </c>
      <c r="O58" s="263"/>
      <c r="P58" s="52">
        <f>-10064187-13708345</f>
        <v>-23772532</v>
      </c>
      <c r="Q58" s="86"/>
      <c r="R58" s="52">
        <f>-57269780+27344488</f>
        <v>-29925292</v>
      </c>
      <c r="S58" s="86"/>
      <c r="T58" s="264">
        <f>-R58+P58</f>
        <v>6152760</v>
      </c>
      <c r="U58" s="87">
        <f>IF(T58=0,0,T58/P58)</f>
        <v>-0.25881803419173016</v>
      </c>
      <c r="V58" s="56"/>
    </row>
    <row r="59" spans="2:22" s="48" customFormat="1" ht="15" x14ac:dyDescent="0.25">
      <c r="B59" s="85"/>
      <c r="C59" s="82" t="s">
        <v>53</v>
      </c>
      <c r="D59" s="83"/>
      <c r="E59" s="52"/>
      <c r="F59" s="86"/>
      <c r="G59" s="52"/>
      <c r="H59" s="52"/>
      <c r="I59" s="52"/>
      <c r="J59" s="195"/>
      <c r="K59" s="199">
        <v>-14385000</v>
      </c>
      <c r="L59" s="199"/>
      <c r="M59" s="199"/>
      <c r="N59" s="52">
        <f>SUM(K59:M59)</f>
        <v>-14385000</v>
      </c>
      <c r="O59" s="265"/>
      <c r="P59" s="52">
        <v>-17391655</v>
      </c>
      <c r="Q59" s="86"/>
      <c r="R59" s="52">
        <v>-15205647</v>
      </c>
      <c r="S59" s="86"/>
      <c r="T59" s="264">
        <f>-R59+P59</f>
        <v>-2186008</v>
      </c>
      <c r="U59" s="87">
        <f>IF(T59=0,0,T59/P59)</f>
        <v>0.12569292571638524</v>
      </c>
      <c r="V59" s="56"/>
    </row>
    <row r="60" spans="2:22" s="48" customFormat="1" ht="15.75" thickBot="1" x14ac:dyDescent="0.3">
      <c r="B60" s="88"/>
      <c r="C60" s="89"/>
      <c r="D60" s="90"/>
      <c r="E60" s="91"/>
      <c r="F60" s="90"/>
      <c r="G60" s="84"/>
      <c r="H60" s="84"/>
      <c r="I60" s="84"/>
      <c r="J60" s="266"/>
      <c r="K60" s="84"/>
      <c r="L60" s="84"/>
      <c r="M60" s="84"/>
      <c r="N60" s="84"/>
      <c r="O60" s="267"/>
      <c r="P60" s="84"/>
      <c r="Q60" s="83"/>
      <c r="R60" s="84"/>
      <c r="S60" s="83"/>
      <c r="T60" s="268"/>
      <c r="U60" s="87"/>
      <c r="V60" s="56"/>
    </row>
    <row r="61" spans="2:22" s="48" customFormat="1" ht="15.75" thickBot="1" x14ac:dyDescent="0.3">
      <c r="B61" s="88"/>
      <c r="C61" s="92" t="s">
        <v>54</v>
      </c>
      <c r="D61" s="76"/>
      <c r="E61" s="77">
        <f>+E52+E58+E59</f>
        <v>26659706.170000002</v>
      </c>
      <c r="F61" s="78"/>
      <c r="G61" s="77">
        <f>+G52+G58+G59</f>
        <v>25991712.258571424</v>
      </c>
      <c r="H61" s="77"/>
      <c r="I61" s="77">
        <f>+I52+I58+I59</f>
        <v>708000</v>
      </c>
      <c r="J61" s="202"/>
      <c r="K61" s="77">
        <f>+K52+K58+K59</f>
        <v>10312263</v>
      </c>
      <c r="L61" s="77">
        <f>+L52+L58+L59</f>
        <v>-345000</v>
      </c>
      <c r="M61" s="77">
        <f>+M52+M58+M59</f>
        <v>0</v>
      </c>
      <c r="N61" s="77">
        <f>+N56+N58+N59</f>
        <v>9967263</v>
      </c>
      <c r="O61" s="79"/>
      <c r="P61" s="77">
        <f>+P56+P58+P59</f>
        <v>12195231.428571433</v>
      </c>
      <c r="Q61" s="78"/>
      <c r="R61" s="77">
        <f>+R56+R58+R59</f>
        <v>12138841</v>
      </c>
      <c r="S61" s="78"/>
      <c r="T61" s="80">
        <f>+T56+T58+T59</f>
        <v>56390.428571429569</v>
      </c>
      <c r="U61" s="87">
        <f>IF(T61=0,0,T61/P61)</f>
        <v>4.6239736327853536E-3</v>
      </c>
      <c r="V61" s="56"/>
    </row>
    <row r="62" spans="2:22" s="48" customFormat="1" ht="15.75" thickBot="1" x14ac:dyDescent="0.3">
      <c r="B62" s="93"/>
      <c r="C62" s="65"/>
      <c r="D62" s="65"/>
      <c r="E62" s="65"/>
      <c r="F62" s="65"/>
      <c r="G62" s="2"/>
      <c r="H62" s="2"/>
      <c r="I62" s="2"/>
      <c r="J62" s="269"/>
      <c r="K62" s="2"/>
      <c r="L62" s="2"/>
      <c r="M62" s="2"/>
      <c r="N62" s="2"/>
      <c r="O62" s="270"/>
      <c r="P62" s="2"/>
      <c r="Q62" s="65"/>
      <c r="R62" s="65"/>
      <c r="S62" s="65"/>
      <c r="T62" s="271"/>
      <c r="U62" s="87"/>
      <c r="V62" s="56"/>
    </row>
    <row r="63" spans="2:22" s="48" customFormat="1" ht="15.75" thickBot="1" x14ac:dyDescent="0.3">
      <c r="B63" s="34" t="s">
        <v>55</v>
      </c>
      <c r="C63" s="95"/>
      <c r="D63" s="96"/>
      <c r="E63" s="97"/>
      <c r="F63" s="94"/>
      <c r="G63" s="204"/>
      <c r="H63" s="204"/>
      <c r="I63" s="204"/>
      <c r="J63" s="205"/>
      <c r="K63" s="206">
        <f>91</f>
        <v>91</v>
      </c>
      <c r="L63" s="206"/>
      <c r="M63" s="206">
        <f>28</f>
        <v>28</v>
      </c>
      <c r="N63" s="206">
        <f>SUM(K63:M63)</f>
        <v>119</v>
      </c>
      <c r="O63" s="203"/>
      <c r="P63" s="207">
        <v>133</v>
      </c>
      <c r="Q63" s="94"/>
      <c r="R63" s="97">
        <v>133</v>
      </c>
      <c r="S63" s="94"/>
      <c r="T63" s="272">
        <f>(-R63+P63)</f>
        <v>0</v>
      </c>
      <c r="U63" s="87">
        <f>IF(T63=0,0,T63/P63)</f>
        <v>0</v>
      </c>
      <c r="V63" s="56"/>
    </row>
    <row r="64" spans="2:22" x14ac:dyDescent="0.2">
      <c r="B64" s="2"/>
      <c r="C64" s="98"/>
      <c r="D64" s="98"/>
      <c r="E64" s="98"/>
      <c r="F64" s="98"/>
      <c r="G64" s="98"/>
      <c r="H64" s="98"/>
      <c r="I64" s="98"/>
      <c r="J64" s="2"/>
      <c r="K64" s="2"/>
      <c r="L64" s="2"/>
      <c r="M64" s="2"/>
      <c r="N64" s="2"/>
      <c r="O64" s="98"/>
      <c r="P64" s="98"/>
      <c r="Q64" s="98"/>
      <c r="R64" s="98"/>
      <c r="S64" s="98"/>
      <c r="T64" s="98"/>
    </row>
    <row r="65" spans="2:20" x14ac:dyDescent="0.2">
      <c r="B65" s="2"/>
      <c r="C65" s="98"/>
      <c r="D65" s="98"/>
      <c r="E65" s="98"/>
      <c r="F65" s="98"/>
      <c r="G65" s="98"/>
      <c r="H65" s="98"/>
      <c r="I65" s="98"/>
      <c r="J65" s="2"/>
      <c r="K65" s="2"/>
      <c r="L65" s="2"/>
      <c r="M65" s="2"/>
      <c r="N65" s="2"/>
      <c r="O65" s="98"/>
      <c r="P65" s="98"/>
      <c r="Q65" s="98"/>
      <c r="R65" s="98"/>
      <c r="S65" s="98"/>
      <c r="T65" s="98"/>
    </row>
    <row r="66" spans="2:20" x14ac:dyDescent="0.2">
      <c r="B66" s="2"/>
      <c r="C66" s="98"/>
      <c r="D66" s="98"/>
      <c r="E66" s="98"/>
      <c r="F66" s="98"/>
      <c r="G66" s="98"/>
      <c r="H66" s="98"/>
      <c r="I66" s="98"/>
      <c r="J66" s="2"/>
      <c r="K66" s="2"/>
      <c r="L66" s="2"/>
      <c r="M66" s="2"/>
      <c r="N66" s="2"/>
      <c r="O66" s="98"/>
      <c r="P66" s="98"/>
      <c r="Q66" s="98"/>
      <c r="R66" s="98"/>
      <c r="S66" s="98"/>
      <c r="T66" s="98"/>
    </row>
    <row r="67" spans="2:20" x14ac:dyDescent="0.2">
      <c r="C67" s="99"/>
      <c r="D67" s="99"/>
      <c r="E67" s="99"/>
      <c r="F67" s="99"/>
      <c r="G67" s="99"/>
      <c r="H67" s="99"/>
      <c r="I67" s="99"/>
      <c r="J67" s="208"/>
      <c r="K67" s="208"/>
      <c r="L67" s="208"/>
      <c r="M67" s="208"/>
      <c r="N67" s="208"/>
      <c r="O67" s="99"/>
      <c r="P67" s="99"/>
      <c r="Q67" s="99"/>
      <c r="R67" s="99"/>
      <c r="S67" s="99"/>
      <c r="T67" s="99"/>
    </row>
    <row r="68" spans="2:20" x14ac:dyDescent="0.2">
      <c r="C68" s="99"/>
      <c r="D68" s="99"/>
      <c r="E68" s="99"/>
      <c r="F68" s="99"/>
      <c r="G68" s="99"/>
      <c r="H68" s="99"/>
      <c r="I68" s="99"/>
      <c r="O68" s="99"/>
      <c r="P68" s="99"/>
      <c r="Q68" s="99"/>
      <c r="R68" s="99"/>
      <c r="S68" s="99"/>
      <c r="T68" s="99"/>
    </row>
    <row r="69" spans="2:20" x14ac:dyDescent="0.2">
      <c r="C69" s="99"/>
      <c r="D69" s="99"/>
      <c r="E69" s="99"/>
      <c r="F69" s="99"/>
      <c r="G69" s="99"/>
      <c r="H69" s="99"/>
      <c r="I69" s="99"/>
      <c r="O69" s="99"/>
      <c r="P69" s="99"/>
      <c r="Q69" s="99"/>
      <c r="R69" s="99"/>
      <c r="S69" s="99"/>
      <c r="T69" s="99"/>
    </row>
    <row r="70" spans="2:20" x14ac:dyDescent="0.2">
      <c r="C70" s="99"/>
      <c r="D70" s="99"/>
      <c r="E70" s="99"/>
      <c r="F70" s="99"/>
      <c r="G70" s="99"/>
      <c r="H70" s="99"/>
      <c r="I70" s="99"/>
      <c r="O70" s="99"/>
      <c r="P70" s="99"/>
      <c r="Q70" s="99"/>
      <c r="R70" s="99"/>
      <c r="S70" s="99"/>
      <c r="T70" s="99"/>
    </row>
    <row r="71" spans="2:20" x14ac:dyDescent="0.2">
      <c r="C71" s="99"/>
      <c r="D71" s="99"/>
      <c r="E71" s="99"/>
      <c r="F71" s="99"/>
      <c r="G71" s="99"/>
      <c r="H71" s="99"/>
      <c r="I71" s="99"/>
      <c r="O71" s="99"/>
      <c r="P71" s="99"/>
      <c r="Q71" s="99"/>
      <c r="R71" s="99"/>
      <c r="S71" s="99"/>
      <c r="T71" s="99"/>
    </row>
    <row r="72" spans="2:20" x14ac:dyDescent="0.2">
      <c r="C72" s="99"/>
      <c r="D72" s="99"/>
      <c r="E72" s="99"/>
      <c r="F72" s="99"/>
      <c r="G72" s="99"/>
      <c r="H72" s="99"/>
      <c r="I72" s="99"/>
      <c r="O72" s="99"/>
      <c r="P72" s="99"/>
      <c r="Q72" s="99"/>
      <c r="R72" s="99"/>
      <c r="S72" s="99"/>
      <c r="T72" s="99"/>
    </row>
    <row r="73" spans="2:20" x14ac:dyDescent="0.2">
      <c r="C73" s="99"/>
      <c r="D73" s="99"/>
      <c r="E73" s="99"/>
      <c r="F73" s="99"/>
      <c r="G73" s="99"/>
      <c r="H73" s="99"/>
      <c r="I73" s="99"/>
      <c r="O73" s="99"/>
      <c r="P73" s="99"/>
      <c r="Q73" s="99"/>
      <c r="R73" s="99"/>
      <c r="S73" s="99"/>
      <c r="T73" s="99"/>
    </row>
    <row r="74" spans="2:20" x14ac:dyDescent="0.2">
      <c r="C74" s="99"/>
      <c r="D74" s="99"/>
      <c r="E74" s="99"/>
      <c r="F74" s="99"/>
      <c r="G74" s="99"/>
      <c r="H74" s="99"/>
      <c r="I74" s="99"/>
      <c r="O74" s="99"/>
      <c r="P74" s="99"/>
      <c r="Q74" s="99"/>
      <c r="R74" s="99"/>
      <c r="S74" s="99"/>
      <c r="T74" s="99"/>
    </row>
    <row r="75" spans="2:20" x14ac:dyDescent="0.2">
      <c r="C75" s="99"/>
      <c r="D75" s="99"/>
      <c r="E75" s="99"/>
      <c r="F75" s="99"/>
      <c r="G75" s="99"/>
      <c r="H75" s="99"/>
      <c r="I75" s="99"/>
      <c r="O75" s="99"/>
      <c r="P75" s="99"/>
      <c r="Q75" s="99"/>
      <c r="R75" s="99"/>
      <c r="S75" s="99"/>
      <c r="T75" s="99"/>
    </row>
    <row r="76" spans="2:20" x14ac:dyDescent="0.2">
      <c r="C76" s="99"/>
      <c r="D76" s="99"/>
      <c r="E76" s="99"/>
      <c r="F76" s="99"/>
      <c r="G76" s="99"/>
      <c r="H76" s="99"/>
      <c r="I76" s="99"/>
      <c r="O76" s="99"/>
      <c r="P76" s="99"/>
      <c r="Q76" s="99"/>
      <c r="R76" s="99"/>
      <c r="S76" s="99"/>
      <c r="T76" s="99"/>
    </row>
    <row r="77" spans="2:20" x14ac:dyDescent="0.2">
      <c r="C77" s="99"/>
      <c r="D77" s="99"/>
      <c r="E77" s="99"/>
      <c r="F77" s="99"/>
      <c r="G77" s="99"/>
      <c r="H77" s="99"/>
      <c r="I77" s="99"/>
      <c r="O77" s="99"/>
      <c r="P77" s="99"/>
      <c r="Q77" s="99"/>
      <c r="R77" s="99"/>
      <c r="S77" s="99"/>
      <c r="T77" s="99"/>
    </row>
    <row r="78" spans="2:20" x14ac:dyDescent="0.2">
      <c r="C78" s="99"/>
      <c r="D78" s="99"/>
      <c r="E78" s="99"/>
      <c r="F78" s="99"/>
      <c r="G78" s="99"/>
      <c r="H78" s="99"/>
      <c r="I78" s="99"/>
      <c r="O78" s="99"/>
      <c r="P78" s="99"/>
      <c r="Q78" s="99"/>
      <c r="R78" s="99"/>
      <c r="S78" s="99"/>
      <c r="T78" s="99"/>
    </row>
    <row r="79" spans="2:20" x14ac:dyDescent="0.2">
      <c r="C79" s="99"/>
      <c r="D79" s="99"/>
      <c r="E79" s="99"/>
      <c r="F79" s="99"/>
      <c r="G79" s="99"/>
      <c r="H79" s="99"/>
      <c r="I79" s="99"/>
      <c r="O79" s="99"/>
      <c r="P79" s="99"/>
      <c r="Q79" s="99"/>
      <c r="R79" s="99"/>
      <c r="S79" s="99"/>
      <c r="T79" s="99"/>
    </row>
    <row r="80" spans="2:20" x14ac:dyDescent="0.2">
      <c r="C80" s="99"/>
      <c r="D80" s="99"/>
      <c r="E80" s="99"/>
      <c r="F80" s="99"/>
      <c r="G80" s="99"/>
      <c r="H80" s="99"/>
      <c r="I80" s="99"/>
      <c r="O80" s="99"/>
      <c r="P80" s="99"/>
      <c r="Q80" s="99"/>
      <c r="R80" s="99"/>
      <c r="S80" s="99"/>
      <c r="T80" s="99"/>
    </row>
  </sheetData>
  <mergeCells count="1">
    <mergeCell ref="B3:T3"/>
  </mergeCells>
  <phoneticPr fontId="0" type="noConversion"/>
  <printOptions horizontalCentered="1"/>
  <pageMargins left="0.2" right="0.2" top="0.75" bottom="0.5" header="0.5" footer="0"/>
  <pageSetup orientation="landscape" r:id="rId1"/>
  <headerFooter alignWithMargins="0">
    <oddFooter>&amp;R&amp;7&amp;D  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workbookViewId="0">
      <selection activeCell="E16" sqref="E16"/>
    </sheetView>
  </sheetViews>
  <sheetFormatPr defaultRowHeight="12.75" x14ac:dyDescent="0.2"/>
  <cols>
    <col min="1" max="1" width="29.7109375" bestFit="1" customWidth="1"/>
    <col min="2" max="2" width="1.5703125" customWidth="1"/>
    <col min="3" max="3" width="12.5703125" customWidth="1"/>
    <col min="4" max="4" width="1.5703125" customWidth="1"/>
    <col min="5" max="5" width="9.28515625" bestFit="1" customWidth="1"/>
    <col min="6" max="6" width="1.5703125" customWidth="1"/>
    <col min="7" max="7" width="5.7109375" customWidth="1"/>
    <col min="8" max="8" width="1.5703125" customWidth="1"/>
    <col min="9" max="9" width="11.85546875" bestFit="1" customWidth="1"/>
    <col min="10" max="10" width="1.5703125" customWidth="1"/>
    <col min="12" max="12" width="1.5703125" customWidth="1"/>
    <col min="13" max="13" width="6.5703125" customWidth="1"/>
    <col min="14" max="14" width="1.85546875" customWidth="1"/>
  </cols>
  <sheetData>
    <row r="1" spans="1:14" ht="15.75" x14ac:dyDescent="0.25">
      <c r="A1" s="282" t="s">
        <v>213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09"/>
    </row>
    <row r="2" spans="1:14" x14ac:dyDescent="0.2">
      <c r="A2" s="283" t="s">
        <v>214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09"/>
    </row>
    <row r="4" spans="1:14" x14ac:dyDescent="0.2">
      <c r="C4" s="288" t="s">
        <v>57</v>
      </c>
      <c r="D4" s="288"/>
      <c r="E4" s="288"/>
      <c r="F4" s="288"/>
      <c r="G4" s="288"/>
      <c r="I4" s="288" t="s">
        <v>58</v>
      </c>
      <c r="J4" s="288"/>
      <c r="K4" s="288"/>
      <c r="L4" s="289"/>
      <c r="M4" s="289"/>
    </row>
    <row r="5" spans="1:14" x14ac:dyDescent="0.2">
      <c r="C5" s="186" t="s">
        <v>59</v>
      </c>
      <c r="D5" s="100"/>
      <c r="E5" s="186" t="s">
        <v>60</v>
      </c>
      <c r="F5" s="210"/>
      <c r="G5" s="210" t="s">
        <v>215</v>
      </c>
      <c r="I5" s="186" t="s">
        <v>59</v>
      </c>
      <c r="J5" s="100"/>
      <c r="K5" s="186" t="s">
        <v>60</v>
      </c>
      <c r="M5" s="100" t="s">
        <v>215</v>
      </c>
    </row>
    <row r="7" spans="1:14" x14ac:dyDescent="0.2">
      <c r="A7" t="s">
        <v>51</v>
      </c>
      <c r="C7" s="101">
        <f>'[2]Legal Revised '!P56</f>
        <v>53359418.428571433</v>
      </c>
      <c r="E7" s="211">
        <v>1</v>
      </c>
      <c r="F7" s="102"/>
      <c r="G7">
        <v>133</v>
      </c>
      <c r="I7" s="101">
        <f>'[2]Legal Revised '!R56</f>
        <v>57269780</v>
      </c>
      <c r="K7" s="211">
        <v>1</v>
      </c>
      <c r="M7">
        <v>133</v>
      </c>
    </row>
    <row r="8" spans="1:14" x14ac:dyDescent="0.2">
      <c r="A8" t="s">
        <v>61</v>
      </c>
      <c r="C8" s="101"/>
      <c r="E8" s="211"/>
      <c r="F8" s="102"/>
      <c r="G8" s="102"/>
      <c r="I8" s="101"/>
      <c r="K8" s="211"/>
    </row>
    <row r="9" spans="1:14" x14ac:dyDescent="0.2">
      <c r="A9" t="s">
        <v>62</v>
      </c>
      <c r="C9" s="103">
        <f>2717692+2906040+216620</f>
        <v>5840352</v>
      </c>
      <c r="E9" s="211">
        <f t="shared" ref="E9:E17" si="0">+C9/$C$7</f>
        <v>0.10945306699356321</v>
      </c>
      <c r="F9" s="102"/>
      <c r="G9" s="212">
        <f>+G$7*E9</f>
        <v>14.557257910143907</v>
      </c>
      <c r="I9" s="104">
        <f>2540772+189392+4747871+477099</f>
        <v>7955134</v>
      </c>
      <c r="K9" s="211">
        <f t="shared" ref="K9:K14" si="1">+I9/$I$7</f>
        <v>0.13890631324234176</v>
      </c>
      <c r="M9" s="212">
        <f>+M$7*K9</f>
        <v>18.474539661231454</v>
      </c>
    </row>
    <row r="10" spans="1:14" x14ac:dyDescent="0.2">
      <c r="A10" t="s">
        <v>63</v>
      </c>
      <c r="C10" s="105">
        <v>1210952</v>
      </c>
      <c r="E10" s="211">
        <f t="shared" si="0"/>
        <v>2.2694250343470623E-2</v>
      </c>
      <c r="F10" s="102"/>
      <c r="G10" s="212">
        <f t="shared" ref="G10:G21" si="2">+G$7*E10</f>
        <v>3.018335295681593</v>
      </c>
      <c r="I10" s="104">
        <f>1058744+67743</f>
        <v>1126487</v>
      </c>
      <c r="K10" s="211">
        <f t="shared" si="1"/>
        <v>1.9669832850763527E-2</v>
      </c>
      <c r="M10" s="212">
        <f t="shared" ref="M10:M22" si="3">+M$7*K10</f>
        <v>2.6160877691515489</v>
      </c>
    </row>
    <row r="11" spans="1:14" x14ac:dyDescent="0.2">
      <c r="A11" t="s">
        <v>64</v>
      </c>
      <c r="C11" s="105">
        <v>284052</v>
      </c>
      <c r="E11" s="211">
        <f t="shared" si="0"/>
        <v>5.3233713628314892E-3</v>
      </c>
      <c r="F11" s="102"/>
      <c r="G11" s="212">
        <f t="shared" si="2"/>
        <v>0.7080083912565881</v>
      </c>
      <c r="I11" s="104">
        <f>248349+15890</f>
        <v>264239</v>
      </c>
      <c r="K11" s="211">
        <f t="shared" si="1"/>
        <v>4.6139342599185815E-3</v>
      </c>
      <c r="M11" s="212">
        <f t="shared" si="3"/>
        <v>0.61365325656917136</v>
      </c>
    </row>
    <row r="12" spans="1:14" x14ac:dyDescent="0.2">
      <c r="A12" t="s">
        <v>65</v>
      </c>
      <c r="C12" s="105">
        <v>8221</v>
      </c>
      <c r="E12" s="211">
        <f t="shared" si="0"/>
        <v>1.5406839583540223E-4</v>
      </c>
      <c r="F12" s="102"/>
      <c r="G12" s="212">
        <f t="shared" si="2"/>
        <v>2.0491096646108497E-2</v>
      </c>
      <c r="I12" s="104">
        <v>0</v>
      </c>
      <c r="K12" s="211">
        <f t="shared" si="1"/>
        <v>0</v>
      </c>
      <c r="M12" s="212">
        <f t="shared" si="3"/>
        <v>0</v>
      </c>
    </row>
    <row r="13" spans="1:14" x14ac:dyDescent="0.2">
      <c r="A13" t="s">
        <v>66</v>
      </c>
      <c r="C13" s="103">
        <f>509567+403061</f>
        <v>912628</v>
      </c>
      <c r="E13" s="211">
        <f t="shared" si="0"/>
        <v>1.7103409798622002E-2</v>
      </c>
      <c r="F13" s="102"/>
      <c r="G13" s="212">
        <f t="shared" si="2"/>
        <v>2.2747535032167261</v>
      </c>
      <c r="I13" s="104">
        <f>352399+679212+66007</f>
        <v>1097618</v>
      </c>
      <c r="K13" s="211">
        <f t="shared" si="1"/>
        <v>1.9165745005481075E-2</v>
      </c>
      <c r="M13" s="212">
        <f>+M$7*K13-0.06</f>
        <v>2.4890440857289828</v>
      </c>
    </row>
    <row r="14" spans="1:14" hidden="1" x14ac:dyDescent="0.2">
      <c r="A14" t="s">
        <v>67</v>
      </c>
      <c r="C14" s="106"/>
      <c r="D14" s="107"/>
      <c r="E14" s="211">
        <f t="shared" si="0"/>
        <v>0</v>
      </c>
      <c r="F14" s="102"/>
      <c r="G14" s="212">
        <f t="shared" si="2"/>
        <v>0</v>
      </c>
      <c r="H14" s="107"/>
      <c r="I14" s="108"/>
      <c r="J14" s="107"/>
      <c r="K14" s="211">
        <f t="shared" si="1"/>
        <v>0</v>
      </c>
      <c r="M14" s="212">
        <f t="shared" si="3"/>
        <v>0</v>
      </c>
    </row>
    <row r="15" spans="1:14" x14ac:dyDescent="0.2">
      <c r="A15" t="s">
        <v>216</v>
      </c>
      <c r="C15" s="106">
        <f>798322+41464</f>
        <v>839786</v>
      </c>
      <c r="E15" s="211">
        <f t="shared" si="0"/>
        <v>1.5738289972634607E-2</v>
      </c>
      <c r="F15" s="102"/>
      <c r="G15" s="212">
        <f t="shared" si="2"/>
        <v>2.0931925663604027</v>
      </c>
      <c r="I15" s="108">
        <f>36253+759469+52291</f>
        <v>848013</v>
      </c>
      <c r="K15" s="213">
        <f>+I15/$I$7+0.0004</f>
        <v>1.5207338180799716E-2</v>
      </c>
      <c r="M15" s="212">
        <f t="shared" si="3"/>
        <v>2.0225759780463624</v>
      </c>
    </row>
    <row r="16" spans="1:14" x14ac:dyDescent="0.2">
      <c r="A16" t="s">
        <v>68</v>
      </c>
      <c r="C16" s="106">
        <f>237798+870918</f>
        <v>1108716</v>
      </c>
      <c r="E16" s="211">
        <f t="shared" si="0"/>
        <v>2.0778262444598447E-2</v>
      </c>
      <c r="F16" s="102"/>
      <c r="G16" s="212">
        <f t="shared" si="2"/>
        <v>2.7635089051315935</v>
      </c>
      <c r="I16" s="108">
        <f>761450+418943+75527</f>
        <v>1255920</v>
      </c>
      <c r="K16" s="211">
        <f t="shared" ref="K16:K23" si="4">+I16/$I$7</f>
        <v>2.1929890423884987E-2</v>
      </c>
      <c r="M16" s="212">
        <f t="shared" si="3"/>
        <v>2.9166754263767034</v>
      </c>
    </row>
    <row r="17" spans="1:13" x14ac:dyDescent="0.2">
      <c r="A17" t="s">
        <v>69</v>
      </c>
      <c r="C17" s="109">
        <f>101913+7658</f>
        <v>109571</v>
      </c>
      <c r="E17" s="211">
        <f t="shared" si="0"/>
        <v>2.0534519158351607E-3</v>
      </c>
      <c r="F17" s="102"/>
      <c r="G17" s="212">
        <f t="shared" si="2"/>
        <v>0.27310910480607636</v>
      </c>
      <c r="I17" s="108">
        <f>6695+133404+8964</f>
        <v>149063</v>
      </c>
      <c r="K17" s="211">
        <f t="shared" si="4"/>
        <v>2.6028212435947893E-3</v>
      </c>
      <c r="M17" s="212">
        <f t="shared" si="3"/>
        <v>0.34617522539810697</v>
      </c>
    </row>
    <row r="18" spans="1:13" x14ac:dyDescent="0.2">
      <c r="A18" t="s">
        <v>70</v>
      </c>
      <c r="C18" s="109">
        <f>1814858+50473+6780</f>
        <v>1872111</v>
      </c>
      <c r="E18" s="273">
        <f>+C18/$C$7-0.0002</f>
        <v>3.4884921371586268E-2</v>
      </c>
      <c r="F18" s="102"/>
      <c r="G18" s="212">
        <f t="shared" si="2"/>
        <v>4.6396945424209735</v>
      </c>
      <c r="I18" s="108">
        <f>5000000+2628539+488106</f>
        <v>8116645</v>
      </c>
      <c r="K18" s="211">
        <f t="shared" si="4"/>
        <v>0.14172649170295398</v>
      </c>
      <c r="M18" s="212">
        <f t="shared" si="3"/>
        <v>18.849623396492881</v>
      </c>
    </row>
    <row r="19" spans="1:13" x14ac:dyDescent="0.2">
      <c r="A19" t="s">
        <v>71</v>
      </c>
      <c r="C19" s="109">
        <f>3539036+2750000</f>
        <v>6289036</v>
      </c>
      <c r="E19" s="211">
        <f>+C19/$C$7</f>
        <v>0.1178617793298984</v>
      </c>
      <c r="F19" s="102"/>
      <c r="G19" s="212">
        <f t="shared" si="2"/>
        <v>15.675616650876487</v>
      </c>
      <c r="I19" s="108">
        <f>5000000+3000000</f>
        <v>8000000</v>
      </c>
      <c r="K19" s="211">
        <f t="shared" si="4"/>
        <v>0.13968972816029676</v>
      </c>
      <c r="M19" s="212">
        <f t="shared" si="3"/>
        <v>18.578733845319469</v>
      </c>
    </row>
    <row r="20" spans="1:13" x14ac:dyDescent="0.2">
      <c r="A20" t="s">
        <v>217</v>
      </c>
      <c r="C20" s="106">
        <v>57532</v>
      </c>
      <c r="E20" s="211">
        <f>+C20/$C$7</f>
        <v>1.0781976583386888E-3</v>
      </c>
      <c r="F20" s="102"/>
      <c r="G20" s="212">
        <f t="shared" si="2"/>
        <v>0.1434002885590456</v>
      </c>
      <c r="I20" s="108">
        <f>50301+3218</f>
        <v>53519</v>
      </c>
      <c r="K20" s="211">
        <f t="shared" si="4"/>
        <v>9.3450682017636529E-4</v>
      </c>
      <c r="M20" s="212">
        <f t="shared" si="3"/>
        <v>0.12428940708345658</v>
      </c>
    </row>
    <row r="21" spans="1:13" x14ac:dyDescent="0.2">
      <c r="A21" t="s">
        <v>72</v>
      </c>
      <c r="C21" s="106">
        <v>0</v>
      </c>
      <c r="E21" s="211">
        <f>+C21/$C$7</f>
        <v>0</v>
      </c>
      <c r="F21" s="102"/>
      <c r="G21" s="212">
        <f t="shared" si="2"/>
        <v>0</v>
      </c>
      <c r="I21" s="108">
        <f>94990+6078</f>
        <v>101068</v>
      </c>
      <c r="K21" s="211">
        <f t="shared" si="4"/>
        <v>1.7647701807131091E-3</v>
      </c>
      <c r="M21" s="218">
        <f t="shared" si="3"/>
        <v>0.23471443403484352</v>
      </c>
    </row>
    <row r="22" spans="1:13" x14ac:dyDescent="0.2">
      <c r="A22" t="s">
        <v>73</v>
      </c>
      <c r="C22" s="106">
        <f>345000+230279+313522+4350773</f>
        <v>5239574</v>
      </c>
      <c r="E22" s="211">
        <f>+C22/$C$7</f>
        <v>9.8193986259686394E-2</v>
      </c>
      <c r="F22" s="102"/>
      <c r="G22" s="218">
        <f>+G$7*E22</f>
        <v>13.05980017253829</v>
      </c>
      <c r="I22" s="106">
        <f>650000+250000+57586</f>
        <v>957586</v>
      </c>
      <c r="K22" s="211">
        <f t="shared" si="4"/>
        <v>1.672061600376324E-2</v>
      </c>
      <c r="M22" s="218">
        <f t="shared" si="3"/>
        <v>2.2238419285005109</v>
      </c>
    </row>
    <row r="23" spans="1:13" x14ac:dyDescent="0.2">
      <c r="A23" t="s">
        <v>74</v>
      </c>
      <c r="C23" s="274">
        <f>+C7-SUM(C9:C22)</f>
        <v>29586887.428571433</v>
      </c>
      <c r="E23" s="215">
        <f>+C23/$C$7</f>
        <v>0.55448294415309929</v>
      </c>
      <c r="F23" s="102"/>
      <c r="G23" s="275">
        <f>+G$7*E23-0.26</f>
        <v>73.4862315723622</v>
      </c>
      <c r="I23" s="110">
        <f>+I7-SUM(I9:I22)</f>
        <v>27344488</v>
      </c>
      <c r="K23" s="215">
        <f t="shared" si="4"/>
        <v>0.47746801192531207</v>
      </c>
      <c r="M23" s="216">
        <f>+M$7*K23</f>
        <v>63.503245586066505</v>
      </c>
    </row>
    <row r="24" spans="1:13" ht="16.5" customHeight="1" x14ac:dyDescent="0.2">
      <c r="A24" s="111" t="s">
        <v>75</v>
      </c>
      <c r="C24" s="276">
        <f>SUM(C9:C23)</f>
        <v>53359418.428571433</v>
      </c>
      <c r="E24" s="217">
        <f>SUM(E9:E23)</f>
        <v>0.99980000000000002</v>
      </c>
      <c r="F24" s="112"/>
      <c r="G24" s="212">
        <f>SUM(G9:G23)</f>
        <v>132.71339999999998</v>
      </c>
      <c r="I24" s="108">
        <f>SUM(I9:I23)</f>
        <v>57269780</v>
      </c>
      <c r="K24" s="217">
        <f>SUM(K9:K23)</f>
        <v>1.0004</v>
      </c>
      <c r="M24" s="218">
        <f>SUM(M9:M23)</f>
        <v>132.9932</v>
      </c>
    </row>
    <row r="25" spans="1:13" x14ac:dyDescent="0.2">
      <c r="C25" s="108"/>
      <c r="E25" s="217"/>
      <c r="F25" s="112"/>
      <c r="G25" s="212"/>
      <c r="I25" s="108"/>
      <c r="K25" s="217"/>
      <c r="M25" s="218"/>
    </row>
    <row r="26" spans="1:13" x14ac:dyDescent="0.2">
      <c r="C26" s="108"/>
      <c r="E26" s="217"/>
      <c r="F26" s="112"/>
      <c r="G26" s="212"/>
      <c r="I26" s="108"/>
      <c r="K26" s="217"/>
      <c r="M26" s="218"/>
    </row>
    <row r="27" spans="1:13" x14ac:dyDescent="0.2">
      <c r="A27" s="111" t="s">
        <v>76</v>
      </c>
      <c r="C27" s="113">
        <v>17391655</v>
      </c>
      <c r="E27" s="213">
        <f>+C27/C24-0.01</f>
        <v>0.31593411832778889</v>
      </c>
      <c r="F27" s="102"/>
      <c r="G27" s="212">
        <f>+G$7*E27</f>
        <v>42.019237737595923</v>
      </c>
      <c r="I27" s="108">
        <v>15205647</v>
      </c>
      <c r="K27" s="211">
        <f>+I27/I24</f>
        <v>0.265509086991429</v>
      </c>
      <c r="M27" s="218">
        <f>+M$7*K27</f>
        <v>35.312708569860057</v>
      </c>
    </row>
    <row r="28" spans="1:13" x14ac:dyDescent="0.2">
      <c r="C28" s="108"/>
      <c r="E28" s="217"/>
      <c r="F28" s="112"/>
      <c r="G28" s="212"/>
      <c r="I28" s="108"/>
      <c r="K28" s="217"/>
      <c r="M28" s="218"/>
    </row>
    <row r="29" spans="1:13" x14ac:dyDescent="0.2">
      <c r="A29" s="111" t="s">
        <v>77</v>
      </c>
      <c r="C29" s="110">
        <f>+C23-C27-1</f>
        <v>12195231.428571433</v>
      </c>
      <c r="E29" s="215">
        <f>+C29/C24</f>
        <v>0.2285488070844765</v>
      </c>
      <c r="F29" s="102"/>
      <c r="G29" s="275">
        <f>+G$7*E29+0.11</f>
        <v>30.506991342235374</v>
      </c>
      <c r="I29" s="110">
        <f>+I23-I27</f>
        <v>12138841</v>
      </c>
      <c r="K29" s="215">
        <f>+I29/I24</f>
        <v>0.2119589249338831</v>
      </c>
      <c r="M29" s="275">
        <f>+M$7*K29+1</f>
        <v>29.190537016206452</v>
      </c>
    </row>
    <row r="30" spans="1:13" x14ac:dyDescent="0.2">
      <c r="E30" s="219"/>
      <c r="G30" s="212"/>
      <c r="K30" s="219"/>
      <c r="M30" s="218"/>
    </row>
    <row r="31" spans="1:13" x14ac:dyDescent="0.2">
      <c r="A31" s="111" t="s">
        <v>78</v>
      </c>
      <c r="C31" s="101">
        <f>SUM(C27:C29)</f>
        <v>29586886.428571433</v>
      </c>
      <c r="E31" s="277">
        <f>SUM(E27:E29)+0.01</f>
        <v>0.5544829254122654</v>
      </c>
      <c r="F31" s="114"/>
      <c r="G31" s="214">
        <f>+G$7*E31-0.26</f>
        <v>73.48622907983129</v>
      </c>
      <c r="I31" s="101">
        <f>SUM(I27:I29)</f>
        <v>27344488</v>
      </c>
      <c r="K31" s="219">
        <f>SUM(K27:K29)</f>
        <v>0.47746801192531207</v>
      </c>
      <c r="M31" s="218">
        <f>+M$7*K31</f>
        <v>63.503245586066505</v>
      </c>
    </row>
    <row r="32" spans="1:13" x14ac:dyDescent="0.2">
      <c r="D32" s="115"/>
      <c r="G32" s="212"/>
      <c r="M32" s="8"/>
    </row>
    <row r="33" spans="1:7" x14ac:dyDescent="0.2">
      <c r="D33" s="115"/>
      <c r="G33" s="212"/>
    </row>
    <row r="34" spans="1:7" x14ac:dyDescent="0.2">
      <c r="A34" t="s">
        <v>244</v>
      </c>
      <c r="D34" s="115"/>
      <c r="G34" s="212"/>
    </row>
    <row r="35" spans="1:7" x14ac:dyDescent="0.2">
      <c r="A35" s="278" t="s">
        <v>245</v>
      </c>
      <c r="C35" s="107"/>
      <c r="D35" s="116"/>
      <c r="G35" s="212"/>
    </row>
    <row r="36" spans="1:7" x14ac:dyDescent="0.2">
      <c r="A36" s="115"/>
      <c r="C36" s="117"/>
      <c r="D36" s="116"/>
      <c r="G36" s="212"/>
    </row>
    <row r="37" spans="1:7" x14ac:dyDescent="0.2">
      <c r="A37" s="115"/>
      <c r="C37" s="107"/>
      <c r="D37" s="116"/>
      <c r="G37" s="212"/>
    </row>
    <row r="38" spans="1:7" x14ac:dyDescent="0.2">
      <c r="A38" s="115"/>
      <c r="C38" s="117"/>
      <c r="D38" s="116"/>
      <c r="G38" s="212"/>
    </row>
    <row r="39" spans="1:7" x14ac:dyDescent="0.2">
      <c r="A39" s="115"/>
      <c r="C39" s="107"/>
      <c r="D39" s="116"/>
    </row>
    <row r="40" spans="1:7" x14ac:dyDescent="0.2">
      <c r="A40" s="115"/>
      <c r="C40" s="107"/>
      <c r="D40" s="116"/>
    </row>
    <row r="41" spans="1:7" x14ac:dyDescent="0.2">
      <c r="A41" s="115"/>
      <c r="C41" s="107"/>
      <c r="D41" s="116"/>
    </row>
    <row r="42" spans="1:7" x14ac:dyDescent="0.2">
      <c r="A42" s="115"/>
      <c r="C42" s="107"/>
      <c r="D42" s="116"/>
    </row>
    <row r="43" spans="1:7" x14ac:dyDescent="0.2">
      <c r="A43" s="115"/>
      <c r="C43" s="107"/>
      <c r="D43" s="116"/>
    </row>
    <row r="44" spans="1:7" x14ac:dyDescent="0.2">
      <c r="A44" s="115"/>
      <c r="C44" s="107"/>
      <c r="D44" s="107"/>
    </row>
    <row r="45" spans="1:7" x14ac:dyDescent="0.2">
      <c r="A45" s="115"/>
    </row>
    <row r="46" spans="1:7" x14ac:dyDescent="0.2">
      <c r="A46" s="115"/>
    </row>
    <row r="47" spans="1:7" x14ac:dyDescent="0.2">
      <c r="A47" s="115"/>
    </row>
    <row r="48" spans="1:7" x14ac:dyDescent="0.2">
      <c r="A48" s="115"/>
    </row>
  </sheetData>
  <mergeCells count="4">
    <mergeCell ref="A1:M1"/>
    <mergeCell ref="A2:M2"/>
    <mergeCell ref="C4:G4"/>
    <mergeCell ref="I4:M4"/>
  </mergeCells>
  <phoneticPr fontId="0" type="noConversion"/>
  <printOptions horizontalCentered="1"/>
  <pageMargins left="0.2" right="0.2" top="0.75" bottom="0.5" header="0.5" footer="0"/>
  <pageSetup orientation="landscape" r:id="rId1"/>
  <headerFooter alignWithMargins="0">
    <oddFooter>&amp;R&amp;7&amp;D  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8"/>
  <sheetViews>
    <sheetView zoomScale="7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IV65536"/>
    </sheetView>
  </sheetViews>
  <sheetFormatPr defaultRowHeight="12.75" x14ac:dyDescent="0.2"/>
  <cols>
    <col min="1" max="1" width="37.7109375" customWidth="1"/>
    <col min="2" max="2" width="3.7109375" customWidth="1"/>
    <col min="3" max="3" width="20" bestFit="1" customWidth="1"/>
    <col min="4" max="4" width="26.5703125" bestFit="1" customWidth="1"/>
    <col min="5" max="5" width="22.5703125" bestFit="1" customWidth="1"/>
    <col min="6" max="6" width="19.5703125" bestFit="1" customWidth="1"/>
    <col min="7" max="7" width="19.5703125" customWidth="1"/>
    <col min="8" max="8" width="23" bestFit="1" customWidth="1"/>
    <col min="9" max="9" width="2" customWidth="1"/>
    <col min="10" max="10" width="13.85546875" bestFit="1" customWidth="1"/>
    <col min="11" max="11" width="2" customWidth="1"/>
    <col min="12" max="12" width="14" bestFit="1" customWidth="1"/>
    <col min="13" max="13" width="2.85546875" bestFit="1" customWidth="1"/>
  </cols>
  <sheetData>
    <row r="1" spans="1:12" x14ac:dyDescent="0.2">
      <c r="A1" s="118" t="s">
        <v>79</v>
      </c>
    </row>
    <row r="2" spans="1:12" x14ac:dyDescent="0.2">
      <c r="A2" s="118"/>
    </row>
    <row r="4" spans="1:12" ht="13.5" thickBot="1" x14ac:dyDescent="0.25"/>
    <row r="5" spans="1:12" ht="13.5" thickBot="1" x14ac:dyDescent="0.25">
      <c r="C5" s="119" t="s">
        <v>80</v>
      </c>
      <c r="D5" s="119" t="s">
        <v>81</v>
      </c>
      <c r="E5" s="119" t="s">
        <v>82</v>
      </c>
      <c r="F5" s="120" t="s">
        <v>83</v>
      </c>
      <c r="G5" s="119" t="s">
        <v>227</v>
      </c>
      <c r="H5" s="119" t="s">
        <v>84</v>
      </c>
      <c r="I5" s="120"/>
      <c r="J5" s="119" t="s">
        <v>85</v>
      </c>
      <c r="K5" s="119"/>
      <c r="L5" s="119" t="s">
        <v>86</v>
      </c>
    </row>
    <row r="6" spans="1:12" x14ac:dyDescent="0.2">
      <c r="C6" s="121"/>
      <c r="D6" s="121"/>
      <c r="E6" s="121"/>
      <c r="G6" s="121"/>
      <c r="H6" s="121"/>
      <c r="J6" s="122"/>
      <c r="K6" s="122"/>
      <c r="L6" s="121"/>
    </row>
    <row r="7" spans="1:12" x14ac:dyDescent="0.2">
      <c r="A7" s="107" t="s">
        <v>87</v>
      </c>
      <c r="B7" s="107"/>
      <c r="C7" s="220">
        <f>+C28*C35</f>
        <v>26232.318589391278</v>
      </c>
      <c r="D7" s="220"/>
      <c r="E7" s="220"/>
      <c r="F7" s="221">
        <f>+F28*F35</f>
        <v>37056.788936836536</v>
      </c>
      <c r="G7" s="220"/>
      <c r="H7" s="220"/>
      <c r="I7" s="107"/>
      <c r="J7" s="122">
        <f>SUM(C7:H7)</f>
        <v>63289.107526227817</v>
      </c>
      <c r="K7" s="122"/>
      <c r="L7" s="220">
        <f>+J7*12</f>
        <v>759469.29031473375</v>
      </c>
    </row>
    <row r="8" spans="1:12" x14ac:dyDescent="0.2">
      <c r="A8" s="107"/>
      <c r="B8" s="107"/>
      <c r="C8" s="220"/>
      <c r="D8" s="220"/>
      <c r="E8" s="220"/>
      <c r="F8" s="221"/>
      <c r="G8" s="220"/>
      <c r="H8" s="220"/>
      <c r="I8" s="107"/>
      <c r="J8" s="122"/>
      <c r="K8" s="122"/>
      <c r="L8" s="220"/>
    </row>
    <row r="9" spans="1:12" x14ac:dyDescent="0.2">
      <c r="A9" s="107" t="s">
        <v>88</v>
      </c>
      <c r="B9" s="107"/>
      <c r="C9" s="220"/>
      <c r="D9" s="220"/>
      <c r="E9" s="220">
        <f>+E28*E37</f>
        <v>3028.6529511673184</v>
      </c>
      <c r="F9" s="221">
        <f>+F28*F37</f>
        <v>74113.577873673072</v>
      </c>
      <c r="G9" s="220"/>
      <c r="H9" s="220">
        <f>+H28*H37</f>
        <v>318513.7006494627</v>
      </c>
      <c r="I9" s="107"/>
      <c r="J9" s="122">
        <f>SUM(C9:H9)</f>
        <v>395655.93147430307</v>
      </c>
      <c r="K9" s="122"/>
      <c r="L9" s="220">
        <f>+J9*12</f>
        <v>4747871.1776916366</v>
      </c>
    </row>
    <row r="10" spans="1:12" x14ac:dyDescent="0.2">
      <c r="A10" s="107"/>
      <c r="B10" s="107"/>
      <c r="C10" s="220"/>
      <c r="D10" s="220"/>
      <c r="E10" s="220"/>
      <c r="F10" s="221"/>
      <c r="G10" s="220"/>
      <c r="H10" s="220"/>
      <c r="I10" s="107"/>
      <c r="J10" s="122"/>
      <c r="K10" s="122"/>
      <c r="L10" s="220"/>
    </row>
    <row r="11" spans="1:12" x14ac:dyDescent="0.2">
      <c r="A11" s="107" t="s">
        <v>89</v>
      </c>
      <c r="B11" s="107"/>
      <c r="C11" s="220"/>
      <c r="D11" s="220"/>
      <c r="E11" s="220">
        <f>+E39*E28</f>
        <v>1514.3211263645844</v>
      </c>
      <c r="F11" s="221">
        <f>+F28*F39</f>
        <v>14822.720810724486</v>
      </c>
      <c r="G11" s="220">
        <f>+G28*G39</f>
        <v>127128.33333333333</v>
      </c>
      <c r="H11" s="220">
        <f>+H28*H39</f>
        <v>75579.511198606691</v>
      </c>
      <c r="I11" s="107"/>
      <c r="J11" s="122">
        <f>SUM(C11:H11)</f>
        <v>219044.88646902909</v>
      </c>
      <c r="K11" s="122"/>
      <c r="L11" s="220">
        <f>+J11*12</f>
        <v>2628538.637628349</v>
      </c>
    </row>
    <row r="12" spans="1:12" x14ac:dyDescent="0.2">
      <c r="A12" s="107"/>
      <c r="B12" s="107"/>
      <c r="C12" s="220"/>
      <c r="D12" s="220"/>
      <c r="E12" s="220"/>
      <c r="F12" s="221"/>
      <c r="G12" s="220"/>
      <c r="H12" s="220"/>
      <c r="I12" s="107"/>
      <c r="J12" s="122"/>
      <c r="K12" s="122"/>
      <c r="L12" s="220"/>
    </row>
    <row r="13" spans="1:12" x14ac:dyDescent="0.2">
      <c r="A13" s="107" t="s">
        <v>90</v>
      </c>
      <c r="B13" s="107"/>
      <c r="C13" s="220"/>
      <c r="D13" s="220"/>
      <c r="E13" s="220"/>
      <c r="F13" s="221">
        <f>+F28*F41</f>
        <v>11117.040608043366</v>
      </c>
      <c r="G13" s="220"/>
      <c r="H13" s="220"/>
      <c r="I13" s="107"/>
      <c r="J13" s="122">
        <f>SUM(C13:H13)</f>
        <v>11117.040608043366</v>
      </c>
      <c r="K13" s="122"/>
      <c r="L13" s="220">
        <f>+J13*12</f>
        <v>133404.48729652038</v>
      </c>
    </row>
    <row r="14" spans="1:12" x14ac:dyDescent="0.2">
      <c r="A14" s="107"/>
      <c r="B14" s="107"/>
      <c r="C14" s="220"/>
      <c r="D14" s="220"/>
      <c r="E14" s="220"/>
      <c r="F14" s="221"/>
      <c r="G14" s="220"/>
      <c r="H14" s="220"/>
      <c r="I14" s="107"/>
      <c r="J14" s="122"/>
      <c r="K14" s="122"/>
      <c r="L14" s="220"/>
    </row>
    <row r="15" spans="1:12" x14ac:dyDescent="0.2">
      <c r="A15" s="107" t="s">
        <v>91</v>
      </c>
      <c r="B15" s="107"/>
      <c r="C15" s="220"/>
      <c r="D15" s="220"/>
      <c r="E15" s="220">
        <f>+E28*E43</f>
        <v>3028.6529511673184</v>
      </c>
      <c r="F15" s="221">
        <f>+F28*F43</f>
        <v>48173.829544879896</v>
      </c>
      <c r="G15" s="220"/>
      <c r="H15" s="220">
        <f>+H28*H43</f>
        <v>5398.5392384495663</v>
      </c>
      <c r="I15" s="107"/>
      <c r="J15" s="122">
        <f>SUM(C15:H15)</f>
        <v>56601.021734496782</v>
      </c>
      <c r="K15" s="122"/>
      <c r="L15" s="220">
        <f>+J15*12</f>
        <v>679212.26081396139</v>
      </c>
    </row>
    <row r="16" spans="1:12" x14ac:dyDescent="0.2">
      <c r="A16" s="107"/>
      <c r="B16" s="107"/>
      <c r="C16" s="220"/>
      <c r="D16" s="220"/>
      <c r="E16" s="220"/>
      <c r="F16" s="221"/>
      <c r="G16" s="220"/>
      <c r="H16" s="220"/>
      <c r="I16" s="107"/>
      <c r="J16" s="122"/>
      <c r="K16" s="122"/>
      <c r="L16" s="220"/>
    </row>
    <row r="17" spans="1:13" x14ac:dyDescent="0.2">
      <c r="A17" s="107" t="s">
        <v>92</v>
      </c>
      <c r="B17" s="107"/>
      <c r="C17" s="220"/>
      <c r="D17" s="220"/>
      <c r="E17" s="220">
        <f>+E28*E45</f>
        <v>1514.3211263645844</v>
      </c>
      <c r="F17" s="221">
        <f>+F28*F45</f>
        <v>3705.6802026811215</v>
      </c>
      <c r="G17" s="220"/>
      <c r="H17" s="220">
        <f>+H28*H45</f>
        <v>29691.956276550805</v>
      </c>
      <c r="I17" s="107"/>
      <c r="J17" s="122">
        <f>SUM(C17:H17)</f>
        <v>34911.957605596515</v>
      </c>
      <c r="K17" s="122"/>
      <c r="L17" s="220">
        <f>+J17*12</f>
        <v>418943.49126715818</v>
      </c>
    </row>
    <row r="18" spans="1:13" x14ac:dyDescent="0.2">
      <c r="A18" s="107"/>
      <c r="B18" s="107"/>
      <c r="C18" s="220"/>
      <c r="D18" s="220"/>
      <c r="E18" s="220"/>
      <c r="F18" s="221"/>
      <c r="G18" s="220"/>
      <c r="H18" s="220"/>
      <c r="I18" s="107"/>
      <c r="J18" s="122"/>
      <c r="K18" s="122"/>
      <c r="L18" s="220"/>
    </row>
    <row r="19" spans="1:13" x14ac:dyDescent="0.2">
      <c r="A19" s="107" t="s">
        <v>93</v>
      </c>
      <c r="B19" s="107"/>
      <c r="C19" s="220">
        <f>250000/12</f>
        <v>20833.333333333332</v>
      </c>
      <c r="D19" s="220"/>
      <c r="E19" s="220"/>
      <c r="F19" s="221"/>
      <c r="G19" s="220"/>
      <c r="H19" s="220"/>
      <c r="I19" s="107"/>
      <c r="J19" s="122">
        <f>SUM(C19:H19)</f>
        <v>20833.333333333332</v>
      </c>
      <c r="K19" s="122"/>
      <c r="L19" s="220">
        <f>+J19*12</f>
        <v>250000</v>
      </c>
      <c r="M19" t="s">
        <v>229</v>
      </c>
    </row>
    <row r="20" spans="1:13" x14ac:dyDescent="0.2">
      <c r="A20" s="107"/>
      <c r="B20" s="107"/>
      <c r="C20" s="220"/>
      <c r="D20" s="220"/>
      <c r="E20" s="220"/>
      <c r="F20" s="221"/>
      <c r="G20" s="220"/>
      <c r="H20" s="220"/>
      <c r="I20" s="107"/>
      <c r="J20" s="122"/>
      <c r="K20" s="122"/>
      <c r="L20" s="121"/>
    </row>
    <row r="21" spans="1:13" x14ac:dyDescent="0.2">
      <c r="A21" s="107" t="s">
        <v>94</v>
      </c>
      <c r="B21" s="107"/>
      <c r="C21" s="220"/>
      <c r="D21" s="220">
        <f>3000000/12</f>
        <v>250000</v>
      </c>
      <c r="E21" s="220"/>
      <c r="F21" s="221"/>
      <c r="G21" s="220"/>
      <c r="H21" s="220"/>
      <c r="I21" s="107"/>
      <c r="J21" s="122">
        <f>SUM(C21:H21)</f>
        <v>250000</v>
      </c>
      <c r="K21" s="122"/>
      <c r="L21" s="220">
        <v>3000000</v>
      </c>
      <c r="M21" t="s">
        <v>95</v>
      </c>
    </row>
    <row r="22" spans="1:13" x14ac:dyDescent="0.2">
      <c r="A22" s="107"/>
      <c r="B22" s="107"/>
      <c r="C22" s="220"/>
      <c r="D22" s="220"/>
      <c r="E22" s="220"/>
      <c r="F22" s="221"/>
      <c r="G22" s="220"/>
      <c r="H22" s="220"/>
      <c r="I22" s="107"/>
      <c r="J22" s="122"/>
      <c r="K22" s="122"/>
      <c r="L22" s="121"/>
    </row>
    <row r="23" spans="1:13" x14ac:dyDescent="0.2">
      <c r="A23" s="107" t="s">
        <v>96</v>
      </c>
      <c r="B23" s="107"/>
      <c r="C23" s="220">
        <f>+C28*C49</f>
        <v>7915.8416666666662</v>
      </c>
      <c r="D23" s="220"/>
      <c r="E23" s="220"/>
      <c r="F23" s="221"/>
      <c r="G23" s="220"/>
      <c r="H23" s="220"/>
      <c r="I23" s="107"/>
      <c r="J23" s="122">
        <f>SUM(C23:H23)</f>
        <v>7915.8416666666662</v>
      </c>
      <c r="K23" s="122"/>
      <c r="L23" s="220">
        <f>+J23*12</f>
        <v>94990.099999999991</v>
      </c>
    </row>
    <row r="24" spans="1:13" ht="13.5" thickBot="1" x14ac:dyDescent="0.25">
      <c r="A24" s="107"/>
      <c r="B24" s="107"/>
      <c r="C24" s="220"/>
      <c r="D24" s="220"/>
      <c r="E24" s="220"/>
      <c r="F24" s="221"/>
      <c r="G24" s="220"/>
      <c r="H24" s="220"/>
      <c r="I24" s="107"/>
      <c r="J24" s="121"/>
      <c r="K24" s="121"/>
      <c r="L24" s="121"/>
    </row>
    <row r="25" spans="1:13" ht="13.5" thickBot="1" x14ac:dyDescent="0.25">
      <c r="A25" s="123" t="s">
        <v>75</v>
      </c>
      <c r="C25" s="222">
        <f>SUM(C7:C24)</f>
        <v>54981.493589391277</v>
      </c>
      <c r="D25" s="222">
        <f>SUM(D7:D24)</f>
        <v>250000</v>
      </c>
      <c r="E25" s="222">
        <f>SUM(E9:E17)</f>
        <v>9085.9481550638047</v>
      </c>
      <c r="F25" s="224">
        <f>SUM(F7:F17)</f>
        <v>188989.63797683851</v>
      </c>
      <c r="G25" s="224">
        <f>SUM(G7:G17)</f>
        <v>127128.33333333333</v>
      </c>
      <c r="H25" s="222">
        <f>SUM(H9:H17)</f>
        <v>429183.70736306981</v>
      </c>
      <c r="I25" s="124"/>
      <c r="J25" s="125">
        <f>SUM(J7:J23)</f>
        <v>1059369.1204176967</v>
      </c>
      <c r="K25" s="125"/>
      <c r="L25" s="125">
        <f>SUM(L7:L23)</f>
        <v>12712429.445012359</v>
      </c>
    </row>
    <row r="26" spans="1:13" x14ac:dyDescent="0.2">
      <c r="C26" s="225"/>
      <c r="D26" s="225"/>
      <c r="E26" s="225"/>
      <c r="F26" s="225"/>
      <c r="G26" s="225"/>
      <c r="H26" s="225"/>
    </row>
    <row r="27" spans="1:13" x14ac:dyDescent="0.2">
      <c r="C27" s="225"/>
      <c r="D27" s="225"/>
      <c r="E27" s="225"/>
      <c r="F27" s="225"/>
      <c r="G27" s="225"/>
      <c r="H27" s="225"/>
    </row>
    <row r="28" spans="1:13" x14ac:dyDescent="0.2">
      <c r="A28" t="s">
        <v>97</v>
      </c>
      <c r="C28" s="225">
        <f>5899802-4000000</f>
        <v>1899802</v>
      </c>
      <c r="D28" s="225">
        <f>(7297279-5000000)</f>
        <v>2297279</v>
      </c>
      <c r="E28" s="225">
        <f>(1137398-250000)</f>
        <v>887398</v>
      </c>
      <c r="F28" s="225">
        <f>(4131101-1000000)</f>
        <v>3131101</v>
      </c>
      <c r="G28" s="225">
        <f>6525540-5000000</f>
        <v>1525540</v>
      </c>
      <c r="H28" s="225">
        <f>(5376804-2000000)</f>
        <v>3376804</v>
      </c>
      <c r="L28" s="126"/>
    </row>
    <row r="29" spans="1:13" x14ac:dyDescent="0.2">
      <c r="C29" s="225"/>
      <c r="D29" s="225"/>
      <c r="E29" s="225"/>
      <c r="F29" s="225"/>
      <c r="G29" s="225"/>
      <c r="H29" s="225"/>
    </row>
    <row r="30" spans="1:13" x14ac:dyDescent="0.2">
      <c r="C30" s="225"/>
      <c r="D30" s="225"/>
      <c r="E30" s="225"/>
      <c r="F30" s="225"/>
      <c r="G30" s="225"/>
      <c r="H30" s="225"/>
      <c r="J30" s="225"/>
      <c r="K30" s="225"/>
    </row>
    <row r="31" spans="1:13" x14ac:dyDescent="0.2">
      <c r="C31" s="225"/>
      <c r="D31" s="225"/>
      <c r="E31" s="225"/>
      <c r="F31" s="225"/>
      <c r="G31" s="225"/>
      <c r="H31" s="225"/>
    </row>
    <row r="32" spans="1:13" ht="13.5" thickBot="1" x14ac:dyDescent="0.25">
      <c r="C32" s="225"/>
      <c r="D32" s="225"/>
      <c r="E32" s="225"/>
      <c r="F32" s="225"/>
      <c r="G32" s="225"/>
      <c r="H32" s="225"/>
    </row>
    <row r="33" spans="1:12" ht="13.5" thickBot="1" x14ac:dyDescent="0.25">
      <c r="C33" s="119" t="s">
        <v>80</v>
      </c>
      <c r="D33" s="119" t="s">
        <v>81</v>
      </c>
      <c r="E33" s="119" t="s">
        <v>82</v>
      </c>
      <c r="F33" s="120" t="s">
        <v>83</v>
      </c>
      <c r="G33" s="119" t="str">
        <f>G5</f>
        <v>J. Murray - 107062</v>
      </c>
      <c r="H33" s="119" t="s">
        <v>84</v>
      </c>
      <c r="I33" s="120"/>
      <c r="J33" s="119" t="s">
        <v>75</v>
      </c>
      <c r="K33" s="127"/>
      <c r="L33" s="119" t="s">
        <v>75</v>
      </c>
    </row>
    <row r="34" spans="1:12" x14ac:dyDescent="0.2">
      <c r="C34" s="121"/>
      <c r="D34" s="121"/>
      <c r="E34" s="121"/>
      <c r="G34" s="121"/>
      <c r="H34" s="121"/>
      <c r="J34" s="122"/>
      <c r="K34" s="128"/>
      <c r="L34" s="122"/>
    </row>
    <row r="35" spans="1:12" x14ac:dyDescent="0.2">
      <c r="A35" s="107" t="s">
        <v>87</v>
      </c>
      <c r="B35" s="107"/>
      <c r="C35" s="226">
        <f>'[1]2001 Int Legal billout'!C7</f>
        <v>1.3807922398961196E-2</v>
      </c>
      <c r="D35" s="226"/>
      <c r="E35" s="227">
        <f>'[1]2001 Int Legal billout'!D7</f>
        <v>0</v>
      </c>
      <c r="F35" s="228">
        <f>'[1]2001 Int Legal billout'!E7</f>
        <v>1.1835066622519215E-2</v>
      </c>
      <c r="G35" s="226"/>
      <c r="H35" s="226">
        <f>'[1]2001 Int Legal billout'!G7</f>
        <v>0</v>
      </c>
      <c r="I35" s="107"/>
      <c r="J35" s="226">
        <f>SUM(C35:H35)</f>
        <v>2.5642989021480413E-2</v>
      </c>
      <c r="K35" s="229"/>
      <c r="L35" s="226">
        <f>+J35*12</f>
        <v>0.30771586825776498</v>
      </c>
    </row>
    <row r="36" spans="1:12" x14ac:dyDescent="0.2">
      <c r="A36" s="107"/>
      <c r="B36" s="107"/>
      <c r="C36" s="226"/>
      <c r="D36" s="220"/>
      <c r="E36" s="226"/>
      <c r="F36" s="228"/>
      <c r="G36" s="226"/>
      <c r="H36" s="226"/>
      <c r="I36" s="107"/>
      <c r="J36" s="226"/>
      <c r="K36" s="229"/>
      <c r="L36" s="226"/>
    </row>
    <row r="37" spans="1:12" x14ac:dyDescent="0.2">
      <c r="A37" s="107" t="s">
        <v>88</v>
      </c>
      <c r="B37" s="107"/>
      <c r="C37" s="226">
        <f>'[1]2001 Int Legal billout'!C9</f>
        <v>0</v>
      </c>
      <c r="D37" s="220"/>
      <c r="E37" s="226">
        <f>'[1]2001 Int Legal billout'!D9</f>
        <v>3.4129589554712974E-3</v>
      </c>
      <c r="F37" s="228">
        <f>'[1]2001 Int Legal billout'!E9</f>
        <v>2.367013324503843E-2</v>
      </c>
      <c r="G37" s="226"/>
      <c r="H37" s="226">
        <f>'[1]2001 Int Legal billout'!G9</f>
        <v>9.4324011890966342E-2</v>
      </c>
      <c r="I37" s="107"/>
      <c r="J37" s="226">
        <f>SUM(C37:H37)</f>
        <v>0.12140710409147606</v>
      </c>
      <c r="K37" s="229"/>
      <c r="L37" s="226">
        <f>+J37*12</f>
        <v>1.4568852490977129</v>
      </c>
    </row>
    <row r="38" spans="1:12" x14ac:dyDescent="0.2">
      <c r="A38" s="107"/>
      <c r="B38" s="107"/>
      <c r="C38" s="226"/>
      <c r="D38" s="220"/>
      <c r="E38" s="226"/>
      <c r="F38" s="228"/>
      <c r="G38" s="226"/>
      <c r="H38" s="226"/>
      <c r="I38" s="107"/>
      <c r="J38" s="226"/>
      <c r="K38" s="229"/>
      <c r="L38" s="226"/>
    </row>
    <row r="39" spans="1:12" x14ac:dyDescent="0.2">
      <c r="A39" s="107" t="s">
        <v>89</v>
      </c>
      <c r="B39" s="107"/>
      <c r="C39" s="226">
        <f>'[1]2001 Int Legal billout'!C11</f>
        <v>0</v>
      </c>
      <c r="D39" s="220"/>
      <c r="E39" s="226">
        <f>'[1]2001 Int Legal billout'!D11</f>
        <v>1.706473449753757E-3</v>
      </c>
      <c r="F39" s="228">
        <f>'[1]2001 Int Legal billout'!E11</f>
        <v>4.7340283212596737E-3</v>
      </c>
      <c r="G39" s="226">
        <f>100%/12</f>
        <v>8.3333333333333329E-2</v>
      </c>
      <c r="H39" s="226">
        <f>'[1]2001 Int Legal billout'!G11</f>
        <v>2.2381965668900741E-2</v>
      </c>
      <c r="I39" s="107"/>
      <c r="J39" s="226">
        <f>SUM(C39:H39)</f>
        <v>0.11215580077324751</v>
      </c>
      <c r="K39" s="229"/>
      <c r="L39" s="226">
        <f>+J39*12</f>
        <v>1.3458696092789701</v>
      </c>
    </row>
    <row r="40" spans="1:12" x14ac:dyDescent="0.2">
      <c r="A40" s="107"/>
      <c r="B40" s="107"/>
      <c r="C40" s="226"/>
      <c r="D40" s="220"/>
      <c r="E40" s="226"/>
      <c r="F40" s="228"/>
      <c r="G40" s="226"/>
      <c r="H40" s="226"/>
      <c r="I40" s="107"/>
      <c r="J40" s="226"/>
      <c r="K40" s="229"/>
      <c r="L40" s="226"/>
    </row>
    <row r="41" spans="1:12" x14ac:dyDescent="0.2">
      <c r="A41" s="107" t="s">
        <v>90</v>
      </c>
      <c r="B41" s="107"/>
      <c r="C41" s="226">
        <f>'[1]2001 Int Legal billout'!C13</f>
        <v>0</v>
      </c>
      <c r="D41" s="220"/>
      <c r="E41" s="227">
        <f>'[1]2001 Int Legal billout'!D13</f>
        <v>0</v>
      </c>
      <c r="F41" s="228">
        <f>'[1]2001 Int Legal billout'!E13</f>
        <v>3.550521240944756E-3</v>
      </c>
      <c r="G41" s="226"/>
      <c r="H41" s="226">
        <f>'[1]2001 Int Legal billout'!G13</f>
        <v>0</v>
      </c>
      <c r="I41" s="107"/>
      <c r="J41" s="226">
        <f>SUM(C41:H41)</f>
        <v>3.550521240944756E-3</v>
      </c>
      <c r="K41" s="229"/>
      <c r="L41" s="226">
        <f>+J41*12</f>
        <v>4.260625489133707E-2</v>
      </c>
    </row>
    <row r="42" spans="1:12" x14ac:dyDescent="0.2">
      <c r="A42" s="107"/>
      <c r="B42" s="107"/>
      <c r="C42" s="226"/>
      <c r="D42" s="220"/>
      <c r="E42" s="226"/>
      <c r="F42" s="228"/>
      <c r="G42" s="226"/>
      <c r="H42" s="226"/>
      <c r="I42" s="107"/>
      <c r="J42" s="226"/>
      <c r="K42" s="229"/>
      <c r="L42" s="226"/>
    </row>
    <row r="43" spans="1:12" x14ac:dyDescent="0.2">
      <c r="A43" s="107" t="s">
        <v>91</v>
      </c>
      <c r="B43" s="107"/>
      <c r="C43" s="226">
        <f>'[1]2001 Int Legal billout'!C15</f>
        <v>0</v>
      </c>
      <c r="D43" s="220"/>
      <c r="E43" s="226">
        <f>'[1]2001 Int Legal billout'!D15</f>
        <v>3.4129589554712974E-3</v>
      </c>
      <c r="F43" s="228">
        <f>'[1]2001 Int Legal billout'!E15</f>
        <v>1.538558786346397E-2</v>
      </c>
      <c r="G43" s="226"/>
      <c r="H43" s="226">
        <f>'[1]2001 Int Legal billout'!G15</f>
        <v>1.5987126402508306E-3</v>
      </c>
      <c r="I43" s="107"/>
      <c r="J43" s="226">
        <f>SUM(C43:H43)</f>
        <v>2.0397259459186096E-2</v>
      </c>
      <c r="K43" s="229"/>
      <c r="L43" s="226">
        <f>+J43*12</f>
        <v>0.24476711351023317</v>
      </c>
    </row>
    <row r="44" spans="1:12" x14ac:dyDescent="0.2">
      <c r="A44" s="107"/>
      <c r="B44" s="107"/>
      <c r="C44" s="226"/>
      <c r="D44" s="220"/>
      <c r="E44" s="226"/>
      <c r="F44" s="228"/>
      <c r="G44" s="226"/>
      <c r="H44" s="226"/>
      <c r="I44" s="107"/>
      <c r="J44" s="226"/>
      <c r="K44" s="229"/>
      <c r="L44" s="226"/>
    </row>
    <row r="45" spans="1:12" x14ac:dyDescent="0.2">
      <c r="A45" s="107" t="s">
        <v>92</v>
      </c>
      <c r="B45" s="107"/>
      <c r="C45" s="226">
        <f>'[1]2001 Int Legal billout'!C17</f>
        <v>0</v>
      </c>
      <c r="D45" s="220"/>
      <c r="E45" s="226">
        <f>'[1]2001 Int Legal billout'!D17</f>
        <v>1.706473449753757E-3</v>
      </c>
      <c r="F45" s="228">
        <f>'[1]2001 Int Legal billout'!E17</f>
        <v>1.1835070803149184E-3</v>
      </c>
      <c r="G45" s="226"/>
      <c r="H45" s="226">
        <f>'[1]2001 Int Legal billout'!G17</f>
        <v>8.7929166977268464E-3</v>
      </c>
      <c r="I45" s="107"/>
      <c r="J45" s="226">
        <f>SUM(C45:H45)</f>
        <v>1.1682897227795521E-2</v>
      </c>
      <c r="K45" s="229"/>
      <c r="L45" s="226">
        <f>+J45*12</f>
        <v>0.14019476673354625</v>
      </c>
    </row>
    <row r="46" spans="1:12" x14ac:dyDescent="0.2">
      <c r="A46" s="107"/>
      <c r="B46" s="107"/>
      <c r="C46" s="226"/>
      <c r="D46" s="220"/>
      <c r="E46" s="226"/>
      <c r="F46" s="228"/>
      <c r="G46" s="226"/>
      <c r="H46" s="226"/>
      <c r="I46" s="107"/>
      <c r="J46" s="226"/>
      <c r="K46" s="229"/>
      <c r="L46" s="226"/>
    </row>
    <row r="47" spans="1:12" x14ac:dyDescent="0.2">
      <c r="A47" s="107" t="s">
        <v>93</v>
      </c>
      <c r="B47" s="107"/>
      <c r="C47" s="230" t="s">
        <v>230</v>
      </c>
      <c r="D47" s="226"/>
      <c r="E47" s="226">
        <f>'[1]2001 Int Legal billout'!D19</f>
        <v>0</v>
      </c>
      <c r="F47" s="228">
        <f>'[1]2001 Int Legal billout'!E19</f>
        <v>0</v>
      </c>
      <c r="G47" s="226"/>
      <c r="H47" s="226">
        <f>'[1]2001 Int Legal billout'!G19</f>
        <v>0</v>
      </c>
      <c r="I47" s="107"/>
      <c r="J47" s="226">
        <f>SUM(C47:H47)</f>
        <v>0</v>
      </c>
      <c r="K47" s="229"/>
      <c r="L47" s="226">
        <f>+J47*12</f>
        <v>0</v>
      </c>
    </row>
    <row r="48" spans="1:12" x14ac:dyDescent="0.2">
      <c r="A48" s="107"/>
      <c r="B48" s="107"/>
      <c r="C48" s="226"/>
      <c r="D48" s="226"/>
      <c r="E48" s="226"/>
      <c r="F48" s="228"/>
      <c r="G48" s="226"/>
      <c r="H48" s="226"/>
      <c r="I48" s="107"/>
      <c r="J48" s="226"/>
      <c r="K48" s="229"/>
      <c r="L48" s="226"/>
    </row>
    <row r="49" spans="1:13" x14ac:dyDescent="0.2">
      <c r="A49" s="107" t="s">
        <v>96</v>
      </c>
      <c r="B49" s="107"/>
      <c r="C49" s="226">
        <f>0.05/12</f>
        <v>4.1666666666666666E-3</v>
      </c>
      <c r="D49" s="129"/>
      <c r="E49" s="226"/>
      <c r="F49" s="228"/>
      <c r="G49" s="226"/>
      <c r="H49" s="226"/>
      <c r="I49" s="107"/>
      <c r="J49" s="226">
        <f>SUM(C49:H49)</f>
        <v>4.1666666666666666E-3</v>
      </c>
      <c r="K49" s="229"/>
      <c r="L49" s="226">
        <f>+J49*12</f>
        <v>0.05</v>
      </c>
    </row>
    <row r="50" spans="1:13" x14ac:dyDescent="0.2">
      <c r="A50" s="107"/>
      <c r="B50" s="107"/>
      <c r="C50" s="226"/>
      <c r="D50" s="129"/>
      <c r="E50" s="226"/>
      <c r="F50" s="228"/>
      <c r="G50" s="226"/>
      <c r="H50" s="226"/>
      <c r="I50" s="107"/>
      <c r="J50" s="226"/>
      <c r="K50" s="229"/>
      <c r="L50" s="226"/>
    </row>
    <row r="51" spans="1:13" x14ac:dyDescent="0.2">
      <c r="A51" s="107" t="s">
        <v>94</v>
      </c>
      <c r="B51" s="107"/>
      <c r="C51" s="226"/>
      <c r="D51" s="230" t="s">
        <v>98</v>
      </c>
      <c r="E51" s="226">
        <v>0</v>
      </c>
      <c r="F51" s="228">
        <v>0</v>
      </c>
      <c r="G51" s="226"/>
      <c r="H51" s="226">
        <v>0</v>
      </c>
      <c r="I51" s="107"/>
      <c r="J51" s="226">
        <f>SUM(C51:H51)</f>
        <v>0</v>
      </c>
      <c r="K51" s="229"/>
      <c r="L51" s="226">
        <f>+J51*12</f>
        <v>0</v>
      </c>
    </row>
    <row r="52" spans="1:13" x14ac:dyDescent="0.2">
      <c r="A52" s="107"/>
      <c r="B52" s="107"/>
      <c r="C52" s="226"/>
      <c r="D52" s="226"/>
      <c r="E52" s="226"/>
      <c r="F52" s="231"/>
      <c r="G52" s="226"/>
      <c r="H52" s="226"/>
      <c r="I52" s="107"/>
      <c r="J52" s="232"/>
      <c r="K52" s="229"/>
      <c r="L52" s="232"/>
    </row>
    <row r="53" spans="1:13" ht="13.5" thickBot="1" x14ac:dyDescent="0.25">
      <c r="A53" s="107"/>
      <c r="B53" s="107"/>
      <c r="C53" s="220"/>
      <c r="D53" s="220"/>
      <c r="E53" s="226"/>
      <c r="F53" s="231"/>
      <c r="G53" s="226"/>
      <c r="H53" s="226"/>
      <c r="I53" s="107"/>
      <c r="J53" s="232"/>
      <c r="K53" s="229"/>
      <c r="L53" s="232"/>
    </row>
    <row r="54" spans="1:13" ht="13.5" thickBot="1" x14ac:dyDescent="0.25">
      <c r="A54" s="123" t="s">
        <v>75</v>
      </c>
      <c r="C54" s="233">
        <f>SUM(C35:C51)</f>
        <v>1.7974589065627863E-2</v>
      </c>
      <c r="D54" s="234"/>
      <c r="E54" s="234">
        <f>SUM(E35:E52)</f>
        <v>1.0238864810450108E-2</v>
      </c>
      <c r="F54" s="235">
        <f>SUM(F35:F52)</f>
        <v>6.0358844373540971E-2</v>
      </c>
      <c r="G54" s="235">
        <f>SUM(G35:G52)</f>
        <v>8.3333333333333329E-2</v>
      </c>
      <c r="H54" s="234">
        <f>SUM(H35:H52)</f>
        <v>0.12709760689784477</v>
      </c>
      <c r="I54" s="124"/>
      <c r="J54" s="234">
        <f>SUM(J35:J52)</f>
        <v>0.29900323848079696</v>
      </c>
      <c r="K54" s="229"/>
      <c r="L54" s="234">
        <f>SUM(L35:L52)</f>
        <v>3.5880388617695642</v>
      </c>
    </row>
    <row r="55" spans="1:13" x14ac:dyDescent="0.2">
      <c r="C55" s="225"/>
      <c r="D55" s="225"/>
      <c r="E55" s="225"/>
      <c r="F55" s="225"/>
      <c r="G55" s="236" t="s">
        <v>220</v>
      </c>
      <c r="H55" s="225"/>
    </row>
    <row r="56" spans="1:13" x14ac:dyDescent="0.2">
      <c r="C56" s="225"/>
      <c r="D56" s="225"/>
      <c r="E56" s="225"/>
      <c r="F56" s="225"/>
      <c r="G56" s="225"/>
      <c r="H56" s="225"/>
    </row>
    <row r="57" spans="1:13" x14ac:dyDescent="0.2">
      <c r="A57" t="s">
        <v>99</v>
      </c>
      <c r="C57" s="225"/>
      <c r="D57" s="225"/>
      <c r="E57" s="225"/>
      <c r="F57" s="225"/>
      <c r="G57" s="225"/>
      <c r="H57" s="225"/>
    </row>
    <row r="58" spans="1:13" x14ac:dyDescent="0.2">
      <c r="A58" t="s">
        <v>100</v>
      </c>
      <c r="C58" s="225"/>
      <c r="D58" s="225"/>
      <c r="E58" s="225"/>
      <c r="F58" s="225"/>
      <c r="G58" s="225"/>
      <c r="H58" s="225"/>
    </row>
    <row r="59" spans="1:13" x14ac:dyDescent="0.2">
      <c r="A59" t="s">
        <v>228</v>
      </c>
      <c r="C59" s="225"/>
      <c r="D59" s="225"/>
      <c r="E59" s="225"/>
      <c r="F59" s="225"/>
      <c r="G59" s="225"/>
      <c r="H59" s="225"/>
    </row>
    <row r="60" spans="1:13" x14ac:dyDescent="0.2">
      <c r="A60" t="s">
        <v>231</v>
      </c>
      <c r="C60" s="225"/>
      <c r="D60" s="225"/>
      <c r="E60" s="225"/>
      <c r="F60" s="225"/>
      <c r="G60" s="225"/>
      <c r="H60" s="225"/>
      <c r="M60" s="130" t="str">
        <f ca="1">CELL("filename",A1)</f>
        <v>C:\Users\Felienne\Enron\EnronSpreadsheets\[mark_haedicke__24604__2002 Legal-9.20.xls]2002 Plan interna legal</v>
      </c>
    </row>
    <row r="61" spans="1:13" x14ac:dyDescent="0.2">
      <c r="C61" s="225"/>
      <c r="D61" s="225"/>
      <c r="E61" s="225"/>
      <c r="F61" s="225"/>
      <c r="G61" s="225"/>
      <c r="H61" s="225"/>
    </row>
    <row r="62" spans="1:13" x14ac:dyDescent="0.2">
      <c r="A62" s="131"/>
      <c r="B62" s="107"/>
      <c r="C62" s="221"/>
      <c r="D62" s="221"/>
      <c r="E62" s="225"/>
      <c r="F62" s="225"/>
      <c r="G62" s="225"/>
      <c r="H62" s="225"/>
    </row>
    <row r="63" spans="1:13" x14ac:dyDescent="0.2">
      <c r="A63" s="131"/>
      <c r="B63" s="107"/>
      <c r="C63" s="221"/>
      <c r="D63" s="221"/>
      <c r="E63" s="225"/>
      <c r="F63" s="225"/>
      <c r="G63" s="225"/>
      <c r="H63" s="225"/>
    </row>
    <row r="64" spans="1:13" x14ac:dyDescent="0.2">
      <c r="A64" s="131"/>
      <c r="B64" s="107"/>
      <c r="C64" s="221"/>
      <c r="D64" s="221"/>
      <c r="E64" s="225"/>
      <c r="F64" s="225"/>
      <c r="G64" s="225"/>
      <c r="H64" s="225"/>
    </row>
    <row r="65" spans="1:8" x14ac:dyDescent="0.2">
      <c r="A65" s="107"/>
      <c r="B65" s="107"/>
      <c r="C65" s="221"/>
      <c r="D65" s="221"/>
      <c r="E65" s="225"/>
      <c r="F65" s="225"/>
      <c r="G65" s="225"/>
      <c r="H65" s="225"/>
    </row>
    <row r="66" spans="1:8" x14ac:dyDescent="0.2">
      <c r="C66" s="225"/>
      <c r="D66" s="225"/>
      <c r="E66" s="225"/>
      <c r="F66" s="225"/>
      <c r="G66" s="225"/>
      <c r="H66" s="225"/>
    </row>
    <row r="67" spans="1:8" x14ac:dyDescent="0.2">
      <c r="C67" s="225"/>
      <c r="D67" s="225"/>
      <c r="E67" s="225"/>
      <c r="F67" s="225"/>
      <c r="G67" s="225"/>
      <c r="H67" s="225"/>
    </row>
    <row r="68" spans="1:8" x14ac:dyDescent="0.2">
      <c r="C68" s="225"/>
      <c r="D68" s="225"/>
      <c r="E68" s="225"/>
      <c r="F68" s="225"/>
      <c r="G68" s="225"/>
      <c r="H68" s="225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workbookViewId="0">
      <selection activeCell="B2" sqref="B1:B2"/>
    </sheetView>
  </sheetViews>
  <sheetFormatPr defaultRowHeight="12.75" x14ac:dyDescent="0.2"/>
  <cols>
    <col min="1" max="1" width="13" customWidth="1"/>
    <col min="2" max="2" width="39.85546875" customWidth="1"/>
    <col min="3" max="3" width="9.140625" hidden="1" customWidth="1"/>
    <col min="4" max="4" width="14" bestFit="1" customWidth="1"/>
    <col min="5" max="5" width="22.28515625" hidden="1" customWidth="1"/>
    <col min="6" max="6" width="18.140625" hidden="1" customWidth="1"/>
    <col min="7" max="7" width="17.5703125" hidden="1" customWidth="1"/>
    <col min="8" max="8" width="19.42578125" hidden="1" customWidth="1"/>
    <col min="9" max="9" width="14.28515625" hidden="1" customWidth="1"/>
    <col min="10" max="10" width="25.5703125" hidden="1" customWidth="1"/>
    <col min="11" max="11" width="20.140625" hidden="1" customWidth="1"/>
    <col min="12" max="12" width="13.5703125" hidden="1" customWidth="1"/>
    <col min="14" max="14" width="14" bestFit="1" customWidth="1"/>
    <col min="15" max="15" width="2" style="132" customWidth="1"/>
    <col min="16" max="16" width="14" bestFit="1" customWidth="1"/>
    <col min="17" max="17" width="2" customWidth="1"/>
    <col min="18" max="18" width="9.28515625" customWidth="1"/>
  </cols>
  <sheetData>
    <row r="1" spans="1:16" x14ac:dyDescent="0.2">
      <c r="A1" s="118" t="s">
        <v>218</v>
      </c>
    </row>
    <row r="2" spans="1:16" x14ac:dyDescent="0.2">
      <c r="A2" s="118" t="s">
        <v>219</v>
      </c>
    </row>
    <row r="3" spans="1:16" x14ac:dyDescent="0.2">
      <c r="A3" s="118"/>
    </row>
    <row r="4" spans="1:16" ht="13.5" thickBot="1" x14ac:dyDescent="0.25">
      <c r="A4" s="133" t="str">
        <f ca="1">CELL("filename",A1)</f>
        <v>C:\Users\Felienne\Enron\EnronSpreadsheets\[mark_haedicke__24604__2002 Legal-9.20.xls]2002 Plan-external legal</v>
      </c>
      <c r="N4" s="126">
        <f>+P4-D73</f>
        <v>8715674.5899999999</v>
      </c>
      <c r="O4" s="134"/>
      <c r="P4" s="237">
        <f>31100000-SUM(P74:P76)</f>
        <v>20450000</v>
      </c>
    </row>
    <row r="5" spans="1:16" s="242" customFormat="1" ht="30.75" customHeight="1" thickBot="1" x14ac:dyDescent="0.25">
      <c r="A5" s="238" t="s">
        <v>101</v>
      </c>
      <c r="B5" s="223" t="s">
        <v>102</v>
      </c>
      <c r="C5" s="198" t="s">
        <v>103</v>
      </c>
      <c r="D5" s="239" t="s">
        <v>232</v>
      </c>
      <c r="E5" s="240" t="s">
        <v>104</v>
      </c>
      <c r="F5" s="223" t="s">
        <v>105</v>
      </c>
      <c r="G5" s="198" t="s">
        <v>106</v>
      </c>
      <c r="H5" s="223" t="s">
        <v>107</v>
      </c>
      <c r="I5" s="240" t="s">
        <v>108</v>
      </c>
      <c r="J5" s="223" t="s">
        <v>109</v>
      </c>
      <c r="K5" s="241" t="s">
        <v>110</v>
      </c>
      <c r="L5" s="241" t="s">
        <v>111</v>
      </c>
      <c r="N5" s="239" t="s">
        <v>233</v>
      </c>
      <c r="O5" s="243"/>
      <c r="P5" s="239" t="s">
        <v>58</v>
      </c>
    </row>
    <row r="6" spans="1:16" s="143" customFormat="1" ht="11.25" x14ac:dyDescent="0.2">
      <c r="A6" s="136">
        <v>100055</v>
      </c>
      <c r="B6" s="137" t="s">
        <v>112</v>
      </c>
      <c r="C6" s="138"/>
      <c r="D6" s="244">
        <v>607513.29</v>
      </c>
      <c r="E6" s="139">
        <f>+'[1]Jan ext legal'!E5+'[1]Feb ext legal'!E5+'[1]Mar ext legal'!E5+'[1]Apr ext legal'!E5+'[1]May ext legal'!E5+'[1]Jun ext legal'!E5+'[1]Jul ext legal'!E5</f>
        <v>607513.29</v>
      </c>
      <c r="F6" s="140">
        <f>+'[1]Jan ext legal'!F5+'[1]Feb ext legal'!F5+'[1]Mar ext legal'!F5+'[1]Apr ext legal'!F5+'[1]May ext legal'!F5+'[1]Jun ext legal'!F5+'[1]Jul ext legal'!F5</f>
        <v>0</v>
      </c>
      <c r="G6" s="139">
        <f>+'[1]Jan ext legal'!G5+'[1]Feb ext legal'!G5+'[1]Mar ext legal'!G5+'[1]Apr ext legal'!G5+'[1]May ext legal'!G5+'[1]Jun ext legal'!G5+'[1]Jul ext legal'!G5</f>
        <v>0</v>
      </c>
      <c r="H6" s="140">
        <f>+'[1]Jan ext legal'!H5+'[1]Feb ext legal'!H5+'[1]Mar ext legal'!H5+'[1]Apr ext legal'!H5+'[1]May ext legal'!H5+'[1]Jun ext legal'!H5+'[1]Jul ext legal'!H5</f>
        <v>0</v>
      </c>
      <c r="I6" s="139">
        <f>+'[1]Jan ext legal'!I5+'[1]Feb ext legal'!I5+'[1]Mar ext legal'!I5+'[1]Apr ext legal'!I5+'[1]May ext legal'!I5+'[1]Jun ext legal'!I5+'[1]Jul ext legal'!I5</f>
        <v>0</v>
      </c>
      <c r="J6" s="140">
        <f>+'[1]Jan ext legal'!K5+'[1]Feb ext legal'!K5+'[1]Mar ext legal'!K5+'[1]Apr ext legal'!K5+'[1]May ext legal'!K5+'[1]Jun ext legal'!K5+'[1]Jul ext legal'!K5</f>
        <v>0</v>
      </c>
      <c r="K6" s="140">
        <f>+'[1]Jan ext legal'!L5+'[1]Feb ext legal'!L5+'[1]Mar ext legal'!L5+'[1]Apr ext legal'!L5+'[1]May ext legal'!L5+'[1]Jun ext legal'!L5+'[1]Jul ext legal'!L5</f>
        <v>0</v>
      </c>
      <c r="L6" s="140">
        <f>+'[1]Jan ext legal'!M5+'[1]Feb ext legal'!M5+'[1]Mar ext legal'!M5+'[1]Apr ext legal'!M5+'[1]May ext legal'!M5+'[1]Jun ext legal'!M5+'[1]Jul ext legal'!M5</f>
        <v>0</v>
      </c>
      <c r="M6" s="141">
        <f t="shared" ref="M6:M69" si="0">+D6/D$73</f>
        <v>5.1772323399372988E-2</v>
      </c>
      <c r="N6" s="141">
        <f>+N$4*M6</f>
        <v>451230.72351717757</v>
      </c>
      <c r="O6" s="142"/>
      <c r="P6" s="141">
        <f>SUM(D6+N6)</f>
        <v>1058744.0135171777</v>
      </c>
    </row>
    <row r="7" spans="1:16" s="143" customFormat="1" ht="11.25" x14ac:dyDescent="0.2">
      <c r="A7" s="144">
        <v>100106</v>
      </c>
      <c r="B7" s="143" t="s">
        <v>113</v>
      </c>
      <c r="C7" s="143" t="s">
        <v>114</v>
      </c>
      <c r="D7" s="245">
        <v>0</v>
      </c>
      <c r="E7" s="145">
        <f>+'[1]Jan ext legal'!E6+'[1]Feb ext legal'!E6+'[1]Mar ext legal'!E6+'[1]Apr ext legal'!E6+'[1]May ext legal'!E6+'[1]Jun ext legal'!E6+'[1]Jul ext legal'!E6</f>
        <v>0</v>
      </c>
      <c r="F7" s="146">
        <f>+'[1]Jan ext legal'!F6+'[1]Feb ext legal'!F6+'[1]Mar ext legal'!F6+'[1]Apr ext legal'!F6+'[1]May ext legal'!F6+'[1]Jun ext legal'!F6+'[1]Jul ext legal'!F6</f>
        <v>0</v>
      </c>
      <c r="G7" s="145">
        <f>+'[1]Jan ext legal'!G6+'[1]Feb ext legal'!G6+'[1]Mar ext legal'!G6+'[1]Apr ext legal'!G6+'[1]May ext legal'!G6+'[1]Jun ext legal'!G6+'[1]Jul ext legal'!G6</f>
        <v>0</v>
      </c>
      <c r="H7" s="146">
        <f>+'[1]Jan ext legal'!H6+'[1]Feb ext legal'!H6+'[1]Mar ext legal'!H6+'[1]Apr ext legal'!H6+'[1]May ext legal'!H6+'[1]Jun ext legal'!H6+'[1]Jul ext legal'!H6</f>
        <v>0</v>
      </c>
      <c r="I7" s="145">
        <f>+'[1]Jan ext legal'!I6+'[1]Feb ext legal'!I6+'[1]Mar ext legal'!I6+'[1]Apr ext legal'!I6+'[1]May ext legal'!I6+'[1]Jun ext legal'!I6+'[1]Jul ext legal'!I6</f>
        <v>0</v>
      </c>
      <c r="J7" s="146">
        <f>+'[1]Jan ext legal'!K6+'[1]Feb ext legal'!K6+'[1]Mar ext legal'!K6+'[1]Apr ext legal'!K6+'[1]May ext legal'!K6+'[1]Jun ext legal'!K6+'[1]Jul ext legal'!K6</f>
        <v>0</v>
      </c>
      <c r="K7" s="146">
        <f>+'[1]Jan ext legal'!L6+'[1]Feb ext legal'!L6+'[1]Mar ext legal'!L6+'[1]Apr ext legal'!L6+'[1]May ext legal'!L6+'[1]Jun ext legal'!L6+'[1]Jul ext legal'!L6</f>
        <v>0</v>
      </c>
      <c r="L7" s="146">
        <f>+'[1]Jan ext legal'!M6+'[1]Feb ext legal'!M6+'[1]Mar ext legal'!M6+'[1]Apr ext legal'!M6+'[1]May ext legal'!M6+'[1]Jun ext legal'!M6+'[1]Jul ext legal'!M6</f>
        <v>0</v>
      </c>
      <c r="M7" s="148">
        <f t="shared" si="0"/>
        <v>0</v>
      </c>
      <c r="N7" s="148">
        <f t="shared" ref="N7:N69" si="1">+N$4*M7</f>
        <v>0</v>
      </c>
      <c r="O7" s="147"/>
      <c r="P7" s="148">
        <f t="shared" ref="P7:P69" si="2">SUM(D7+N7)</f>
        <v>0</v>
      </c>
    </row>
    <row r="8" spans="1:16" s="143" customFormat="1" ht="11.25" x14ac:dyDescent="0.2">
      <c r="A8" s="136">
        <v>100663</v>
      </c>
      <c r="B8" s="137" t="s">
        <v>115</v>
      </c>
      <c r="C8" s="137" t="s">
        <v>114</v>
      </c>
      <c r="D8" s="244">
        <v>436924.23</v>
      </c>
      <c r="E8" s="139">
        <f>+'[1]Jan ext legal'!E7+'[1]Feb ext legal'!E7+'[1]Mar ext legal'!E7+'[1]Apr ext legal'!E7+'[1]May ext legal'!E7+'[1]Jun ext legal'!E7+'[1]Jul ext legal'!E7</f>
        <v>0</v>
      </c>
      <c r="F8" s="140">
        <f>+'[1]Jan ext legal'!F7+'[1]Feb ext legal'!F7+'[1]Mar ext legal'!F7+'[1]Apr ext legal'!F7+'[1]May ext legal'!F7+'[1]Jun ext legal'!F7+'[1]Jul ext legal'!F7</f>
        <v>0</v>
      </c>
      <c r="G8" s="139">
        <f>+'[1]Jan ext legal'!G7+'[1]Feb ext legal'!G7+'[1]Mar ext legal'!G7+'[1]Apr ext legal'!G7+'[1]May ext legal'!G7+'[1]Jun ext legal'!G7+'[1]Jul ext legal'!G7</f>
        <v>240967.85</v>
      </c>
      <c r="H8" s="140">
        <f>+'[1]Jan ext legal'!H7+'[1]Feb ext legal'!H7+'[1]Mar ext legal'!H7+'[1]Apr ext legal'!H7+'[1]May ext legal'!H7+'[1]Jun ext legal'!H7+'[1]Jul ext legal'!H7</f>
        <v>10621.78</v>
      </c>
      <c r="I8" s="139">
        <f>+'[1]Jan ext legal'!I7+'[1]Feb ext legal'!I7+'[1]Mar ext legal'!I7+'[1]Apr ext legal'!I7+'[1]May ext legal'!I7+'[1]Jun ext legal'!I7+'[1]Jul ext legal'!I7</f>
        <v>177674.08</v>
      </c>
      <c r="J8" s="140">
        <f>+'[1]Jan ext legal'!K7+'[1]Feb ext legal'!K7+'[1]Mar ext legal'!K7+'[1]Apr ext legal'!K7+'[1]May ext legal'!K7+'[1]Jun ext legal'!K7+'[1]Jul ext legal'!K7</f>
        <v>7660.52</v>
      </c>
      <c r="K8" s="140">
        <f>+'[1]Jan ext legal'!L7+'[1]Feb ext legal'!L7+'[1]Mar ext legal'!L7+'[1]Apr ext legal'!L7+'[1]May ext legal'!L7+'[1]Jun ext legal'!L7+'[1]Jul ext legal'!L7</f>
        <v>0</v>
      </c>
      <c r="L8" s="140">
        <f>+'[1]Jan ext legal'!M7+'[1]Feb ext legal'!M7+'[1]Mar ext legal'!M7+'[1]Apr ext legal'!M7+'[1]May ext legal'!M7+'[1]Jun ext legal'!M7+'[1]Jul ext legal'!M7</f>
        <v>0</v>
      </c>
      <c r="M8" s="141">
        <f t="shared" si="0"/>
        <v>3.7234712242397237E-2</v>
      </c>
      <c r="N8" s="141">
        <f t="shared" si="1"/>
        <v>324525.63535702351</v>
      </c>
      <c r="O8" s="142"/>
      <c r="P8" s="141">
        <f t="shared" si="2"/>
        <v>761449.86535702343</v>
      </c>
    </row>
    <row r="9" spans="1:16" s="143" customFormat="1" ht="11.25" x14ac:dyDescent="0.2">
      <c r="A9" s="136">
        <v>102564</v>
      </c>
      <c r="B9" s="137" t="s">
        <v>116</v>
      </c>
      <c r="C9" s="137" t="s">
        <v>114</v>
      </c>
      <c r="D9" s="244">
        <v>3841.81</v>
      </c>
      <c r="E9" s="139">
        <f>+'[1]Jan ext legal'!E8+'[1]Feb ext legal'!E8+'[1]Mar ext legal'!E8+'[1]Apr ext legal'!E8+'[1]May ext legal'!E8+'[1]Jun ext legal'!E8+'[1]Jul ext legal'!E8</f>
        <v>0</v>
      </c>
      <c r="F9" s="140">
        <f>+'[1]Jan ext legal'!F8+'[1]Feb ext legal'!F8+'[1]Mar ext legal'!F8+'[1]Apr ext legal'!F8+'[1]May ext legal'!F8+'[1]Jun ext legal'!F8+'[1]Jul ext legal'!F8</f>
        <v>0</v>
      </c>
      <c r="G9" s="139">
        <f>+'[1]Jan ext legal'!G8+'[1]Feb ext legal'!G8+'[1]Mar ext legal'!G8+'[1]Apr ext legal'!G8+'[1]May ext legal'!G8+'[1]Jun ext legal'!G8+'[1]Jul ext legal'!G8</f>
        <v>0</v>
      </c>
      <c r="H9" s="140">
        <f>+'[1]Jan ext legal'!H8+'[1]Feb ext legal'!H8+'[1]Mar ext legal'!H8+'[1]Apr ext legal'!H8+'[1]May ext legal'!H8+'[1]Jun ext legal'!H8+'[1]Jul ext legal'!H8</f>
        <v>0</v>
      </c>
      <c r="I9" s="139">
        <f>+'[1]Jan ext legal'!I8+'[1]Feb ext legal'!I8+'[1]Mar ext legal'!I8+'[1]Apr ext legal'!I8+'[1]May ext legal'!I8+'[1]Jun ext legal'!I8+'[1]Jul ext legal'!I8</f>
        <v>3841.81</v>
      </c>
      <c r="J9" s="140">
        <f>+'[1]Jan ext legal'!K8+'[1]Feb ext legal'!K8+'[1]Mar ext legal'!K8+'[1]Apr ext legal'!K8+'[1]May ext legal'!K8+'[1]Jun ext legal'!K8+'[1]Jul ext legal'!K8</f>
        <v>0</v>
      </c>
      <c r="K9" s="140">
        <f>+'[1]Jan ext legal'!L8+'[1]Feb ext legal'!L8+'[1]Mar ext legal'!L8+'[1]Apr ext legal'!L8+'[1]May ext legal'!L8+'[1]Jun ext legal'!L8+'[1]Jul ext legal'!L8</f>
        <v>0</v>
      </c>
      <c r="L9" s="140">
        <f>+'[1]Jan ext legal'!M8+'[1]Feb ext legal'!M8+'[1]Mar ext legal'!M8+'[1]Apr ext legal'!M8+'[1]May ext legal'!M8+'[1]Jun ext legal'!M8+'[1]Jul ext legal'!M8</f>
        <v>0</v>
      </c>
      <c r="M9" s="141">
        <f t="shared" si="0"/>
        <v>3.2739930637393157E-4</v>
      </c>
      <c r="N9" s="141">
        <f t="shared" si="1"/>
        <v>2853.5058153469004</v>
      </c>
      <c r="O9" s="142"/>
      <c r="P9" s="141">
        <f t="shared" si="2"/>
        <v>6695.3158153469003</v>
      </c>
    </row>
    <row r="10" spans="1:16" s="143" customFormat="1" ht="11.25" x14ac:dyDescent="0.2">
      <c r="A10" s="136">
        <v>103478</v>
      </c>
      <c r="B10" s="137" t="s">
        <v>117</v>
      </c>
      <c r="C10" s="137" t="s">
        <v>114</v>
      </c>
      <c r="D10" s="244">
        <v>0</v>
      </c>
      <c r="E10" s="139">
        <v>0</v>
      </c>
      <c r="F10" s="140">
        <f>+'[1]Jan ext legal'!F9+'[1]Feb ext legal'!F9+'[1]Mar ext legal'!F9+'[1]Apr ext legal'!F9+'[1]May ext legal'!F9+'[1]Jun ext legal'!F9+'[1]Jul ext legal'!F9</f>
        <v>17528.400000000001</v>
      </c>
      <c r="G10" s="139">
        <f>+'[1]Jan ext legal'!G9+'[1]Feb ext legal'!G9+'[1]Mar ext legal'!G9+'[1]Apr ext legal'!G9+'[1]May ext legal'!G9+'[1]Jun ext legal'!G9+'[1]Jul ext legal'!G9</f>
        <v>0</v>
      </c>
      <c r="H10" s="140">
        <f>+'[1]Jan ext legal'!H9+'[1]Feb ext legal'!H9+'[1]Mar ext legal'!H9+'[1]Apr ext legal'!H9+'[1]May ext legal'!H9+'[1]Jun ext legal'!H9+'[1]Jul ext legal'!H9</f>
        <v>0</v>
      </c>
      <c r="I10" s="139">
        <f>+'[1]Jan ext legal'!I9+'[1]Feb ext legal'!I9+'[1]Mar ext legal'!I9+'[1]Apr ext legal'!I9+'[1]May ext legal'!I9+'[1]Jun ext legal'!I9+'[1]Jul ext legal'!I9</f>
        <v>0</v>
      </c>
      <c r="J10" s="140">
        <f>+'[1]Jan ext legal'!K9+'[1]Feb ext legal'!K9+'[1]Mar ext legal'!K9+'[1]Apr ext legal'!K9+'[1]May ext legal'!K9+'[1]Jun ext legal'!K9+'[1]Jul ext legal'!K9</f>
        <v>0</v>
      </c>
      <c r="K10" s="140">
        <f>+'[1]Jan ext legal'!L9+'[1]Feb ext legal'!L9+'[1]Mar ext legal'!L9+'[1]Apr ext legal'!L9+'[1]May ext legal'!L9+'[1]Jun ext legal'!L9+'[1]Jul ext legal'!L9</f>
        <v>0</v>
      </c>
      <c r="L10" s="140">
        <f>+'[1]Jan ext legal'!M9+'[1]Feb ext legal'!M9+'[1]Mar ext legal'!M9+'[1]Apr ext legal'!M9+'[1]May ext legal'!M9+'[1]Jun ext legal'!M9+'[1]Jul ext legal'!M9</f>
        <v>7792.82</v>
      </c>
      <c r="M10" s="141">
        <f t="shared" si="0"/>
        <v>0</v>
      </c>
      <c r="N10" s="141">
        <f t="shared" si="1"/>
        <v>0</v>
      </c>
      <c r="O10" s="142"/>
      <c r="P10" s="141">
        <f t="shared" si="2"/>
        <v>0</v>
      </c>
    </row>
    <row r="11" spans="1:16" s="143" customFormat="1" ht="11.25" x14ac:dyDescent="0.2">
      <c r="A11" s="136">
        <v>105168</v>
      </c>
      <c r="B11" s="137" t="s">
        <v>120</v>
      </c>
      <c r="C11" s="137" t="s">
        <v>114</v>
      </c>
      <c r="D11" s="244">
        <v>28862.77</v>
      </c>
      <c r="E11" s="139">
        <f>+'[1]Jan ext legal'!E11+'[1]Feb ext legal'!E11+'[1]Mar ext legal'!E11+'[1]Apr ext legal'!E11+'[1]May ext legal'!E11+'[1]Jun ext legal'!E11+'[1]Jul ext legal'!E11</f>
        <v>0</v>
      </c>
      <c r="F11" s="140">
        <f>+'[1]Jan ext legal'!F11+'[1]Feb ext legal'!F11+'[1]Mar ext legal'!F11+'[1]Apr ext legal'!F11+'[1]May ext legal'!F11+'[1]Jun ext legal'!F11+'[1]Jul ext legal'!F11</f>
        <v>0</v>
      </c>
      <c r="G11" s="139">
        <f>+'[1]Jan ext legal'!G11+'[1]Feb ext legal'!G11+'[1]Mar ext legal'!G11+'[1]Apr ext legal'!G11+'[1]May ext legal'!G11+'[1]Jun ext legal'!G11+'[1]Jul ext legal'!G11</f>
        <v>0</v>
      </c>
      <c r="H11" s="140">
        <f>+'[1]Jan ext legal'!H11+'[1]Feb ext legal'!H11+'[1]Mar ext legal'!H11+'[1]Apr ext legal'!H11+'[1]May ext legal'!H11+'[1]Jun ext legal'!H11+'[1]Jul ext legal'!H11</f>
        <v>0</v>
      </c>
      <c r="I11" s="139">
        <f>+'[1]Jan ext legal'!I11+'[1]Feb ext legal'!I11+'[1]Mar ext legal'!I11+'[1]Apr ext legal'!I11+'[1]May ext legal'!I11+'[1]Jun ext legal'!I11+'[1]Jul ext legal'!I11</f>
        <v>0</v>
      </c>
      <c r="J11" s="140">
        <f>+'[1]Jan ext legal'!K11+'[1]Feb ext legal'!K11+'[1]Mar ext legal'!K11+'[1]Apr ext legal'!K11+'[1]May ext legal'!K11+'[1]Jun ext legal'!K11+'[1]Jul ext legal'!K11</f>
        <v>0</v>
      </c>
      <c r="K11" s="140">
        <f>+'[1]Jan ext legal'!L11+'[1]Feb ext legal'!L11+'[1]Mar ext legal'!L11+'[1]Apr ext legal'!L11+'[1]May ext legal'!L11+'[1]Jun ext legal'!L11+'[1]Jul ext legal'!L11</f>
        <v>28862.769999999997</v>
      </c>
      <c r="L11" s="140">
        <f>+'[1]Jan ext legal'!M11+'[1]Feb ext legal'!M11+'[1]Mar ext legal'!M11+'[1]Apr ext legal'!M11+'[1]May ext legal'!M11+'[1]Jun ext legal'!M11+'[1]Jul ext legal'!M11</f>
        <v>0</v>
      </c>
      <c r="M11" s="141">
        <f t="shared" si="0"/>
        <v>2.4596871990104456E-3</v>
      </c>
      <c r="N11" s="141">
        <f t="shared" si="1"/>
        <v>21437.833219763612</v>
      </c>
      <c r="O11" s="142"/>
      <c r="P11" s="141">
        <f t="shared" si="2"/>
        <v>50300.603219763609</v>
      </c>
    </row>
    <row r="12" spans="1:16" s="143" customFormat="1" ht="11.25" x14ac:dyDescent="0.2">
      <c r="A12" s="144">
        <v>105249</v>
      </c>
      <c r="B12" s="143" t="s">
        <v>121</v>
      </c>
      <c r="C12" s="137" t="s">
        <v>114</v>
      </c>
      <c r="D12" s="245">
        <v>0</v>
      </c>
      <c r="E12" s="145">
        <f>+'[1]Jan ext legal'!E12+'[1]Feb ext legal'!E12+'[1]Mar ext legal'!E12+'[1]Apr ext legal'!E12+'[1]May ext legal'!E12+'[1]Jun ext legal'!E12+'[1]Jul ext legal'!E12</f>
        <v>0</v>
      </c>
      <c r="F12" s="146">
        <f>+'[1]Jan ext legal'!F12+'[1]Feb ext legal'!F12+'[1]Mar ext legal'!F12+'[1]Apr ext legal'!F12+'[1]May ext legal'!F12+'[1]Jun ext legal'!F12+'[1]Jul ext legal'!F12</f>
        <v>0</v>
      </c>
      <c r="G12" s="145">
        <f>+'[1]Jan ext legal'!G12+'[1]Feb ext legal'!G12+'[1]Mar ext legal'!G12+'[1]Apr ext legal'!G12+'[1]May ext legal'!G12+'[1]Jun ext legal'!G12+'[1]Jul ext legal'!G12</f>
        <v>0</v>
      </c>
      <c r="H12" s="146">
        <f>+'[1]Jan ext legal'!H12+'[1]Feb ext legal'!H12+'[1]Mar ext legal'!H12+'[1]Apr ext legal'!H12+'[1]May ext legal'!H12+'[1]Jun ext legal'!H12+'[1]Jul ext legal'!H12</f>
        <v>0</v>
      </c>
      <c r="I12" s="145">
        <f>+'[1]Jan ext legal'!I12+'[1]Feb ext legal'!I12+'[1]Mar ext legal'!I12+'[1]Apr ext legal'!I12+'[1]May ext legal'!I12+'[1]Jun ext legal'!I12+'[1]Jul ext legal'!I12</f>
        <v>0</v>
      </c>
      <c r="J12" s="146">
        <f>+'[1]Jan ext legal'!K12+'[1]Feb ext legal'!K12+'[1]Mar ext legal'!K12+'[1]Apr ext legal'!K12+'[1]May ext legal'!K12+'[1]Jun ext legal'!K12+'[1]Jul ext legal'!K12</f>
        <v>0</v>
      </c>
      <c r="K12" s="146">
        <f>+'[1]Jan ext legal'!L12+'[1]Feb ext legal'!L12+'[1]Mar ext legal'!L12+'[1]Apr ext legal'!L12+'[1]May ext legal'!L12+'[1]Jun ext legal'!L12+'[1]Jul ext legal'!L12</f>
        <v>0</v>
      </c>
      <c r="L12" s="146">
        <f>+'[1]Jan ext legal'!M12+'[1]Feb ext legal'!M12+'[1]Mar ext legal'!M12+'[1]Apr ext legal'!M12+'[1]May ext legal'!M12+'[1]Jun ext legal'!M12+'[1]Jul ext legal'!M12</f>
        <v>0</v>
      </c>
      <c r="M12" s="148">
        <f t="shared" si="0"/>
        <v>0</v>
      </c>
      <c r="N12" s="148">
        <f t="shared" si="1"/>
        <v>0</v>
      </c>
      <c r="O12" s="147"/>
      <c r="P12" s="148">
        <f t="shared" si="2"/>
        <v>0</v>
      </c>
    </row>
    <row r="13" spans="1:16" s="143" customFormat="1" ht="11.25" x14ac:dyDescent="0.2">
      <c r="A13" s="144">
        <v>105713</v>
      </c>
      <c r="B13" s="143" t="s">
        <v>122</v>
      </c>
      <c r="C13" s="143" t="s">
        <v>114</v>
      </c>
      <c r="D13" s="245">
        <v>11214.54</v>
      </c>
      <c r="E13" s="145">
        <f>+'[1]Jan ext legal'!E13+'[1]Feb ext legal'!E13+'[1]Mar ext legal'!E13+'[1]Apr ext legal'!E13+'[1]May ext legal'!E13+'[1]Jun ext legal'!E13+'[1]Jul ext legal'!E13</f>
        <v>0</v>
      </c>
      <c r="F13" s="146">
        <f>+'[1]Jan ext legal'!F13+'[1]Feb ext legal'!F13+'[1]Mar ext legal'!F13+'[1]Apr ext legal'!F13+'[1]May ext legal'!F13+'[1]Jun ext legal'!F13+'[1]Jul ext legal'!F13</f>
        <v>0</v>
      </c>
      <c r="G13" s="145">
        <f>+'[1]Jan ext legal'!G13+'[1]Feb ext legal'!G13+'[1]Mar ext legal'!G13+'[1]Apr ext legal'!G13+'[1]May ext legal'!G13+'[1]Jun ext legal'!G13+'[1]Jul ext legal'!G13</f>
        <v>0</v>
      </c>
      <c r="H13" s="146">
        <f>+'[1]Jan ext legal'!H13+'[1]Feb ext legal'!H13+'[1]Mar ext legal'!H13+'[1]Apr ext legal'!H13+'[1]May ext legal'!H13+'[1]Jun ext legal'!H13+'[1]Jul ext legal'!H13</f>
        <v>0</v>
      </c>
      <c r="I13" s="145">
        <f>+'[1]Jan ext legal'!I13+'[1]Feb ext legal'!I13+'[1]Mar ext legal'!I13+'[1]Apr ext legal'!I13+'[1]May ext legal'!I13+'[1]Jun ext legal'!I13+'[1]Jul ext legal'!I13</f>
        <v>0</v>
      </c>
      <c r="J13" s="146">
        <f>+'[1]Jan ext legal'!K13+'[1]Feb ext legal'!K13+'[1]Mar ext legal'!K13+'[1]Apr ext legal'!K13+'[1]May ext legal'!K13+'[1]Jun ext legal'!K13+'[1]Jul ext legal'!K13</f>
        <v>11214.54</v>
      </c>
      <c r="K13" s="146">
        <f>+'[1]Jan ext legal'!L13+'[1]Feb ext legal'!L13+'[1]Mar ext legal'!L13+'[1]Apr ext legal'!L13+'[1]May ext legal'!L13+'[1]Jun ext legal'!L13+'[1]Jul ext legal'!L13</f>
        <v>0</v>
      </c>
      <c r="L13" s="146">
        <f>+'[1]Jan ext legal'!M13+'[1]Feb ext legal'!M13+'[1]Mar ext legal'!M13+'[1]Apr ext legal'!M13+'[1]May ext legal'!M13+'[1]Jun ext legal'!M13+'[1]Jul ext legal'!M13</f>
        <v>0</v>
      </c>
      <c r="M13" s="148">
        <f t="shared" si="0"/>
        <v>9.5570385242963883E-4</v>
      </c>
      <c r="N13" s="148">
        <f t="shared" si="1"/>
        <v>8329.6037821861137</v>
      </c>
      <c r="O13" s="147"/>
      <c r="P13" s="148">
        <f t="shared" si="2"/>
        <v>19544.143782186115</v>
      </c>
    </row>
    <row r="14" spans="1:16" s="143" customFormat="1" ht="11.25" x14ac:dyDescent="0.2">
      <c r="A14" s="144">
        <v>105751</v>
      </c>
      <c r="B14" s="143" t="s">
        <v>123</v>
      </c>
      <c r="C14" s="143" t="s">
        <v>124</v>
      </c>
      <c r="D14" s="245">
        <v>102342.67</v>
      </c>
      <c r="E14" s="145">
        <f>+'[1]Jan ext legal'!E14+'[1]Feb ext legal'!E14+'[1]Mar ext legal'!E14+'[1]Apr ext legal'!E14+'[1]May ext legal'!E14+'[1]Jun ext legal'!E14+'[1]Jul ext legal'!E14</f>
        <v>95299.11</v>
      </c>
      <c r="F14" s="146">
        <f>+'[1]Jan ext legal'!F14+'[1]Feb ext legal'!F14+'[1]Mar ext legal'!F14+'[1]Apr ext legal'!F14+'[1]May ext legal'!F14+'[1]Jun ext legal'!F14+'[1]Jul ext legal'!F14</f>
        <v>0</v>
      </c>
      <c r="G14" s="145">
        <f>+'[1]Jan ext legal'!G14+'[1]Feb ext legal'!G14+'[1]Mar ext legal'!G14+'[1]Apr ext legal'!G14+'[1]May ext legal'!G14+'[1]Jun ext legal'!G14+'[1]Jul ext legal'!G14</f>
        <v>0</v>
      </c>
      <c r="H14" s="146">
        <f>+'[1]Jan ext legal'!H14+'[1]Feb ext legal'!H14+'[1]Mar ext legal'!H14+'[1]Apr ext legal'!H14+'[1]May ext legal'!H14+'[1]Jun ext legal'!H14+'[1]Jul ext legal'!H14</f>
        <v>7043.56</v>
      </c>
      <c r="I14" s="145">
        <f>+'[1]Jan ext legal'!I14+'[1]Feb ext legal'!I14+'[1]Mar ext legal'!I14+'[1]Apr ext legal'!I14+'[1]May ext legal'!I14+'[1]Jun ext legal'!I14+'[1]Jul ext legal'!I14</f>
        <v>0</v>
      </c>
      <c r="J14" s="146">
        <f>+'[1]Jan ext legal'!K14+'[1]Feb ext legal'!K14+'[1]Mar ext legal'!K14+'[1]Apr ext legal'!K14+'[1]May ext legal'!K14+'[1]Jun ext legal'!K14+'[1]Jul ext legal'!K14</f>
        <v>0</v>
      </c>
      <c r="K14" s="146">
        <f>+'[1]Jan ext legal'!L14+'[1]Feb ext legal'!L14+'[1]Mar ext legal'!L14+'[1]Apr ext legal'!L14+'[1]May ext legal'!L14+'[1]Jun ext legal'!L14+'[1]Jul ext legal'!L14</f>
        <v>0</v>
      </c>
      <c r="L14" s="146">
        <f>+'[1]Jan ext legal'!M14+'[1]Feb ext legal'!M14+'[1]Mar ext legal'!M14+'[1]Apr ext legal'!M14+'[1]May ext legal'!M14+'[1]Jun ext legal'!M14+'[1]Jul ext legal'!M14</f>
        <v>0</v>
      </c>
      <c r="M14" s="148">
        <f t="shared" si="0"/>
        <v>8.7216492149419598E-3</v>
      </c>
      <c r="N14" s="148">
        <f t="shared" si="1"/>
        <v>76015.056445563081</v>
      </c>
      <c r="O14" s="147"/>
      <c r="P14" s="148">
        <f t="shared" si="2"/>
        <v>178357.72644556308</v>
      </c>
    </row>
    <row r="15" spans="1:16" s="143" customFormat="1" ht="11.25" x14ac:dyDescent="0.2">
      <c r="A15" s="144">
        <v>105999</v>
      </c>
      <c r="B15" s="143" t="s">
        <v>125</v>
      </c>
      <c r="D15" s="245">
        <v>0</v>
      </c>
      <c r="E15" s="145">
        <f>+'[1]Jan ext legal'!E15+'[1]Feb ext legal'!E15+'[1]Mar ext legal'!E15+'[1]Apr ext legal'!E15+'[1]May ext legal'!E15+'[1]Jun ext legal'!E15+'[1]Jul ext legal'!E15</f>
        <v>0</v>
      </c>
      <c r="F15" s="146">
        <f>+'[1]Jan ext legal'!F15+'[1]Feb ext legal'!F15+'[1]Mar ext legal'!F15+'[1]Apr ext legal'!F15+'[1]May ext legal'!F15+'[1]Jun ext legal'!F15+'[1]Jul ext legal'!F15</f>
        <v>0</v>
      </c>
      <c r="G15" s="145">
        <f>+'[1]Jan ext legal'!G15+'[1]Feb ext legal'!G15+'[1]Mar ext legal'!G15+'[1]Apr ext legal'!G15+'[1]May ext legal'!G15+'[1]Jun ext legal'!G15+'[1]Jul ext legal'!G15</f>
        <v>0</v>
      </c>
      <c r="H15" s="146">
        <f>+'[1]Jan ext legal'!H15+'[1]Feb ext legal'!H15+'[1]Mar ext legal'!H15+'[1]Apr ext legal'!H15+'[1]May ext legal'!H15+'[1]Jun ext legal'!H15+'[1]Jul ext legal'!H15</f>
        <v>0</v>
      </c>
      <c r="I15" s="145">
        <f>+'[1]Jan ext legal'!I15+'[1]Feb ext legal'!I15+'[1]Mar ext legal'!I15+'[1]Apr ext legal'!I15+'[1]May ext legal'!I15+'[1]Jun ext legal'!I15+'[1]Jul ext legal'!I15</f>
        <v>0</v>
      </c>
      <c r="J15" s="146">
        <f>+'[1]Jan ext legal'!K15+'[1]Feb ext legal'!K15+'[1]Mar ext legal'!K15+'[1]Apr ext legal'!K15+'[1]May ext legal'!K15+'[1]Jun ext legal'!K15+'[1]Jul ext legal'!K15</f>
        <v>0</v>
      </c>
      <c r="K15" s="146">
        <f>+'[1]Jan ext legal'!L15+'[1]Feb ext legal'!L15+'[1]Mar ext legal'!L15+'[1]Apr ext legal'!L15+'[1]May ext legal'!L15+'[1]Jun ext legal'!L15+'[1]Jul ext legal'!L15</f>
        <v>0</v>
      </c>
      <c r="L15" s="146">
        <f>+'[1]Jan ext legal'!M15+'[1]Feb ext legal'!M15+'[1]Mar ext legal'!M15+'[1]Apr ext legal'!M15+'[1]May ext legal'!M15+'[1]Jun ext legal'!M15+'[1]Jul ext legal'!M15</f>
        <v>0</v>
      </c>
      <c r="M15" s="148">
        <f t="shared" si="0"/>
        <v>0</v>
      </c>
      <c r="N15" s="148">
        <f t="shared" si="1"/>
        <v>0</v>
      </c>
      <c r="O15" s="147"/>
      <c r="P15" s="148">
        <f t="shared" si="2"/>
        <v>0</v>
      </c>
    </row>
    <row r="16" spans="1:16" s="143" customFormat="1" ht="11.25" x14ac:dyDescent="0.2">
      <c r="A16" s="144">
        <v>106005</v>
      </c>
      <c r="B16" s="143" t="s">
        <v>126</v>
      </c>
      <c r="D16" s="245">
        <v>0</v>
      </c>
      <c r="E16" s="145">
        <f>+'[1]Jan ext legal'!E16+'[1]Feb ext legal'!E16+'[1]Mar ext legal'!E16+'[1]Apr ext legal'!E16+'[1]May ext legal'!E16+'[1]Jun ext legal'!E16+'[1]Jul ext legal'!E16</f>
        <v>0</v>
      </c>
      <c r="F16" s="146">
        <f>+'[1]Jan ext legal'!F16+'[1]Feb ext legal'!F16+'[1]Mar ext legal'!F16+'[1]Apr ext legal'!F16+'[1]May ext legal'!F16+'[1]Jun ext legal'!F16+'[1]Jul ext legal'!F16</f>
        <v>0</v>
      </c>
      <c r="G16" s="145">
        <f>+'[1]Jan ext legal'!G16+'[1]Feb ext legal'!G16+'[1]Mar ext legal'!G16+'[1]Apr ext legal'!G16+'[1]May ext legal'!G16+'[1]Jun ext legal'!G16+'[1]Jul ext legal'!G16</f>
        <v>0</v>
      </c>
      <c r="H16" s="146">
        <f>+'[1]Jan ext legal'!H16+'[1]Feb ext legal'!H16+'[1]Mar ext legal'!H16+'[1]Apr ext legal'!H16+'[1]May ext legal'!H16+'[1]Jun ext legal'!H16+'[1]Jul ext legal'!H16</f>
        <v>0</v>
      </c>
      <c r="I16" s="145">
        <f>+'[1]Jan ext legal'!I16+'[1]Feb ext legal'!I16+'[1]Mar ext legal'!I16+'[1]Apr ext legal'!I16+'[1]May ext legal'!I16+'[1]Jun ext legal'!I16+'[1]Jul ext legal'!I16</f>
        <v>0</v>
      </c>
      <c r="J16" s="146">
        <f>+'[1]Jan ext legal'!K16+'[1]Feb ext legal'!K16+'[1]Mar ext legal'!K16+'[1]Apr ext legal'!K16+'[1]May ext legal'!K16+'[1]Jun ext legal'!K16+'[1]Jul ext legal'!K16</f>
        <v>0</v>
      </c>
      <c r="K16" s="146">
        <f>+'[1]Jan ext legal'!L16+'[1]Feb ext legal'!L16+'[1]Mar ext legal'!L16+'[1]Apr ext legal'!L16+'[1]May ext legal'!L16+'[1]Jun ext legal'!L16+'[1]Jul ext legal'!L16</f>
        <v>0</v>
      </c>
      <c r="L16" s="146">
        <f>+'[1]Jan ext legal'!M16+'[1]Feb ext legal'!M16+'[1]Mar ext legal'!M16+'[1]Apr ext legal'!M16+'[1]May ext legal'!M16+'[1]Jun ext legal'!M16+'[1]Jul ext legal'!M16</f>
        <v>0</v>
      </c>
      <c r="M16" s="148">
        <f t="shared" si="0"/>
        <v>0</v>
      </c>
      <c r="N16" s="148">
        <f t="shared" si="1"/>
        <v>0</v>
      </c>
      <c r="O16" s="147"/>
      <c r="P16" s="148">
        <f t="shared" si="2"/>
        <v>0</v>
      </c>
    </row>
    <row r="17" spans="1:16" s="143" customFormat="1" ht="11.25" x14ac:dyDescent="0.2">
      <c r="A17" s="136">
        <v>106042</v>
      </c>
      <c r="B17" s="137" t="s">
        <v>224</v>
      </c>
      <c r="C17" s="137" t="s">
        <v>114</v>
      </c>
      <c r="D17" s="244">
        <v>0</v>
      </c>
      <c r="E17" s="139">
        <f>+'[1]Jan ext legal'!E17+'[1]Feb ext legal'!E17+'[1]Mar ext legal'!E17+'[1]Apr ext legal'!E17+'[1]May ext legal'!E17+'[1]Jun ext legal'!E17+'[1]Jul ext legal'!E17</f>
        <v>102546.5</v>
      </c>
      <c r="F17" s="140">
        <f>+'[1]Jan ext legal'!F17+'[1]Feb ext legal'!F17+'[1]Mar ext legal'!F17+'[1]Apr ext legal'!F17+'[1]May ext legal'!F17+'[1]Jun ext legal'!F17+'[1]Jul ext legal'!F17</f>
        <v>0</v>
      </c>
      <c r="G17" s="139">
        <f>+'[1]Jan ext legal'!G17+'[1]Feb ext legal'!G17+'[1]Mar ext legal'!G17+'[1]Apr ext legal'!G17+'[1]May ext legal'!G17+'[1]Jun ext legal'!G17+'[1]Jul ext legal'!G17</f>
        <v>0</v>
      </c>
      <c r="H17" s="140">
        <f>+'[1]Jan ext legal'!H17+'[1]Feb ext legal'!H17+'[1]Mar ext legal'!H17+'[1]Apr ext legal'!H17+'[1]May ext legal'!H17+'[1]Jun ext legal'!H17+'[1]Jul ext legal'!H17</f>
        <v>0</v>
      </c>
      <c r="I17" s="139">
        <f>+'[1]Jan ext legal'!I17+'[1]Feb ext legal'!I17+'[1]Mar ext legal'!I17+'[1]Apr ext legal'!I17+'[1]May ext legal'!I17+'[1]Jun ext legal'!I17+'[1]Jul ext legal'!I17</f>
        <v>0</v>
      </c>
      <c r="J17" s="140">
        <f>+'[1]Jan ext legal'!K17+'[1]Feb ext legal'!K17+'[1]Mar ext legal'!K17+'[1]Apr ext legal'!K17+'[1]May ext legal'!K17+'[1]Jun ext legal'!K17+'[1]Jul ext legal'!K17</f>
        <v>12980.6</v>
      </c>
      <c r="K17" s="140">
        <f>+'[1]Jan ext legal'!L17+'[1]Feb ext legal'!L17+'[1]Mar ext legal'!L17+'[1]Apr ext legal'!L17+'[1]May ext legal'!L17+'[1]Jun ext legal'!L17+'[1]Jul ext legal'!L17</f>
        <v>0</v>
      </c>
      <c r="L17" s="140">
        <f>+'[1]Jan ext legal'!M17+'[1]Feb ext legal'!M17+'[1]Mar ext legal'!M17+'[1]Apr ext legal'!M17+'[1]May ext legal'!M17+'[1]Jun ext legal'!M17+'[1]Jul ext legal'!M17</f>
        <v>0</v>
      </c>
      <c r="M17" s="141">
        <f t="shared" si="0"/>
        <v>0</v>
      </c>
      <c r="N17" s="141">
        <f t="shared" si="1"/>
        <v>0</v>
      </c>
      <c r="O17" s="142"/>
      <c r="P17" s="141">
        <f t="shared" si="2"/>
        <v>0</v>
      </c>
    </row>
    <row r="18" spans="1:16" s="143" customFormat="1" ht="11.25" x14ac:dyDescent="0.2">
      <c r="A18" s="136">
        <v>106196</v>
      </c>
      <c r="B18" s="137" t="s">
        <v>127</v>
      </c>
      <c r="C18" s="137" t="s">
        <v>114</v>
      </c>
      <c r="D18" s="244">
        <v>20801.939999999999</v>
      </c>
      <c r="E18" s="139">
        <f>+'[1]Jan ext legal'!E18+'[1]Feb ext legal'!E18+'[1]Mar ext legal'!E18+'[1]Apr ext legal'!E18+'[1]May ext legal'!E18+'[1]Jun ext legal'!E18+'[1]Jul ext legal'!E18</f>
        <v>20801.939999999999</v>
      </c>
      <c r="F18" s="140">
        <f>+'[1]Jan ext legal'!F18+'[1]Feb ext legal'!F18+'[1]Mar ext legal'!F18+'[1]Apr ext legal'!F18+'[1]May ext legal'!F18+'[1]Jun ext legal'!F18+'[1]Jul ext legal'!F18</f>
        <v>0</v>
      </c>
      <c r="G18" s="139">
        <f>+'[1]Jan ext legal'!G18+'[1]Feb ext legal'!G18+'[1]Mar ext legal'!G18+'[1]Apr ext legal'!G18+'[1]May ext legal'!G18+'[1]Jun ext legal'!G18+'[1]Jul ext legal'!G18</f>
        <v>0</v>
      </c>
      <c r="H18" s="140">
        <f>+'[1]Jan ext legal'!H18+'[1]Feb ext legal'!H18+'[1]Mar ext legal'!H18+'[1]Apr ext legal'!H18+'[1]May ext legal'!H18+'[1]Jun ext legal'!H18+'[1]Jul ext legal'!H18</f>
        <v>0</v>
      </c>
      <c r="I18" s="139">
        <f>+'[1]Jan ext legal'!I18+'[1]Feb ext legal'!I18+'[1]Mar ext legal'!I18+'[1]Apr ext legal'!I18+'[1]May ext legal'!I18+'[1]Jun ext legal'!I18+'[1]Jul ext legal'!I18</f>
        <v>0</v>
      </c>
      <c r="J18" s="140">
        <f>+'[1]Jan ext legal'!K18+'[1]Feb ext legal'!K18+'[1]Mar ext legal'!K18+'[1]Apr ext legal'!K18+'[1]May ext legal'!K18+'[1]Jun ext legal'!K18+'[1]Jul ext legal'!K18</f>
        <v>0</v>
      </c>
      <c r="K18" s="140">
        <f>+'[1]Jan ext legal'!L18+'[1]Feb ext legal'!L18+'[1]Mar ext legal'!L18+'[1]Apr ext legal'!L18+'[1]May ext legal'!L18+'[1]Jun ext legal'!L18+'[1]Jul ext legal'!L18</f>
        <v>0</v>
      </c>
      <c r="L18" s="140">
        <f>+'[1]Jan ext legal'!M18+'[1]Feb ext legal'!M18+'[1]Mar ext legal'!M18+'[1]Apr ext legal'!M18+'[1]May ext legal'!M18+'[1]Jun ext legal'!M18+'[1]Jul ext legal'!M18</f>
        <v>0</v>
      </c>
      <c r="M18" s="141">
        <f t="shared" si="0"/>
        <v>1.7727427247136484E-3</v>
      </c>
      <c r="N18" s="141">
        <f t="shared" si="1"/>
        <v>15450.648720394111</v>
      </c>
      <c r="O18" s="142"/>
      <c r="P18" s="141">
        <f t="shared" si="2"/>
        <v>36252.588720394109</v>
      </c>
    </row>
    <row r="19" spans="1:16" s="143" customFormat="1" ht="11.25" x14ac:dyDescent="0.2">
      <c r="A19" s="144">
        <v>106230</v>
      </c>
      <c r="B19" s="143" t="s">
        <v>128</v>
      </c>
      <c r="D19" s="245">
        <v>1063397.8600000001</v>
      </c>
      <c r="E19" s="145">
        <f>+'[1]Jan ext legal'!E19+'[1]Feb ext legal'!E19+'[1]Mar ext legal'!E19+'[1]Apr ext legal'!E19+'[1]May ext legal'!E19+'[1]Jun ext legal'!E19+'[1]Jul ext legal'!E19</f>
        <v>1063397.8599999999</v>
      </c>
      <c r="F19" s="146">
        <f>+'[1]Jan ext legal'!F19+'[1]Feb ext legal'!F19+'[1]Mar ext legal'!F19+'[1]Apr ext legal'!F19+'[1]May ext legal'!F19+'[1]Jun ext legal'!F19+'[1]Jul ext legal'!F19</f>
        <v>0</v>
      </c>
      <c r="G19" s="145">
        <f>+'[1]Jan ext legal'!G19+'[1]Feb ext legal'!G19+'[1]Mar ext legal'!G19+'[1]Apr ext legal'!G19+'[1]May ext legal'!G19+'[1]Jun ext legal'!G19+'[1]Jul ext legal'!G19</f>
        <v>0</v>
      </c>
      <c r="H19" s="146">
        <f>+'[1]Jan ext legal'!H19+'[1]Feb ext legal'!H19+'[1]Mar ext legal'!H19+'[1]Apr ext legal'!H19+'[1]May ext legal'!H19+'[1]Jun ext legal'!H19+'[1]Jul ext legal'!H19</f>
        <v>0</v>
      </c>
      <c r="I19" s="145">
        <f>+'[1]Jan ext legal'!I19+'[1]Feb ext legal'!I19+'[1]Mar ext legal'!I19+'[1]Apr ext legal'!I19+'[1]May ext legal'!I19+'[1]Jun ext legal'!I19+'[1]Jul ext legal'!I19</f>
        <v>0</v>
      </c>
      <c r="J19" s="146">
        <f>+'[1]Jan ext legal'!K19+'[1]Feb ext legal'!K19+'[1]Mar ext legal'!K19+'[1]Apr ext legal'!K19+'[1]May ext legal'!K19+'[1]Jun ext legal'!K19+'[1]Jul ext legal'!K19</f>
        <v>0</v>
      </c>
      <c r="K19" s="146">
        <f>+'[1]Jan ext legal'!L19+'[1]Feb ext legal'!L19+'[1]Mar ext legal'!L19+'[1]Apr ext legal'!L19+'[1]May ext legal'!L19+'[1]Jun ext legal'!L19+'[1]Jul ext legal'!L19</f>
        <v>0</v>
      </c>
      <c r="L19" s="146">
        <f>+'[1]Jan ext legal'!M19+'[1]Feb ext legal'!M19+'[1]Mar ext legal'!M19+'[1]Apr ext legal'!M19+'[1]May ext legal'!M19+'[1]Jun ext legal'!M19+'[1]Jul ext legal'!M19</f>
        <v>0</v>
      </c>
      <c r="M19" s="148">
        <f t="shared" si="0"/>
        <v>9.0622837090726299E-2</v>
      </c>
      <c r="N19" s="148">
        <f t="shared" si="1"/>
        <v>789839.15850535268</v>
      </c>
      <c r="O19" s="147"/>
      <c r="P19" s="148">
        <f t="shared" si="2"/>
        <v>1853237.0185053528</v>
      </c>
    </row>
    <row r="20" spans="1:16" s="143" customFormat="1" ht="11.25" x14ac:dyDescent="0.2">
      <c r="A20" s="144">
        <v>106298</v>
      </c>
      <c r="B20" s="143" t="s">
        <v>129</v>
      </c>
      <c r="C20" s="143" t="s">
        <v>130</v>
      </c>
      <c r="D20" s="245">
        <v>124315.45</v>
      </c>
      <c r="E20" s="145">
        <f>+'[1]Jan ext legal'!E20+'[1]Feb ext legal'!E20+'[1]Mar ext legal'!E20+'[1]Apr ext legal'!E20+'[1]May ext legal'!E20+'[1]Jun ext legal'!E20+'[1]Jul ext legal'!E20</f>
        <v>148.63</v>
      </c>
      <c r="F20" s="146">
        <f>+'[1]Jan ext legal'!F20+'[1]Feb ext legal'!F20+'[1]Mar ext legal'!F20+'[1]Apr ext legal'!F20+'[1]May ext legal'!F20+'[1]Jun ext legal'!F20+'[1]Jul ext legal'!F20</f>
        <v>0</v>
      </c>
      <c r="G20" s="145">
        <f>+'[1]Jan ext legal'!G20+'[1]Feb ext legal'!G20+'[1]Mar ext legal'!G20+'[1]Apr ext legal'!G20+'[1]May ext legal'!G20+'[1]Jun ext legal'!G20+'[1]Jul ext legal'!G20</f>
        <v>108426.73000000001</v>
      </c>
      <c r="H20" s="146">
        <f>+'[1]Jan ext legal'!H20+'[1]Feb ext legal'!H20+'[1]Mar ext legal'!H20+'[1]Apr ext legal'!H20+'[1]May ext legal'!H20+'[1]Jun ext legal'!H20+'[1]Jul ext legal'!H20</f>
        <v>0</v>
      </c>
      <c r="I20" s="145">
        <f>+'[1]Jan ext legal'!I20+'[1]Feb ext legal'!I20+'[1]Mar ext legal'!I20+'[1]Apr ext legal'!I20+'[1]May ext legal'!I20+'[1]Jun ext legal'!I20+'[1]Jul ext legal'!I20</f>
        <v>0</v>
      </c>
      <c r="J20" s="146">
        <f>+'[1]Jan ext legal'!K20+'[1]Feb ext legal'!K20+'[1]Mar ext legal'!K20+'[1]Apr ext legal'!K20+'[1]May ext legal'!K20+'[1]Jun ext legal'!K20+'[1]Jul ext legal'!K20</f>
        <v>15740.09</v>
      </c>
      <c r="K20" s="146">
        <f>+'[1]Jan ext legal'!L20+'[1]Feb ext legal'!L20+'[1]Mar ext legal'!L20+'[1]Apr ext legal'!L20+'[1]May ext legal'!L20+'[1]Jun ext legal'!L20+'[1]Jul ext legal'!L20</f>
        <v>0</v>
      </c>
      <c r="L20" s="146">
        <f>+'[1]Jan ext legal'!M20+'[1]Feb ext legal'!M20+'[1]Mar ext legal'!M20+'[1]Apr ext legal'!M20+'[1]May ext legal'!M20+'[1]Jun ext legal'!M20+'[1]Jul ext legal'!M20</f>
        <v>0</v>
      </c>
      <c r="M20" s="148">
        <f t="shared" si="0"/>
        <v>1.0594171003137367E-2</v>
      </c>
      <c r="N20" s="148">
        <f t="shared" si="1"/>
        <v>92335.347014159153</v>
      </c>
      <c r="O20" s="147"/>
      <c r="P20" s="148">
        <f t="shared" si="2"/>
        <v>216650.79701415915</v>
      </c>
    </row>
    <row r="21" spans="1:16" s="143" customFormat="1" ht="11.25" x14ac:dyDescent="0.2">
      <c r="A21" s="144">
        <v>106303</v>
      </c>
      <c r="B21" s="143" t="s">
        <v>131</v>
      </c>
      <c r="C21" s="143" t="s">
        <v>132</v>
      </c>
      <c r="D21" s="245">
        <v>51352.160000000003</v>
      </c>
      <c r="E21" s="145">
        <f>+'[1]Jan ext legal'!E21+'[1]Feb ext legal'!E21+'[1]Mar ext legal'!E21+'[1]Apr ext legal'!E21+'[1]May ext legal'!E21+'[1]Jun ext legal'!E21+'[1]Jul ext legal'!E21</f>
        <v>0</v>
      </c>
      <c r="F21" s="146">
        <f>+'[1]Jan ext legal'!F21+'[1]Feb ext legal'!F21+'[1]Mar ext legal'!F21+'[1]Apr ext legal'!F21+'[1]May ext legal'!F21+'[1]Jun ext legal'!F21+'[1]Jul ext legal'!F21</f>
        <v>0</v>
      </c>
      <c r="G21" s="145">
        <f>+'[1]Jan ext legal'!G21+'[1]Feb ext legal'!G21+'[1]Mar ext legal'!G21+'[1]Apr ext legal'!G21+'[1]May ext legal'!G21+'[1]Jun ext legal'!G21+'[1]Jul ext legal'!G21</f>
        <v>36468.51</v>
      </c>
      <c r="H21" s="146">
        <f>+'[1]Jan ext legal'!H21+'[1]Feb ext legal'!H21+'[1]Mar ext legal'!H21+'[1]Apr ext legal'!H21+'[1]May ext legal'!H21+'[1]Jun ext legal'!H21+'[1]Jul ext legal'!H21</f>
        <v>14883.65</v>
      </c>
      <c r="I21" s="145">
        <f>+'[1]Jan ext legal'!I21+'[1]Feb ext legal'!I21+'[1]Mar ext legal'!I21+'[1]Apr ext legal'!I21+'[1]May ext legal'!I21+'[1]Jun ext legal'!I21+'[1]Jul ext legal'!I21</f>
        <v>0</v>
      </c>
      <c r="J21" s="146">
        <f>+'[1]Jan ext legal'!K21+'[1]Feb ext legal'!K21+'[1]Mar ext legal'!K21+'[1]Apr ext legal'!K21+'[1]May ext legal'!K21+'[1]Jun ext legal'!K21+'[1]Jul ext legal'!K21</f>
        <v>0</v>
      </c>
      <c r="K21" s="146">
        <f>+'[1]Jan ext legal'!L21+'[1]Feb ext legal'!L21+'[1]Mar ext legal'!L21+'[1]Apr ext legal'!L21+'[1]May ext legal'!L21+'[1]Jun ext legal'!L21+'[1]Jul ext legal'!L21</f>
        <v>0</v>
      </c>
      <c r="L21" s="146">
        <f>+'[1]Jan ext legal'!M21+'[1]Feb ext legal'!M21+'[1]Mar ext legal'!M21+'[1]Apr ext legal'!M21+'[1]May ext legal'!M21+'[1]Jun ext legal'!M21+'[1]Jul ext legal'!M21</f>
        <v>0</v>
      </c>
      <c r="M21" s="148">
        <f t="shared" si="0"/>
        <v>4.3762345261226226E-3</v>
      </c>
      <c r="N21" s="148">
        <f t="shared" si="1"/>
        <v>38141.836059207635</v>
      </c>
      <c r="O21" s="147"/>
      <c r="P21" s="148">
        <f t="shared" si="2"/>
        <v>89493.996059207639</v>
      </c>
    </row>
    <row r="22" spans="1:16" s="143" customFormat="1" ht="11.25" x14ac:dyDescent="0.2">
      <c r="A22" s="144">
        <v>106331</v>
      </c>
      <c r="B22" s="143" t="s">
        <v>133</v>
      </c>
      <c r="D22" s="245">
        <v>494716.81</v>
      </c>
      <c r="E22" s="145">
        <f>+'[1]Jan ext legal'!E22+'[1]Feb ext legal'!E22+'[1]Mar ext legal'!E22+'[1]Apr ext legal'!E22+'[1]May ext legal'!E22+'[1]Jun ext legal'!E22+'[1]Jul ext legal'!E22</f>
        <v>0</v>
      </c>
      <c r="F22" s="146">
        <f>+'[1]Jan ext legal'!F22+'[1]Feb ext legal'!F22+'[1]Mar ext legal'!F22+'[1]Apr ext legal'!F22+'[1]May ext legal'!F22+'[1]Jun ext legal'!F22+'[1]Jul ext legal'!F22</f>
        <v>0</v>
      </c>
      <c r="G22" s="145">
        <f>+'[1]Jan ext legal'!G22+'[1]Feb ext legal'!G22+'[1]Mar ext legal'!G22+'[1]Apr ext legal'!G22+'[1]May ext legal'!G22+'[1]Jun ext legal'!G22+'[1]Jul ext legal'!G22</f>
        <v>493843.73000000004</v>
      </c>
      <c r="H22" s="146">
        <f>+'[1]Jan ext legal'!H22+'[1]Feb ext legal'!H22+'[1]Mar ext legal'!H22+'[1]Apr ext legal'!H22+'[1]May ext legal'!H22+'[1]Jun ext legal'!H22+'[1]Jul ext legal'!H22</f>
        <v>873.08</v>
      </c>
      <c r="I22" s="145">
        <f>+'[1]Jan ext legal'!I22+'[1]Feb ext legal'!I22+'[1]Mar ext legal'!I22+'[1]Apr ext legal'!I22+'[1]May ext legal'!I22+'[1]Jun ext legal'!I22+'[1]Jul ext legal'!I22</f>
        <v>0</v>
      </c>
      <c r="J22" s="146">
        <f>+'[1]Jan ext legal'!K22+'[1]Feb ext legal'!K22+'[1]Mar ext legal'!K22+'[1]Apr ext legal'!K22+'[1]May ext legal'!K22+'[1]Jun ext legal'!K22+'[1]Jul ext legal'!K22</f>
        <v>0</v>
      </c>
      <c r="K22" s="146">
        <f>+'[1]Jan ext legal'!L22+'[1]Feb ext legal'!L22+'[1]Mar ext legal'!L22+'[1]Apr ext legal'!L22+'[1]May ext legal'!L22+'[1]Jun ext legal'!L22+'[1]Jul ext legal'!L22</f>
        <v>0</v>
      </c>
      <c r="L22" s="146">
        <f>+'[1]Jan ext legal'!M22+'[1]Feb ext legal'!M22+'[1]Mar ext legal'!M22+'[1]Apr ext legal'!M22+'[1]May ext legal'!M22+'[1]Jun ext legal'!M22+'[1]Jul ext legal'!M22</f>
        <v>0</v>
      </c>
      <c r="M22" s="148">
        <f t="shared" si="0"/>
        <v>4.2159799793723293E-2</v>
      </c>
      <c r="N22" s="148">
        <f t="shared" si="1"/>
        <v>367451.09578164131</v>
      </c>
      <c r="O22" s="147"/>
      <c r="P22" s="148">
        <f t="shared" si="2"/>
        <v>862167.90578164137</v>
      </c>
    </row>
    <row r="23" spans="1:16" s="143" customFormat="1" ht="11.25" x14ac:dyDescent="0.2">
      <c r="A23" s="144">
        <v>106580</v>
      </c>
      <c r="B23" s="143" t="s">
        <v>134</v>
      </c>
      <c r="D23" s="245">
        <v>0</v>
      </c>
      <c r="E23" s="145">
        <f>+'[1]Jan ext legal'!E23+'[1]Feb ext legal'!E23+'[1]Mar ext legal'!E23+'[1]Apr ext legal'!E23+'[1]May ext legal'!E23+'[1]Jun ext legal'!E23+'[1]Jul ext legal'!E23</f>
        <v>0</v>
      </c>
      <c r="F23" s="146">
        <f>+'[1]Jan ext legal'!F23+'[1]Feb ext legal'!F23+'[1]Mar ext legal'!F23+'[1]Apr ext legal'!F23+'[1]May ext legal'!F23+'[1]Jun ext legal'!F23+'[1]Jul ext legal'!F23</f>
        <v>0</v>
      </c>
      <c r="G23" s="145">
        <f>+'[1]Jan ext legal'!G23+'[1]Feb ext legal'!G23+'[1]Mar ext legal'!G23+'[1]Apr ext legal'!G23+'[1]May ext legal'!G23+'[1]Jun ext legal'!G23+'[1]Jul ext legal'!G23</f>
        <v>0</v>
      </c>
      <c r="H23" s="146">
        <f>+'[1]Jan ext legal'!H23+'[1]Feb ext legal'!H23+'[1]Mar ext legal'!H23+'[1]Apr ext legal'!H23+'[1]May ext legal'!H23+'[1]Jun ext legal'!H23+'[1]Jul ext legal'!H23</f>
        <v>0</v>
      </c>
      <c r="I23" s="145">
        <f>+'[1]Jan ext legal'!I23+'[1]Feb ext legal'!I23+'[1]Mar ext legal'!I23+'[1]Apr ext legal'!I23+'[1]May ext legal'!I23+'[1]Jun ext legal'!I23+'[1]Jul ext legal'!I23</f>
        <v>0</v>
      </c>
      <c r="J23" s="146">
        <f>+'[1]Jan ext legal'!K23+'[1]Feb ext legal'!K23+'[1]Mar ext legal'!K23+'[1]Apr ext legal'!K23+'[1]May ext legal'!K23+'[1]Jun ext legal'!K23+'[1]Jul ext legal'!K23</f>
        <v>0</v>
      </c>
      <c r="K23" s="146">
        <f>+'[1]Jan ext legal'!L23+'[1]Feb ext legal'!L23+'[1]Mar ext legal'!L23+'[1]Apr ext legal'!L23+'[1]May ext legal'!L23+'[1]Jun ext legal'!L23+'[1]Jul ext legal'!L23</f>
        <v>0</v>
      </c>
      <c r="L23" s="146">
        <f>+'[1]Jan ext legal'!M23+'[1]Feb ext legal'!M23+'[1]Mar ext legal'!M23+'[1]Apr ext legal'!M23+'[1]May ext legal'!M23+'[1]Jun ext legal'!M23+'[1]Jul ext legal'!M23</f>
        <v>0</v>
      </c>
      <c r="M23" s="148">
        <f t="shared" si="0"/>
        <v>0</v>
      </c>
      <c r="N23" s="148">
        <f t="shared" si="1"/>
        <v>0</v>
      </c>
      <c r="O23" s="147"/>
      <c r="P23" s="148">
        <f t="shared" si="2"/>
        <v>0</v>
      </c>
    </row>
    <row r="24" spans="1:16" s="143" customFormat="1" ht="11.25" x14ac:dyDescent="0.2">
      <c r="A24" s="144">
        <v>106582</v>
      </c>
      <c r="B24" s="143" t="s">
        <v>135</v>
      </c>
      <c r="C24" s="143" t="s">
        <v>136</v>
      </c>
      <c r="D24" s="245">
        <v>0</v>
      </c>
      <c r="E24" s="145">
        <f>+'[1]Jan ext legal'!E24+'[1]Feb ext legal'!E24+'[1]Mar ext legal'!E24+'[1]Apr ext legal'!E24+'[1]May ext legal'!E24+'[1]Jun ext legal'!E24+'[1]Jul ext legal'!E24</f>
        <v>0</v>
      </c>
      <c r="F24" s="146">
        <f>+'[1]Jan ext legal'!F24+'[1]Feb ext legal'!F24+'[1]Mar ext legal'!F24+'[1]Apr ext legal'!F24+'[1]May ext legal'!F24+'[1]Jun ext legal'!F24+'[1]Jul ext legal'!F24</f>
        <v>0</v>
      </c>
      <c r="G24" s="145">
        <f>+'[1]Jan ext legal'!G24+'[1]Feb ext legal'!G24+'[1]Mar ext legal'!G24+'[1]Apr ext legal'!G24+'[1]May ext legal'!G24+'[1]Jun ext legal'!G24+'[1]Jul ext legal'!G24</f>
        <v>0</v>
      </c>
      <c r="H24" s="146">
        <f>+'[1]Jan ext legal'!H24+'[1]Feb ext legal'!H24+'[1]Mar ext legal'!H24+'[1]Apr ext legal'!H24+'[1]May ext legal'!H24+'[1]Jun ext legal'!H24+'[1]Jul ext legal'!H24</f>
        <v>0</v>
      </c>
      <c r="I24" s="145">
        <f>+'[1]Jan ext legal'!I24+'[1]Feb ext legal'!I24+'[1]Mar ext legal'!I24+'[1]Apr ext legal'!I24+'[1]May ext legal'!I24+'[1]Jun ext legal'!I24+'[1]Jul ext legal'!I24</f>
        <v>0</v>
      </c>
      <c r="J24" s="146">
        <f>+'[1]Jan ext legal'!K24+'[1]Feb ext legal'!K24+'[1]Mar ext legal'!K24+'[1]Apr ext legal'!K24+'[1]May ext legal'!K24+'[1]Jun ext legal'!K24+'[1]Jul ext legal'!K24</f>
        <v>0</v>
      </c>
      <c r="K24" s="146">
        <f>+'[1]Jan ext legal'!L24+'[1]Feb ext legal'!L24+'[1]Mar ext legal'!L24+'[1]Apr ext legal'!L24+'[1]May ext legal'!L24+'[1]Jun ext legal'!L24+'[1]Jul ext legal'!L24</f>
        <v>0</v>
      </c>
      <c r="L24" s="146">
        <f>+'[1]Jan ext legal'!M24+'[1]Feb ext legal'!M24+'[1]Mar ext legal'!M24+'[1]Apr ext legal'!M24+'[1]May ext legal'!M24+'[1]Jun ext legal'!M24+'[1]Jul ext legal'!M24</f>
        <v>0</v>
      </c>
      <c r="M24" s="148">
        <f t="shared" si="0"/>
        <v>0</v>
      </c>
      <c r="N24" s="148">
        <f t="shared" si="1"/>
        <v>0</v>
      </c>
      <c r="O24" s="147"/>
      <c r="P24" s="148">
        <f t="shared" si="2"/>
        <v>0</v>
      </c>
    </row>
    <row r="25" spans="1:16" s="143" customFormat="1" ht="11.25" x14ac:dyDescent="0.2">
      <c r="A25" s="144">
        <v>106587</v>
      </c>
      <c r="B25" s="143" t="s">
        <v>137</v>
      </c>
      <c r="C25" s="143" t="s">
        <v>138</v>
      </c>
      <c r="D25" s="245">
        <v>0</v>
      </c>
      <c r="E25" s="145">
        <f>+'[1]Jan ext legal'!E25+'[1]Feb ext legal'!E25+'[1]Mar ext legal'!E25+'[1]Apr ext legal'!E25+'[1]May ext legal'!E25+'[1]Jun ext legal'!E25+'[1]Jul ext legal'!E25</f>
        <v>0</v>
      </c>
      <c r="F25" s="146">
        <f>+'[1]Jan ext legal'!F25+'[1]Feb ext legal'!F25+'[1]Mar ext legal'!F25+'[1]Apr ext legal'!F25+'[1]May ext legal'!F25+'[1]Jun ext legal'!F25+'[1]Jul ext legal'!F25</f>
        <v>0</v>
      </c>
      <c r="G25" s="145">
        <f>+'[1]Jan ext legal'!G25+'[1]Feb ext legal'!G25+'[1]Mar ext legal'!G25+'[1]Apr ext legal'!G25+'[1]May ext legal'!G25+'[1]Jun ext legal'!G25+'[1]Jul ext legal'!G25</f>
        <v>0</v>
      </c>
      <c r="H25" s="146">
        <f>+'[1]Jan ext legal'!H25+'[1]Feb ext legal'!H25+'[1]Mar ext legal'!H25+'[1]Apr ext legal'!H25+'[1]May ext legal'!H25+'[1]Jun ext legal'!H25+'[1]Jul ext legal'!H25</f>
        <v>0</v>
      </c>
      <c r="I25" s="145">
        <f>+'[1]Jan ext legal'!I25+'[1]Feb ext legal'!I25+'[1]Mar ext legal'!I25+'[1]Apr ext legal'!I25+'[1]May ext legal'!I25+'[1]Jun ext legal'!I25+'[1]Jul ext legal'!I25</f>
        <v>0</v>
      </c>
      <c r="J25" s="146">
        <f>+'[1]Jan ext legal'!K25+'[1]Feb ext legal'!K25+'[1]Mar ext legal'!K25+'[1]Apr ext legal'!K25+'[1]May ext legal'!K25+'[1]Jun ext legal'!K25+'[1]Jul ext legal'!K25</f>
        <v>0</v>
      </c>
      <c r="K25" s="146">
        <f>+'[1]Jan ext legal'!L25+'[1]Feb ext legal'!L25+'[1]Mar ext legal'!L25+'[1]Apr ext legal'!L25+'[1]May ext legal'!L25+'[1]Jun ext legal'!L25+'[1]Jul ext legal'!L25</f>
        <v>0</v>
      </c>
      <c r="L25" s="146">
        <f>+'[1]Jan ext legal'!M25+'[1]Feb ext legal'!M25+'[1]Mar ext legal'!M25+'[1]Apr ext legal'!M25+'[1]May ext legal'!M25+'[1]Jun ext legal'!M25+'[1]Jul ext legal'!M25</f>
        <v>0</v>
      </c>
      <c r="M25" s="148">
        <f t="shared" si="0"/>
        <v>0</v>
      </c>
      <c r="N25" s="148">
        <f t="shared" si="1"/>
        <v>0</v>
      </c>
      <c r="O25" s="147"/>
      <c r="P25" s="148">
        <f t="shared" si="2"/>
        <v>0</v>
      </c>
    </row>
    <row r="26" spans="1:16" s="143" customFormat="1" ht="11.25" x14ac:dyDescent="0.2">
      <c r="A26" s="144">
        <v>106588</v>
      </c>
      <c r="B26" s="143" t="s">
        <v>139</v>
      </c>
      <c r="C26" s="143" t="s">
        <v>140</v>
      </c>
      <c r="D26" s="245">
        <v>0</v>
      </c>
      <c r="E26" s="145">
        <f>+'[1]Jan ext legal'!E26+'[1]Feb ext legal'!E26+'[1]Mar ext legal'!E26+'[1]Apr ext legal'!E26+'[1]May ext legal'!E26+'[1]Jun ext legal'!E26+'[1]Jul ext legal'!E26</f>
        <v>0</v>
      </c>
      <c r="F26" s="146">
        <f>+'[1]Jan ext legal'!F26+'[1]Feb ext legal'!F26+'[1]Mar ext legal'!F26+'[1]Apr ext legal'!F26+'[1]May ext legal'!F26+'[1]Jun ext legal'!F26+'[1]Jul ext legal'!F26</f>
        <v>0</v>
      </c>
      <c r="G26" s="145">
        <f>+'[1]Jan ext legal'!G26+'[1]Feb ext legal'!G26+'[1]Mar ext legal'!G26+'[1]Apr ext legal'!G26+'[1]May ext legal'!G26+'[1]Jun ext legal'!G26+'[1]Jul ext legal'!G26</f>
        <v>0</v>
      </c>
      <c r="H26" s="146">
        <f>+'[1]Jan ext legal'!H26+'[1]Feb ext legal'!H26+'[1]Mar ext legal'!H26+'[1]Apr ext legal'!H26+'[1]May ext legal'!H26+'[1]Jun ext legal'!H26+'[1]Jul ext legal'!H26</f>
        <v>0</v>
      </c>
      <c r="I26" s="145">
        <f>+'[1]Jan ext legal'!I26+'[1]Feb ext legal'!I26+'[1]Mar ext legal'!I26+'[1]Apr ext legal'!I26+'[1]May ext legal'!I26+'[1]Jun ext legal'!I26+'[1]Jul ext legal'!I26</f>
        <v>0</v>
      </c>
      <c r="J26" s="146">
        <f>+'[1]Jan ext legal'!K26+'[1]Feb ext legal'!K26+'[1]Mar ext legal'!K26+'[1]Apr ext legal'!K26+'[1]May ext legal'!K26+'[1]Jun ext legal'!K26+'[1]Jul ext legal'!K26</f>
        <v>0</v>
      </c>
      <c r="K26" s="146">
        <f>+'[1]Jan ext legal'!L26+'[1]Feb ext legal'!L26+'[1]Mar ext legal'!L26+'[1]Apr ext legal'!L26+'[1]May ext legal'!L26+'[1]Jun ext legal'!L26+'[1]Jul ext legal'!L26</f>
        <v>0</v>
      </c>
      <c r="L26" s="146">
        <f>+'[1]Jan ext legal'!M26+'[1]Feb ext legal'!M26+'[1]Mar ext legal'!M26+'[1]Apr ext legal'!M26+'[1]May ext legal'!M26+'[1]Jun ext legal'!M26+'[1]Jul ext legal'!M26</f>
        <v>0</v>
      </c>
      <c r="M26" s="148">
        <f t="shared" si="0"/>
        <v>0</v>
      </c>
      <c r="N26" s="148">
        <f t="shared" si="1"/>
        <v>0</v>
      </c>
      <c r="O26" s="147"/>
      <c r="P26" s="148">
        <f t="shared" si="2"/>
        <v>0</v>
      </c>
    </row>
    <row r="27" spans="1:16" s="143" customFormat="1" ht="11.25" x14ac:dyDescent="0.2">
      <c r="A27" s="144">
        <v>106589</v>
      </c>
      <c r="B27" s="143" t="s">
        <v>141</v>
      </c>
      <c r="D27" s="245">
        <v>0</v>
      </c>
      <c r="E27" s="145">
        <f>+'[1]Jan ext legal'!E27+'[1]Feb ext legal'!E27+'[1]Mar ext legal'!E27+'[1]Apr ext legal'!E27+'[1]May ext legal'!E27+'[1]Jun ext legal'!E27+'[1]Jul ext legal'!E27</f>
        <v>0</v>
      </c>
      <c r="F27" s="146">
        <f>+'[1]Jan ext legal'!F27+'[1]Feb ext legal'!F27+'[1]Mar ext legal'!F27+'[1]Apr ext legal'!F27+'[1]May ext legal'!F27+'[1]Jun ext legal'!F27+'[1]Jul ext legal'!F27</f>
        <v>0</v>
      </c>
      <c r="G27" s="145">
        <f>+'[1]Jan ext legal'!G27+'[1]Feb ext legal'!G27+'[1]Mar ext legal'!G27+'[1]Apr ext legal'!G27+'[1]May ext legal'!G27+'[1]Jun ext legal'!G27+'[1]Jul ext legal'!G27</f>
        <v>0</v>
      </c>
      <c r="H27" s="146">
        <f>+'[1]Jan ext legal'!H27+'[1]Feb ext legal'!H27+'[1]Mar ext legal'!H27+'[1]Apr ext legal'!H27+'[1]May ext legal'!H27+'[1]Jun ext legal'!H27+'[1]Jul ext legal'!H27</f>
        <v>0</v>
      </c>
      <c r="I27" s="145">
        <f>+'[1]Jan ext legal'!I27+'[1]Feb ext legal'!I27+'[1]Mar ext legal'!I27+'[1]Apr ext legal'!I27+'[1]May ext legal'!I27+'[1]Jun ext legal'!I27+'[1]Jul ext legal'!I27</f>
        <v>0</v>
      </c>
      <c r="J27" s="146">
        <f>+'[1]Jan ext legal'!K27+'[1]Feb ext legal'!K27+'[1]Mar ext legal'!K27+'[1]Apr ext legal'!K27+'[1]May ext legal'!K27+'[1]Jun ext legal'!K27+'[1]Jul ext legal'!K27</f>
        <v>0</v>
      </c>
      <c r="K27" s="146">
        <f>+'[1]Jan ext legal'!L27+'[1]Feb ext legal'!L27+'[1]Mar ext legal'!L27+'[1]Apr ext legal'!L27+'[1]May ext legal'!L27+'[1]Jun ext legal'!L27+'[1]Jul ext legal'!L27</f>
        <v>0</v>
      </c>
      <c r="L27" s="146">
        <f>+'[1]Jan ext legal'!M27+'[1]Feb ext legal'!M27+'[1]Mar ext legal'!M27+'[1]Apr ext legal'!M27+'[1]May ext legal'!M27+'[1]Jun ext legal'!M27+'[1]Jul ext legal'!M27</f>
        <v>0</v>
      </c>
      <c r="M27" s="148">
        <f t="shared" si="0"/>
        <v>0</v>
      </c>
      <c r="N27" s="148">
        <f t="shared" si="1"/>
        <v>0</v>
      </c>
      <c r="O27" s="147"/>
      <c r="P27" s="148">
        <f t="shared" si="2"/>
        <v>0</v>
      </c>
    </row>
    <row r="28" spans="1:16" s="143" customFormat="1" ht="11.25" x14ac:dyDescent="0.2">
      <c r="A28" s="144">
        <v>106590</v>
      </c>
      <c r="B28" s="143" t="s">
        <v>142</v>
      </c>
      <c r="C28" s="143" t="s">
        <v>140</v>
      </c>
      <c r="D28" s="245">
        <v>0</v>
      </c>
      <c r="E28" s="145">
        <f>+'[1]Jan ext legal'!E28+'[1]Feb ext legal'!E28+'[1]Mar ext legal'!E28+'[1]Apr ext legal'!E28+'[1]May ext legal'!E28+'[1]Jun ext legal'!E28+'[1]Jul ext legal'!E28</f>
        <v>0</v>
      </c>
      <c r="F28" s="146">
        <f>+'[1]Jan ext legal'!F28+'[1]Feb ext legal'!F28+'[1]Mar ext legal'!F28+'[1]Apr ext legal'!F28+'[1]May ext legal'!F28+'[1]Jun ext legal'!F28+'[1]Jul ext legal'!F28</f>
        <v>0</v>
      </c>
      <c r="G28" s="145">
        <f>+'[1]Jan ext legal'!G28+'[1]Feb ext legal'!G28+'[1]Mar ext legal'!G28+'[1]Apr ext legal'!G28+'[1]May ext legal'!G28+'[1]Jun ext legal'!G28+'[1]Jul ext legal'!G28</f>
        <v>0</v>
      </c>
      <c r="H28" s="146">
        <f>+'[1]Jan ext legal'!H28+'[1]Feb ext legal'!H28+'[1]Mar ext legal'!H28+'[1]Apr ext legal'!H28+'[1]May ext legal'!H28+'[1]Jun ext legal'!H28+'[1]Jul ext legal'!H28</f>
        <v>0</v>
      </c>
      <c r="I28" s="145">
        <f>+'[1]Jan ext legal'!I28+'[1]Feb ext legal'!I28+'[1]Mar ext legal'!I28+'[1]Apr ext legal'!I28+'[1]May ext legal'!I28+'[1]Jun ext legal'!I28+'[1]Jul ext legal'!I28</f>
        <v>0</v>
      </c>
      <c r="J28" s="146">
        <f>+'[1]Jan ext legal'!K28+'[1]Feb ext legal'!K28+'[1]Mar ext legal'!K28+'[1]Apr ext legal'!K28+'[1]May ext legal'!K28+'[1]Jun ext legal'!K28+'[1]Jul ext legal'!K28</f>
        <v>0</v>
      </c>
      <c r="K28" s="146">
        <f>+'[1]Jan ext legal'!L28+'[1]Feb ext legal'!L28+'[1]Mar ext legal'!L28+'[1]Apr ext legal'!L28+'[1]May ext legal'!L28+'[1]Jun ext legal'!L28+'[1]Jul ext legal'!L28</f>
        <v>0</v>
      </c>
      <c r="L28" s="146">
        <f>+'[1]Jan ext legal'!M28+'[1]Feb ext legal'!M28+'[1]Mar ext legal'!M28+'[1]Apr ext legal'!M28+'[1]May ext legal'!M28+'[1]Jun ext legal'!M28+'[1]Jul ext legal'!M28</f>
        <v>0</v>
      </c>
      <c r="M28" s="148">
        <f t="shared" si="0"/>
        <v>0</v>
      </c>
      <c r="N28" s="148">
        <f t="shared" si="1"/>
        <v>0</v>
      </c>
      <c r="O28" s="147"/>
      <c r="P28" s="148">
        <f t="shared" si="2"/>
        <v>0</v>
      </c>
    </row>
    <row r="29" spans="1:16" s="143" customFormat="1" ht="11.25" x14ac:dyDescent="0.2">
      <c r="A29" s="144">
        <v>106591</v>
      </c>
      <c r="B29" s="143" t="s">
        <v>143</v>
      </c>
      <c r="C29" s="143" t="s">
        <v>140</v>
      </c>
      <c r="D29" s="245">
        <v>0</v>
      </c>
      <c r="E29" s="145">
        <f>+'[1]Jan ext legal'!E29+'[1]Feb ext legal'!E29+'[1]Mar ext legal'!E29+'[1]Apr ext legal'!E29+'[1]May ext legal'!E29+'[1]Jun ext legal'!E29+'[1]Jul ext legal'!E29</f>
        <v>0</v>
      </c>
      <c r="F29" s="146">
        <f>+'[1]Jan ext legal'!F29+'[1]Feb ext legal'!F29+'[1]Mar ext legal'!F29+'[1]Apr ext legal'!F29+'[1]May ext legal'!F29+'[1]Jun ext legal'!F29+'[1]Jul ext legal'!F29</f>
        <v>0</v>
      </c>
      <c r="G29" s="145">
        <f>+'[1]Jan ext legal'!G29+'[1]Feb ext legal'!G29+'[1]Mar ext legal'!G29+'[1]Apr ext legal'!G29+'[1]May ext legal'!G29+'[1]Jun ext legal'!G29+'[1]Jul ext legal'!G29</f>
        <v>0</v>
      </c>
      <c r="H29" s="146">
        <f>+'[1]Jan ext legal'!H29+'[1]Feb ext legal'!H29+'[1]Mar ext legal'!H29+'[1]Apr ext legal'!H29+'[1]May ext legal'!H29+'[1]Jun ext legal'!H29+'[1]Jul ext legal'!H29</f>
        <v>0</v>
      </c>
      <c r="I29" s="145">
        <f>+'[1]Jan ext legal'!I29+'[1]Feb ext legal'!I29+'[1]Mar ext legal'!I29+'[1]Apr ext legal'!I29+'[1]May ext legal'!I29+'[1]Jun ext legal'!I29+'[1]Jul ext legal'!I29</f>
        <v>0</v>
      </c>
      <c r="J29" s="146">
        <f>+'[1]Jan ext legal'!K29+'[1]Feb ext legal'!K29+'[1]Mar ext legal'!K29+'[1]Apr ext legal'!K29+'[1]May ext legal'!K29+'[1]Jun ext legal'!K29+'[1]Jul ext legal'!K29</f>
        <v>0</v>
      </c>
      <c r="K29" s="146">
        <f>+'[1]Jan ext legal'!L29+'[1]Feb ext legal'!L29+'[1]Mar ext legal'!L29+'[1]Apr ext legal'!L29+'[1]May ext legal'!L29+'[1]Jun ext legal'!L29+'[1]Jul ext legal'!L29</f>
        <v>0</v>
      </c>
      <c r="L29" s="146">
        <f>+'[1]Jan ext legal'!M29+'[1]Feb ext legal'!M29+'[1]Mar ext legal'!M29+'[1]Apr ext legal'!M29+'[1]May ext legal'!M29+'[1]Jun ext legal'!M29+'[1]Jul ext legal'!M29</f>
        <v>0</v>
      </c>
      <c r="M29" s="148">
        <f t="shared" si="0"/>
        <v>0</v>
      </c>
      <c r="N29" s="148">
        <f t="shared" si="1"/>
        <v>0</v>
      </c>
      <c r="O29" s="147"/>
      <c r="P29" s="148">
        <f t="shared" si="2"/>
        <v>0</v>
      </c>
    </row>
    <row r="30" spans="1:16" s="143" customFormat="1" ht="11.25" x14ac:dyDescent="0.2">
      <c r="A30" s="144">
        <v>106592</v>
      </c>
      <c r="B30" s="143" t="s">
        <v>144</v>
      </c>
      <c r="C30" s="143" t="s">
        <v>140</v>
      </c>
      <c r="D30" s="245">
        <v>0</v>
      </c>
      <c r="E30" s="145">
        <f>+'[1]Jan ext legal'!E30+'[1]Feb ext legal'!E30+'[1]Mar ext legal'!E30+'[1]Apr ext legal'!E30+'[1]May ext legal'!E30+'[1]Jun ext legal'!E30+'[1]Jul ext legal'!E30</f>
        <v>0</v>
      </c>
      <c r="F30" s="146">
        <f>+'[1]Jan ext legal'!F30+'[1]Feb ext legal'!F30+'[1]Mar ext legal'!F30+'[1]Apr ext legal'!F30+'[1]May ext legal'!F30+'[1]Jun ext legal'!F30+'[1]Jul ext legal'!F30</f>
        <v>0</v>
      </c>
      <c r="G30" s="145">
        <f>+'[1]Jan ext legal'!G30+'[1]Feb ext legal'!G30+'[1]Mar ext legal'!G30+'[1]Apr ext legal'!G30+'[1]May ext legal'!G30+'[1]Jun ext legal'!G30+'[1]Jul ext legal'!G30</f>
        <v>0</v>
      </c>
      <c r="H30" s="146">
        <f>+'[1]Jan ext legal'!H30+'[1]Feb ext legal'!H30+'[1]Mar ext legal'!H30+'[1]Apr ext legal'!H30+'[1]May ext legal'!H30+'[1]Jun ext legal'!H30+'[1]Jul ext legal'!H30</f>
        <v>0</v>
      </c>
      <c r="I30" s="145">
        <f>+'[1]Jan ext legal'!I30+'[1]Feb ext legal'!I30+'[1]Mar ext legal'!I30+'[1]Apr ext legal'!I30+'[1]May ext legal'!I30+'[1]Jun ext legal'!I30+'[1]Jul ext legal'!I30</f>
        <v>0</v>
      </c>
      <c r="J30" s="146">
        <f>+'[1]Jan ext legal'!K30+'[1]Feb ext legal'!K30+'[1]Mar ext legal'!K30+'[1]Apr ext legal'!K30+'[1]May ext legal'!K30+'[1]Jun ext legal'!K30+'[1]Jul ext legal'!K30</f>
        <v>0</v>
      </c>
      <c r="K30" s="146">
        <f>+'[1]Jan ext legal'!L30+'[1]Feb ext legal'!L30+'[1]Mar ext legal'!L30+'[1]Apr ext legal'!L30+'[1]May ext legal'!L30+'[1]Jun ext legal'!L30+'[1]Jul ext legal'!L30</f>
        <v>0</v>
      </c>
      <c r="L30" s="146">
        <f>+'[1]Jan ext legal'!M30+'[1]Feb ext legal'!M30+'[1]Mar ext legal'!M30+'[1]Apr ext legal'!M30+'[1]May ext legal'!M30+'[1]Jun ext legal'!M30+'[1]Jul ext legal'!M30</f>
        <v>0</v>
      </c>
      <c r="M30" s="148">
        <f t="shared" si="0"/>
        <v>0</v>
      </c>
      <c r="N30" s="148">
        <f t="shared" si="1"/>
        <v>0</v>
      </c>
      <c r="O30" s="147"/>
      <c r="P30" s="148">
        <f t="shared" si="2"/>
        <v>0</v>
      </c>
    </row>
    <row r="31" spans="1:16" s="143" customFormat="1" ht="11.25" x14ac:dyDescent="0.2">
      <c r="A31" s="144">
        <v>106593</v>
      </c>
      <c r="B31" s="143" t="s">
        <v>145</v>
      </c>
      <c r="C31" s="143" t="s">
        <v>140</v>
      </c>
      <c r="D31" s="245">
        <v>0</v>
      </c>
      <c r="E31" s="145">
        <f>+'[1]Jan ext legal'!E31+'[1]Feb ext legal'!E31+'[1]Mar ext legal'!E31+'[1]Apr ext legal'!E31+'[1]May ext legal'!E31+'[1]Jun ext legal'!E31+'[1]Jul ext legal'!E31</f>
        <v>0</v>
      </c>
      <c r="F31" s="146">
        <f>+'[1]Jan ext legal'!F31+'[1]Feb ext legal'!F31+'[1]Mar ext legal'!F31+'[1]Apr ext legal'!F31+'[1]May ext legal'!F31+'[1]Jun ext legal'!F31+'[1]Jul ext legal'!F31</f>
        <v>0</v>
      </c>
      <c r="G31" s="145">
        <f>+'[1]Jan ext legal'!G31+'[1]Feb ext legal'!G31+'[1]Mar ext legal'!G31+'[1]Apr ext legal'!G31+'[1]May ext legal'!G31+'[1]Jun ext legal'!G31+'[1]Jul ext legal'!G31</f>
        <v>0</v>
      </c>
      <c r="H31" s="146">
        <f>+'[1]Jan ext legal'!H31+'[1]Feb ext legal'!H31+'[1]Mar ext legal'!H31+'[1]Apr ext legal'!H31+'[1]May ext legal'!H31+'[1]Jun ext legal'!H31+'[1]Jul ext legal'!H31</f>
        <v>0</v>
      </c>
      <c r="I31" s="145">
        <f>+'[1]Jan ext legal'!I31+'[1]Feb ext legal'!I31+'[1]Mar ext legal'!I31+'[1]Apr ext legal'!I31+'[1]May ext legal'!I31+'[1]Jun ext legal'!I31+'[1]Jul ext legal'!I31</f>
        <v>0</v>
      </c>
      <c r="J31" s="146">
        <f>+'[1]Jan ext legal'!K31+'[1]Feb ext legal'!K31+'[1]Mar ext legal'!K31+'[1]Apr ext legal'!K31+'[1]May ext legal'!K31+'[1]Jun ext legal'!K31+'[1]Jul ext legal'!K31</f>
        <v>0</v>
      </c>
      <c r="K31" s="146">
        <f>+'[1]Jan ext legal'!L31+'[1]Feb ext legal'!L31+'[1]Mar ext legal'!L31+'[1]Apr ext legal'!L31+'[1]May ext legal'!L31+'[1]Jun ext legal'!L31+'[1]Jul ext legal'!L31</f>
        <v>0</v>
      </c>
      <c r="L31" s="146">
        <f>+'[1]Jan ext legal'!M31+'[1]Feb ext legal'!M31+'[1]Mar ext legal'!M31+'[1]Apr ext legal'!M31+'[1]May ext legal'!M31+'[1]Jun ext legal'!M31+'[1]Jul ext legal'!M31</f>
        <v>0</v>
      </c>
      <c r="M31" s="148">
        <f t="shared" si="0"/>
        <v>0</v>
      </c>
      <c r="N31" s="148">
        <f t="shared" si="1"/>
        <v>0</v>
      </c>
      <c r="O31" s="147"/>
      <c r="P31" s="148">
        <f t="shared" si="2"/>
        <v>0</v>
      </c>
    </row>
    <row r="32" spans="1:16" s="143" customFormat="1" ht="11.25" x14ac:dyDescent="0.2">
      <c r="A32" s="144">
        <v>106594</v>
      </c>
      <c r="B32" s="143" t="s">
        <v>146</v>
      </c>
      <c r="C32" s="143" t="s">
        <v>140</v>
      </c>
      <c r="D32" s="245">
        <v>0</v>
      </c>
      <c r="E32" s="145">
        <f>+'[1]Jan ext legal'!E32+'[1]Feb ext legal'!E32+'[1]Mar ext legal'!E32+'[1]Apr ext legal'!E32+'[1]May ext legal'!E32+'[1]Jun ext legal'!E32+'[1]Jul ext legal'!E32</f>
        <v>0</v>
      </c>
      <c r="F32" s="146">
        <f>+'[1]Jan ext legal'!F32+'[1]Feb ext legal'!F32+'[1]Mar ext legal'!F32+'[1]Apr ext legal'!F32+'[1]May ext legal'!F32+'[1]Jun ext legal'!F32+'[1]Jul ext legal'!F32</f>
        <v>0</v>
      </c>
      <c r="G32" s="145">
        <f>+'[1]Jan ext legal'!G32+'[1]Feb ext legal'!G32+'[1]Mar ext legal'!G32+'[1]Apr ext legal'!G32+'[1]May ext legal'!G32+'[1]Jun ext legal'!G32+'[1]Jul ext legal'!G32</f>
        <v>0</v>
      </c>
      <c r="H32" s="146">
        <f>+'[1]Jan ext legal'!H32+'[1]Feb ext legal'!H32+'[1]Mar ext legal'!H32+'[1]Apr ext legal'!H32+'[1]May ext legal'!H32+'[1]Jun ext legal'!H32+'[1]Jul ext legal'!H32</f>
        <v>0</v>
      </c>
      <c r="I32" s="145">
        <f>+'[1]Jan ext legal'!I32+'[1]Feb ext legal'!I32+'[1]Mar ext legal'!I32+'[1]Apr ext legal'!I32+'[1]May ext legal'!I32+'[1]Jun ext legal'!I32+'[1]Jul ext legal'!I32</f>
        <v>0</v>
      </c>
      <c r="J32" s="146">
        <f>+'[1]Jan ext legal'!K32+'[1]Feb ext legal'!K32+'[1]Mar ext legal'!K32+'[1]Apr ext legal'!K32+'[1]May ext legal'!K32+'[1]Jun ext legal'!K32+'[1]Jul ext legal'!K32</f>
        <v>0</v>
      </c>
      <c r="K32" s="146">
        <f>+'[1]Jan ext legal'!L32+'[1]Feb ext legal'!L32+'[1]Mar ext legal'!L32+'[1]Apr ext legal'!L32+'[1]May ext legal'!L32+'[1]Jun ext legal'!L32+'[1]Jul ext legal'!L32</f>
        <v>0</v>
      </c>
      <c r="L32" s="146">
        <f>+'[1]Jan ext legal'!M32+'[1]Feb ext legal'!M32+'[1]Mar ext legal'!M32+'[1]Apr ext legal'!M32+'[1]May ext legal'!M32+'[1]Jun ext legal'!M32+'[1]Jul ext legal'!M32</f>
        <v>0</v>
      </c>
      <c r="M32" s="148">
        <f t="shared" si="0"/>
        <v>0</v>
      </c>
      <c r="N32" s="148">
        <f t="shared" si="1"/>
        <v>0</v>
      </c>
      <c r="O32" s="147"/>
      <c r="P32" s="148">
        <f t="shared" si="2"/>
        <v>0</v>
      </c>
    </row>
    <row r="33" spans="1:16" s="143" customFormat="1" ht="11.25" x14ac:dyDescent="0.2">
      <c r="A33" s="144">
        <v>106595</v>
      </c>
      <c r="B33" s="143" t="s">
        <v>147</v>
      </c>
      <c r="C33" s="143" t="s">
        <v>140</v>
      </c>
      <c r="D33" s="245">
        <v>0</v>
      </c>
      <c r="E33" s="145">
        <f>+'[1]Jan ext legal'!E33+'[1]Feb ext legal'!E33+'[1]Mar ext legal'!E33+'[1]Apr ext legal'!E33+'[1]May ext legal'!E33+'[1]Jun ext legal'!E33+'[1]Jul ext legal'!E33</f>
        <v>0</v>
      </c>
      <c r="F33" s="146">
        <f>+'[1]Jan ext legal'!F33+'[1]Feb ext legal'!F33+'[1]Mar ext legal'!F33+'[1]Apr ext legal'!F33+'[1]May ext legal'!F33+'[1]Jun ext legal'!F33+'[1]Jul ext legal'!F33</f>
        <v>0</v>
      </c>
      <c r="G33" s="145">
        <f>+'[1]Jan ext legal'!G33+'[1]Feb ext legal'!G33+'[1]Mar ext legal'!G33+'[1]Apr ext legal'!G33+'[1]May ext legal'!G33+'[1]Jun ext legal'!G33+'[1]Jul ext legal'!G33</f>
        <v>0</v>
      </c>
      <c r="H33" s="146">
        <f>+'[1]Jan ext legal'!H33+'[1]Feb ext legal'!H33+'[1]Mar ext legal'!H33+'[1]Apr ext legal'!H33+'[1]May ext legal'!H33+'[1]Jun ext legal'!H33+'[1]Jul ext legal'!H33</f>
        <v>0</v>
      </c>
      <c r="I33" s="145">
        <f>+'[1]Jan ext legal'!I33+'[1]Feb ext legal'!I33+'[1]Mar ext legal'!I33+'[1]Apr ext legal'!I33+'[1]May ext legal'!I33+'[1]Jun ext legal'!I33+'[1]Jul ext legal'!I33</f>
        <v>0</v>
      </c>
      <c r="J33" s="146">
        <f>+'[1]Jan ext legal'!K33+'[1]Feb ext legal'!K33+'[1]Mar ext legal'!K33+'[1]Apr ext legal'!K33+'[1]May ext legal'!K33+'[1]Jun ext legal'!K33+'[1]Jul ext legal'!K33</f>
        <v>0</v>
      </c>
      <c r="K33" s="146">
        <f>+'[1]Jan ext legal'!L33+'[1]Feb ext legal'!L33+'[1]Mar ext legal'!L33+'[1]Apr ext legal'!L33+'[1]May ext legal'!L33+'[1]Jun ext legal'!L33+'[1]Jul ext legal'!L33</f>
        <v>0</v>
      </c>
      <c r="L33" s="146">
        <f>+'[1]Jan ext legal'!M33+'[1]Feb ext legal'!M33+'[1]Mar ext legal'!M33+'[1]Apr ext legal'!M33+'[1]May ext legal'!M33+'[1]Jun ext legal'!M33+'[1]Jul ext legal'!M33</f>
        <v>0</v>
      </c>
      <c r="M33" s="148">
        <f t="shared" si="0"/>
        <v>0</v>
      </c>
      <c r="N33" s="148">
        <f t="shared" si="1"/>
        <v>0</v>
      </c>
      <c r="O33" s="147"/>
      <c r="P33" s="148">
        <f t="shared" si="2"/>
        <v>0</v>
      </c>
    </row>
    <row r="34" spans="1:16" s="143" customFormat="1" ht="11.25" x14ac:dyDescent="0.2">
      <c r="A34" s="144">
        <v>106597</v>
      </c>
      <c r="B34" s="143" t="s">
        <v>148</v>
      </c>
      <c r="C34" s="143" t="s">
        <v>149</v>
      </c>
      <c r="D34" s="245">
        <v>0</v>
      </c>
      <c r="E34" s="145">
        <f>+'[1]Jan ext legal'!E34+'[1]Feb ext legal'!E34+'[1]Mar ext legal'!E34+'[1]Apr ext legal'!E34+'[1]May ext legal'!E34+'[1]Jun ext legal'!E34+'[1]Jul ext legal'!E34</f>
        <v>0</v>
      </c>
      <c r="F34" s="146">
        <f>+'[1]Jan ext legal'!F34+'[1]Feb ext legal'!F34+'[1]Mar ext legal'!F34+'[1]Apr ext legal'!F34+'[1]May ext legal'!F34+'[1]Jun ext legal'!F34+'[1]Jul ext legal'!F34</f>
        <v>0</v>
      </c>
      <c r="G34" s="145">
        <f>+'[1]Jan ext legal'!G34+'[1]Feb ext legal'!G34+'[1]Mar ext legal'!G34+'[1]Apr ext legal'!G34+'[1]May ext legal'!G34+'[1]Jun ext legal'!G34+'[1]Jul ext legal'!G34</f>
        <v>0</v>
      </c>
      <c r="H34" s="146">
        <f>+'[1]Jan ext legal'!H34+'[1]Feb ext legal'!H34+'[1]Mar ext legal'!H34+'[1]Apr ext legal'!H34+'[1]May ext legal'!H34+'[1]Jun ext legal'!H34+'[1]Jul ext legal'!H34</f>
        <v>0</v>
      </c>
      <c r="I34" s="145">
        <f>+'[1]Jan ext legal'!I34+'[1]Feb ext legal'!I34+'[1]Mar ext legal'!I34+'[1]Apr ext legal'!I34+'[1]May ext legal'!I34+'[1]Jun ext legal'!I34+'[1]Jul ext legal'!I34</f>
        <v>0</v>
      </c>
      <c r="J34" s="146">
        <f>+'[1]Jan ext legal'!K34+'[1]Feb ext legal'!K34+'[1]Mar ext legal'!K34+'[1]Apr ext legal'!K34+'[1]May ext legal'!K34+'[1]Jun ext legal'!K34+'[1]Jul ext legal'!K34</f>
        <v>0</v>
      </c>
      <c r="K34" s="146">
        <f>+'[1]Jan ext legal'!L34+'[1]Feb ext legal'!L34+'[1]Mar ext legal'!L34+'[1]Apr ext legal'!L34+'[1]May ext legal'!L34+'[1]Jun ext legal'!L34+'[1]Jul ext legal'!L34</f>
        <v>0</v>
      </c>
      <c r="L34" s="146">
        <f>+'[1]Jan ext legal'!M34+'[1]Feb ext legal'!M34+'[1]Mar ext legal'!M34+'[1]Apr ext legal'!M34+'[1]May ext legal'!M34+'[1]Jun ext legal'!M34+'[1]Jul ext legal'!M34</f>
        <v>0</v>
      </c>
      <c r="M34" s="148">
        <f t="shared" si="0"/>
        <v>0</v>
      </c>
      <c r="N34" s="148">
        <f t="shared" si="1"/>
        <v>0</v>
      </c>
      <c r="O34" s="147"/>
      <c r="P34" s="148">
        <f t="shared" si="2"/>
        <v>0</v>
      </c>
    </row>
    <row r="35" spans="1:16" s="143" customFormat="1" ht="11.25" x14ac:dyDescent="0.2">
      <c r="A35" s="144">
        <v>106598</v>
      </c>
      <c r="B35" s="143" t="s">
        <v>150</v>
      </c>
      <c r="C35" s="143" t="s">
        <v>151</v>
      </c>
      <c r="D35" s="245">
        <v>0</v>
      </c>
      <c r="E35" s="145">
        <f>+'[1]Jan ext legal'!E35+'[1]Feb ext legal'!E35+'[1]Mar ext legal'!E35+'[1]Apr ext legal'!E35+'[1]May ext legal'!E35+'[1]Jun ext legal'!E35+'[1]Jul ext legal'!E35</f>
        <v>0</v>
      </c>
      <c r="F35" s="146">
        <f>+'[1]Jan ext legal'!F35+'[1]Feb ext legal'!F35+'[1]Mar ext legal'!F35+'[1]Apr ext legal'!F35+'[1]May ext legal'!F35+'[1]Jun ext legal'!F35+'[1]Jul ext legal'!F35</f>
        <v>0</v>
      </c>
      <c r="G35" s="145">
        <f>+'[1]Jan ext legal'!G35+'[1]Feb ext legal'!G35+'[1]Mar ext legal'!G35+'[1]Apr ext legal'!G35+'[1]May ext legal'!G35+'[1]Jun ext legal'!G35+'[1]Jul ext legal'!G35</f>
        <v>0</v>
      </c>
      <c r="H35" s="146">
        <f>+'[1]Jan ext legal'!H35+'[1]Feb ext legal'!H35+'[1]Mar ext legal'!H35+'[1]Apr ext legal'!H35+'[1]May ext legal'!H35+'[1]Jun ext legal'!H35+'[1]Jul ext legal'!H35</f>
        <v>0</v>
      </c>
      <c r="I35" s="145">
        <f>+'[1]Jan ext legal'!I35+'[1]Feb ext legal'!I35+'[1]Mar ext legal'!I35+'[1]Apr ext legal'!I35+'[1]May ext legal'!I35+'[1]Jun ext legal'!I35+'[1]Jul ext legal'!I35</f>
        <v>0</v>
      </c>
      <c r="J35" s="146">
        <f>+'[1]Jan ext legal'!K35+'[1]Feb ext legal'!K35+'[1]Mar ext legal'!K35+'[1]Apr ext legal'!K35+'[1]May ext legal'!K35+'[1]Jun ext legal'!K35+'[1]Jul ext legal'!K35</f>
        <v>0</v>
      </c>
      <c r="K35" s="146">
        <f>+'[1]Jan ext legal'!L35+'[1]Feb ext legal'!L35+'[1]Mar ext legal'!L35+'[1]Apr ext legal'!L35+'[1]May ext legal'!L35+'[1]Jun ext legal'!L35+'[1]Jul ext legal'!L35</f>
        <v>0</v>
      </c>
      <c r="L35" s="146">
        <f>+'[1]Jan ext legal'!M35+'[1]Feb ext legal'!M35+'[1]Mar ext legal'!M35+'[1]Apr ext legal'!M35+'[1]May ext legal'!M35+'[1]Jun ext legal'!M35+'[1]Jul ext legal'!M35</f>
        <v>0</v>
      </c>
      <c r="M35" s="148">
        <f t="shared" si="0"/>
        <v>0</v>
      </c>
      <c r="N35" s="148">
        <f t="shared" si="1"/>
        <v>0</v>
      </c>
      <c r="O35" s="147"/>
      <c r="P35" s="148">
        <f t="shared" si="2"/>
        <v>0</v>
      </c>
    </row>
    <row r="36" spans="1:16" s="143" customFormat="1" ht="11.25" x14ac:dyDescent="0.2">
      <c r="A36" s="144">
        <v>106607</v>
      </c>
      <c r="B36" s="143" t="s">
        <v>152</v>
      </c>
      <c r="C36" s="143" t="s">
        <v>140</v>
      </c>
      <c r="D36" s="245">
        <v>0</v>
      </c>
      <c r="E36" s="145">
        <f>+'[1]Jan ext legal'!E36+'[1]Feb ext legal'!E36+'[1]Mar ext legal'!E36+'[1]Apr ext legal'!E36+'[1]May ext legal'!E36+'[1]Jun ext legal'!E36+'[1]Jul ext legal'!E36</f>
        <v>0</v>
      </c>
      <c r="F36" s="146">
        <f>+'[1]Jan ext legal'!F36+'[1]Feb ext legal'!F36+'[1]Mar ext legal'!F36+'[1]Apr ext legal'!F36+'[1]May ext legal'!F36+'[1]Jun ext legal'!F36+'[1]Jul ext legal'!F36</f>
        <v>0</v>
      </c>
      <c r="G36" s="145">
        <f>+'[1]Jan ext legal'!G36+'[1]Feb ext legal'!G36+'[1]Mar ext legal'!G36+'[1]Apr ext legal'!G36+'[1]May ext legal'!G36+'[1]Jun ext legal'!G36+'[1]Jul ext legal'!G36</f>
        <v>0</v>
      </c>
      <c r="H36" s="146">
        <f>+'[1]Jan ext legal'!H36+'[1]Feb ext legal'!H36+'[1]Mar ext legal'!H36+'[1]Apr ext legal'!H36+'[1]May ext legal'!H36+'[1]Jun ext legal'!H36+'[1]Jul ext legal'!H36</f>
        <v>0</v>
      </c>
      <c r="I36" s="145">
        <f>+'[1]Jan ext legal'!I36+'[1]Feb ext legal'!I36+'[1]Mar ext legal'!I36+'[1]Apr ext legal'!I36+'[1]May ext legal'!I36+'[1]Jun ext legal'!I36+'[1]Jul ext legal'!I36</f>
        <v>0</v>
      </c>
      <c r="J36" s="146">
        <f>+'[1]Jan ext legal'!K36+'[1]Feb ext legal'!K36+'[1]Mar ext legal'!K36+'[1]Apr ext legal'!K36+'[1]May ext legal'!K36+'[1]Jun ext legal'!K36+'[1]Jul ext legal'!K36</f>
        <v>0</v>
      </c>
      <c r="K36" s="146">
        <f>+'[1]Jan ext legal'!L36+'[1]Feb ext legal'!L36+'[1]Mar ext legal'!L36+'[1]Apr ext legal'!L36+'[1]May ext legal'!L36+'[1]Jun ext legal'!L36+'[1]Jul ext legal'!L36</f>
        <v>0</v>
      </c>
      <c r="L36" s="146">
        <f>+'[1]Jan ext legal'!M36+'[1]Feb ext legal'!M36+'[1]Mar ext legal'!M36+'[1]Apr ext legal'!M36+'[1]May ext legal'!M36+'[1]Jun ext legal'!M36+'[1]Jul ext legal'!M36</f>
        <v>0</v>
      </c>
      <c r="M36" s="148">
        <f t="shared" si="0"/>
        <v>0</v>
      </c>
      <c r="N36" s="148">
        <f t="shared" si="1"/>
        <v>0</v>
      </c>
      <c r="O36" s="147"/>
      <c r="P36" s="148">
        <f t="shared" si="2"/>
        <v>0</v>
      </c>
    </row>
    <row r="37" spans="1:16" s="143" customFormat="1" ht="11.25" x14ac:dyDescent="0.2">
      <c r="A37" s="144">
        <v>106608</v>
      </c>
      <c r="B37" s="143" t="s">
        <v>153</v>
      </c>
      <c r="C37" s="143" t="s">
        <v>154</v>
      </c>
      <c r="D37" s="245">
        <v>0</v>
      </c>
      <c r="E37" s="145">
        <f>+'[1]Jan ext legal'!E37+'[1]Feb ext legal'!E37+'[1]Mar ext legal'!E37+'[1]Apr ext legal'!E37+'[1]May ext legal'!E37+'[1]Jun ext legal'!E37+'[1]Jul ext legal'!E37</f>
        <v>0</v>
      </c>
      <c r="F37" s="146">
        <f>+'[1]Jan ext legal'!F37+'[1]Feb ext legal'!F37+'[1]Mar ext legal'!F37+'[1]Apr ext legal'!F37+'[1]May ext legal'!F37+'[1]Jun ext legal'!F37+'[1]Jul ext legal'!F37</f>
        <v>0</v>
      </c>
      <c r="G37" s="145">
        <f>+'[1]Jan ext legal'!G37+'[1]Feb ext legal'!G37+'[1]Mar ext legal'!G37+'[1]Apr ext legal'!G37+'[1]May ext legal'!G37+'[1]Jun ext legal'!G37+'[1]Jul ext legal'!G37</f>
        <v>0</v>
      </c>
      <c r="H37" s="146">
        <f>+'[1]Jan ext legal'!H37+'[1]Feb ext legal'!H37+'[1]Mar ext legal'!H37+'[1]Apr ext legal'!H37+'[1]May ext legal'!H37+'[1]Jun ext legal'!H37+'[1]Jul ext legal'!H37</f>
        <v>0</v>
      </c>
      <c r="I37" s="145">
        <f>+'[1]Jan ext legal'!I37+'[1]Feb ext legal'!I37+'[1]Mar ext legal'!I37+'[1]Apr ext legal'!I37+'[1]May ext legal'!I37+'[1]Jun ext legal'!I37+'[1]Jul ext legal'!I37</f>
        <v>0</v>
      </c>
      <c r="J37" s="146">
        <f>+'[1]Jan ext legal'!K37+'[1]Feb ext legal'!K37+'[1]Mar ext legal'!K37+'[1]Apr ext legal'!K37+'[1]May ext legal'!K37+'[1]Jun ext legal'!K37+'[1]Jul ext legal'!K37</f>
        <v>0</v>
      </c>
      <c r="K37" s="146">
        <f>+'[1]Jan ext legal'!L37+'[1]Feb ext legal'!L37+'[1]Mar ext legal'!L37+'[1]Apr ext legal'!L37+'[1]May ext legal'!L37+'[1]Jun ext legal'!L37+'[1]Jul ext legal'!L37</f>
        <v>0</v>
      </c>
      <c r="L37" s="146">
        <f>+'[1]Jan ext legal'!M37+'[1]Feb ext legal'!M37+'[1]Mar ext legal'!M37+'[1]Apr ext legal'!M37+'[1]May ext legal'!M37+'[1]Jun ext legal'!M37+'[1]Jul ext legal'!M37</f>
        <v>0</v>
      </c>
      <c r="M37" s="148">
        <f t="shared" si="0"/>
        <v>0</v>
      </c>
      <c r="N37" s="148">
        <f t="shared" si="1"/>
        <v>0</v>
      </c>
      <c r="O37" s="147"/>
      <c r="P37" s="148">
        <f t="shared" si="2"/>
        <v>0</v>
      </c>
    </row>
    <row r="38" spans="1:16" s="143" customFormat="1" ht="11.25" x14ac:dyDescent="0.2">
      <c r="A38" s="144">
        <v>106609</v>
      </c>
      <c r="B38" s="143" t="s">
        <v>155</v>
      </c>
      <c r="C38" s="143" t="s">
        <v>156</v>
      </c>
      <c r="D38" s="245">
        <v>0</v>
      </c>
      <c r="E38" s="145">
        <f>+'[1]Jan ext legal'!E38+'[1]Feb ext legal'!E38+'[1]Mar ext legal'!E38+'[1]Apr ext legal'!E38+'[1]May ext legal'!E38+'[1]Jun ext legal'!E38+'[1]Jul ext legal'!E38</f>
        <v>0</v>
      </c>
      <c r="F38" s="146">
        <f>+'[1]Jan ext legal'!F38+'[1]Feb ext legal'!F38+'[1]Mar ext legal'!F38+'[1]Apr ext legal'!F38+'[1]May ext legal'!F38+'[1]Jun ext legal'!F38+'[1]Jul ext legal'!F38</f>
        <v>0</v>
      </c>
      <c r="G38" s="145">
        <f>+'[1]Jan ext legal'!G38+'[1]Feb ext legal'!G38+'[1]Mar ext legal'!G38+'[1]Apr ext legal'!G38+'[1]May ext legal'!G38+'[1]Jun ext legal'!G38+'[1]Jul ext legal'!G38</f>
        <v>0</v>
      </c>
      <c r="H38" s="146">
        <f>+'[1]Jan ext legal'!H38+'[1]Feb ext legal'!H38+'[1]Mar ext legal'!H38+'[1]Apr ext legal'!H38+'[1]May ext legal'!H38+'[1]Jun ext legal'!H38+'[1]Jul ext legal'!H38</f>
        <v>0</v>
      </c>
      <c r="I38" s="145">
        <f>+'[1]Jan ext legal'!I38+'[1]Feb ext legal'!I38+'[1]Mar ext legal'!I38+'[1]Apr ext legal'!I38+'[1]May ext legal'!I38+'[1]Jun ext legal'!I38+'[1]Jul ext legal'!I38</f>
        <v>0</v>
      </c>
      <c r="J38" s="146">
        <f>+'[1]Jan ext legal'!K38+'[1]Feb ext legal'!K38+'[1]Mar ext legal'!K38+'[1]Apr ext legal'!K38+'[1]May ext legal'!K38+'[1]Jun ext legal'!K38+'[1]Jul ext legal'!K38</f>
        <v>0</v>
      </c>
      <c r="K38" s="146">
        <f>+'[1]Jan ext legal'!L38+'[1]Feb ext legal'!L38+'[1]Mar ext legal'!L38+'[1]Apr ext legal'!L38+'[1]May ext legal'!L38+'[1]Jun ext legal'!L38+'[1]Jul ext legal'!L38</f>
        <v>0</v>
      </c>
      <c r="L38" s="146">
        <f>+'[1]Jan ext legal'!M38+'[1]Feb ext legal'!M38+'[1]Mar ext legal'!M38+'[1]Apr ext legal'!M38+'[1]May ext legal'!M38+'[1]Jun ext legal'!M38+'[1]Jul ext legal'!M38</f>
        <v>0</v>
      </c>
      <c r="M38" s="148">
        <f t="shared" si="0"/>
        <v>0</v>
      </c>
      <c r="N38" s="148">
        <f t="shared" si="1"/>
        <v>0</v>
      </c>
      <c r="O38" s="147"/>
      <c r="P38" s="148">
        <f t="shared" si="2"/>
        <v>0</v>
      </c>
    </row>
    <row r="39" spans="1:16" s="143" customFormat="1" ht="11.25" x14ac:dyDescent="0.2">
      <c r="A39" s="144">
        <v>106610</v>
      </c>
      <c r="B39" s="143" t="s">
        <v>157</v>
      </c>
      <c r="C39" s="143" t="s">
        <v>158</v>
      </c>
      <c r="D39" s="245">
        <v>0</v>
      </c>
      <c r="E39" s="145">
        <f>+'[1]Jan ext legal'!E39+'[1]Feb ext legal'!E39+'[1]Mar ext legal'!E39+'[1]Apr ext legal'!E39+'[1]May ext legal'!E39+'[1]Jun ext legal'!E39+'[1]Jul ext legal'!E39</f>
        <v>0</v>
      </c>
      <c r="F39" s="146">
        <f>+'[1]Jan ext legal'!F39+'[1]Feb ext legal'!F39+'[1]Mar ext legal'!F39+'[1]Apr ext legal'!F39+'[1]May ext legal'!F39+'[1]Jun ext legal'!F39+'[1]Jul ext legal'!F39</f>
        <v>0</v>
      </c>
      <c r="G39" s="145">
        <f>+'[1]Jan ext legal'!G39+'[1]Feb ext legal'!G39+'[1]Mar ext legal'!G39+'[1]Apr ext legal'!G39+'[1]May ext legal'!G39+'[1]Jun ext legal'!G39+'[1]Jul ext legal'!G39</f>
        <v>0</v>
      </c>
      <c r="H39" s="146">
        <f>+'[1]Jan ext legal'!H39+'[1]Feb ext legal'!H39+'[1]Mar ext legal'!H39+'[1]Apr ext legal'!H39+'[1]May ext legal'!H39+'[1]Jun ext legal'!H39+'[1]Jul ext legal'!H39</f>
        <v>0</v>
      </c>
      <c r="I39" s="145">
        <f>+'[1]Jan ext legal'!I39+'[1]Feb ext legal'!I39+'[1]Mar ext legal'!I39+'[1]Apr ext legal'!I39+'[1]May ext legal'!I39+'[1]Jun ext legal'!I39+'[1]Jul ext legal'!I39</f>
        <v>0</v>
      </c>
      <c r="J39" s="146">
        <f>+'[1]Jan ext legal'!K39+'[1]Feb ext legal'!K39+'[1]Mar ext legal'!K39+'[1]Apr ext legal'!K39+'[1]May ext legal'!K39+'[1]Jun ext legal'!K39+'[1]Jul ext legal'!K39</f>
        <v>0</v>
      </c>
      <c r="K39" s="146">
        <f>+'[1]Jan ext legal'!L39+'[1]Feb ext legal'!L39+'[1]Mar ext legal'!L39+'[1]Apr ext legal'!L39+'[1]May ext legal'!L39+'[1]Jun ext legal'!L39+'[1]Jul ext legal'!L39</f>
        <v>0</v>
      </c>
      <c r="L39" s="146">
        <f>+'[1]Jan ext legal'!M39+'[1]Feb ext legal'!M39+'[1]Mar ext legal'!M39+'[1]Apr ext legal'!M39+'[1]May ext legal'!M39+'[1]Jun ext legal'!M39+'[1]Jul ext legal'!M39</f>
        <v>0</v>
      </c>
      <c r="M39" s="148">
        <f t="shared" si="0"/>
        <v>0</v>
      </c>
      <c r="N39" s="148">
        <f t="shared" si="1"/>
        <v>0</v>
      </c>
      <c r="O39" s="147"/>
      <c r="P39" s="148">
        <f t="shared" si="2"/>
        <v>0</v>
      </c>
    </row>
    <row r="40" spans="1:16" s="143" customFormat="1" ht="11.25" x14ac:dyDescent="0.2">
      <c r="A40" s="144">
        <v>106611</v>
      </c>
      <c r="B40" s="143" t="s">
        <v>159</v>
      </c>
      <c r="C40" s="143" t="s">
        <v>160</v>
      </c>
      <c r="D40" s="245">
        <v>0</v>
      </c>
      <c r="E40" s="145">
        <f>+'[1]Jan ext legal'!E40+'[1]Feb ext legal'!E40+'[1]Mar ext legal'!E40+'[1]Apr ext legal'!E40+'[1]May ext legal'!E40+'[1]Jun ext legal'!E40+'[1]Jul ext legal'!E40</f>
        <v>0</v>
      </c>
      <c r="F40" s="146">
        <f>+'[1]Jan ext legal'!F40+'[1]Feb ext legal'!F40+'[1]Mar ext legal'!F40+'[1]Apr ext legal'!F40+'[1]May ext legal'!F40+'[1]Jun ext legal'!F40+'[1]Jul ext legal'!F40</f>
        <v>0</v>
      </c>
      <c r="G40" s="145">
        <f>+'[1]Jan ext legal'!G40+'[1]Feb ext legal'!G40+'[1]Mar ext legal'!G40+'[1]Apr ext legal'!G40+'[1]May ext legal'!G40+'[1]Jun ext legal'!G40+'[1]Jul ext legal'!G40</f>
        <v>0</v>
      </c>
      <c r="H40" s="146">
        <f>+'[1]Jan ext legal'!H40+'[1]Feb ext legal'!H40+'[1]Mar ext legal'!H40+'[1]Apr ext legal'!H40+'[1]May ext legal'!H40+'[1]Jun ext legal'!H40+'[1]Jul ext legal'!H40</f>
        <v>0</v>
      </c>
      <c r="I40" s="145">
        <f>+'[1]Jan ext legal'!I40+'[1]Feb ext legal'!I40+'[1]Mar ext legal'!I40+'[1]Apr ext legal'!I40+'[1]May ext legal'!I40+'[1]Jun ext legal'!I40+'[1]Jul ext legal'!I40</f>
        <v>0</v>
      </c>
      <c r="J40" s="146">
        <f>+'[1]Jan ext legal'!K40+'[1]Feb ext legal'!K40+'[1]Mar ext legal'!K40+'[1]Apr ext legal'!K40+'[1]May ext legal'!K40+'[1]Jun ext legal'!K40+'[1]Jul ext legal'!K40</f>
        <v>0</v>
      </c>
      <c r="K40" s="146">
        <f>+'[1]Jan ext legal'!L40+'[1]Feb ext legal'!L40+'[1]Mar ext legal'!L40+'[1]Apr ext legal'!L40+'[1]May ext legal'!L40+'[1]Jun ext legal'!L40+'[1]Jul ext legal'!L40</f>
        <v>0</v>
      </c>
      <c r="L40" s="146">
        <f>+'[1]Jan ext legal'!M40+'[1]Feb ext legal'!M40+'[1]Mar ext legal'!M40+'[1]Apr ext legal'!M40+'[1]May ext legal'!M40+'[1]Jun ext legal'!M40+'[1]Jul ext legal'!M40</f>
        <v>0</v>
      </c>
      <c r="M40" s="148">
        <f t="shared" si="0"/>
        <v>0</v>
      </c>
      <c r="N40" s="148">
        <f t="shared" si="1"/>
        <v>0</v>
      </c>
      <c r="O40" s="147"/>
      <c r="P40" s="148">
        <f t="shared" si="2"/>
        <v>0</v>
      </c>
    </row>
    <row r="41" spans="1:16" s="143" customFormat="1" ht="11.25" x14ac:dyDescent="0.2">
      <c r="A41" s="144">
        <v>106616</v>
      </c>
      <c r="B41" s="143" t="s">
        <v>161</v>
      </c>
      <c r="C41" s="143" t="s">
        <v>162</v>
      </c>
      <c r="D41" s="245">
        <v>0</v>
      </c>
      <c r="E41" s="145">
        <f>+'[1]Jan ext legal'!E41+'[1]Feb ext legal'!E41+'[1]Mar ext legal'!E41+'[1]Apr ext legal'!E41+'[1]May ext legal'!E41+'[1]Jun ext legal'!E41+'[1]Jul ext legal'!E41</f>
        <v>0</v>
      </c>
      <c r="F41" s="146">
        <f>+'[1]Jan ext legal'!F41+'[1]Feb ext legal'!F41+'[1]Mar ext legal'!F41+'[1]Apr ext legal'!F41+'[1]May ext legal'!F41+'[1]Jun ext legal'!F41+'[1]Jul ext legal'!F41</f>
        <v>0</v>
      </c>
      <c r="G41" s="145">
        <f>+'[1]Jan ext legal'!G41+'[1]Feb ext legal'!G41+'[1]Mar ext legal'!G41+'[1]Apr ext legal'!G41+'[1]May ext legal'!G41+'[1]Jun ext legal'!G41+'[1]Jul ext legal'!G41</f>
        <v>0</v>
      </c>
      <c r="H41" s="146">
        <f>+'[1]Jan ext legal'!H41+'[1]Feb ext legal'!H41+'[1]Mar ext legal'!H41+'[1]Apr ext legal'!H41+'[1]May ext legal'!H41+'[1]Jun ext legal'!H41+'[1]Jul ext legal'!H41</f>
        <v>0</v>
      </c>
      <c r="I41" s="145">
        <f>+'[1]Jan ext legal'!I41+'[1]Feb ext legal'!I41+'[1]Mar ext legal'!I41+'[1]Apr ext legal'!I41+'[1]May ext legal'!I41+'[1]Jun ext legal'!I41+'[1]Jul ext legal'!I41</f>
        <v>0</v>
      </c>
      <c r="J41" s="146">
        <f>+'[1]Jan ext legal'!K41+'[1]Feb ext legal'!K41+'[1]Mar ext legal'!K41+'[1]Apr ext legal'!K41+'[1]May ext legal'!K41+'[1]Jun ext legal'!K41+'[1]Jul ext legal'!K41</f>
        <v>0</v>
      </c>
      <c r="K41" s="146">
        <f>+'[1]Jan ext legal'!L41+'[1]Feb ext legal'!L41+'[1]Mar ext legal'!L41+'[1]Apr ext legal'!L41+'[1]May ext legal'!L41+'[1]Jun ext legal'!L41+'[1]Jul ext legal'!L41</f>
        <v>0</v>
      </c>
      <c r="L41" s="146">
        <f>+'[1]Jan ext legal'!M41+'[1]Feb ext legal'!M41+'[1]Mar ext legal'!M41+'[1]Apr ext legal'!M41+'[1]May ext legal'!M41+'[1]Jun ext legal'!M41+'[1]Jul ext legal'!M41</f>
        <v>0</v>
      </c>
      <c r="M41" s="148">
        <f t="shared" si="0"/>
        <v>0</v>
      </c>
      <c r="N41" s="148">
        <f t="shared" si="1"/>
        <v>0</v>
      </c>
      <c r="O41" s="147"/>
      <c r="P41" s="148">
        <f t="shared" si="2"/>
        <v>0</v>
      </c>
    </row>
    <row r="42" spans="1:16" s="143" customFormat="1" ht="11.25" x14ac:dyDescent="0.2">
      <c r="A42" s="144">
        <v>106617</v>
      </c>
      <c r="B42" s="143" t="s">
        <v>163</v>
      </c>
      <c r="C42" s="143" t="s">
        <v>164</v>
      </c>
      <c r="D42" s="245">
        <v>0</v>
      </c>
      <c r="E42" s="145">
        <f>+'[1]Jan ext legal'!E42+'[1]Feb ext legal'!E42+'[1]Mar ext legal'!E42+'[1]Apr ext legal'!E42+'[1]May ext legal'!E42+'[1]Jun ext legal'!E42+'[1]Jul ext legal'!E42</f>
        <v>0</v>
      </c>
      <c r="F42" s="146">
        <f>+'[1]Jan ext legal'!F42+'[1]Feb ext legal'!F42+'[1]Mar ext legal'!F42+'[1]Apr ext legal'!F42+'[1]May ext legal'!F42+'[1]Jun ext legal'!F42+'[1]Jul ext legal'!F42</f>
        <v>0</v>
      </c>
      <c r="G42" s="145">
        <f>+'[1]Jan ext legal'!G42+'[1]Feb ext legal'!G42+'[1]Mar ext legal'!G42+'[1]Apr ext legal'!G42+'[1]May ext legal'!G42+'[1]Jun ext legal'!G42+'[1]Jul ext legal'!G42</f>
        <v>0</v>
      </c>
      <c r="H42" s="146">
        <f>+'[1]Jan ext legal'!H42+'[1]Feb ext legal'!H42+'[1]Mar ext legal'!H42+'[1]Apr ext legal'!H42+'[1]May ext legal'!H42+'[1]Jun ext legal'!H42+'[1]Jul ext legal'!H42</f>
        <v>0</v>
      </c>
      <c r="I42" s="145">
        <f>+'[1]Jan ext legal'!I42+'[1]Feb ext legal'!I42+'[1]Mar ext legal'!I42+'[1]Apr ext legal'!I42+'[1]May ext legal'!I42+'[1]Jun ext legal'!I42+'[1]Jul ext legal'!I42</f>
        <v>0</v>
      </c>
      <c r="J42" s="146">
        <f>+'[1]Jan ext legal'!K42+'[1]Feb ext legal'!K42+'[1]Mar ext legal'!K42+'[1]Apr ext legal'!K42+'[1]May ext legal'!K42+'[1]Jun ext legal'!K42+'[1]Jul ext legal'!K42</f>
        <v>0</v>
      </c>
      <c r="K42" s="146">
        <f>+'[1]Jan ext legal'!L42+'[1]Feb ext legal'!L42+'[1]Mar ext legal'!L42+'[1]Apr ext legal'!L42+'[1]May ext legal'!L42+'[1]Jun ext legal'!L42+'[1]Jul ext legal'!L42</f>
        <v>0</v>
      </c>
      <c r="L42" s="146">
        <f>+'[1]Jan ext legal'!M42+'[1]Feb ext legal'!M42+'[1]Mar ext legal'!M42+'[1]Apr ext legal'!M42+'[1]May ext legal'!M42+'[1]Jun ext legal'!M42+'[1]Jul ext legal'!M42</f>
        <v>0</v>
      </c>
      <c r="M42" s="148">
        <f t="shared" si="0"/>
        <v>0</v>
      </c>
      <c r="N42" s="148">
        <f t="shared" si="1"/>
        <v>0</v>
      </c>
      <c r="O42" s="147"/>
      <c r="P42" s="148">
        <f t="shared" si="2"/>
        <v>0</v>
      </c>
    </row>
    <row r="43" spans="1:16" s="143" customFormat="1" ht="11.25" x14ac:dyDescent="0.2">
      <c r="A43" s="150">
        <v>106790</v>
      </c>
      <c r="B43" s="151" t="s">
        <v>165</v>
      </c>
      <c r="C43" s="143" t="s">
        <v>166</v>
      </c>
      <c r="D43" s="245">
        <v>380150.15</v>
      </c>
      <c r="E43" s="145">
        <f>+'[1]Jan ext legal'!E43+'[1]Feb ext legal'!E43+'[1]Mar ext legal'!E43+'[1]Apr ext legal'!E43+'[1]May ext legal'!E43+'[1]Jun ext legal'!E43+'[1]Jul ext legal'!E43</f>
        <v>380030.15</v>
      </c>
      <c r="F43" s="146">
        <f>+'[1]Jan ext legal'!F43+'[1]Feb ext legal'!F43+'[1]Mar ext legal'!F43+'[1]Apr ext legal'!F43+'[1]May ext legal'!F43+'[1]Jun ext legal'!F43+'[1]Jul ext legal'!F43</f>
        <v>0</v>
      </c>
      <c r="G43" s="145">
        <f>+'[1]Jan ext legal'!G43+'[1]Feb ext legal'!G43+'[1]Mar ext legal'!G43+'[1]Apr ext legal'!G43+'[1]May ext legal'!G43+'[1]Jun ext legal'!G43+'[1]Jul ext legal'!G43</f>
        <v>120</v>
      </c>
      <c r="H43" s="146">
        <f>+'[1]Jan ext legal'!H43+'[1]Feb ext legal'!H43+'[1]Mar ext legal'!H43+'[1]Apr ext legal'!H43+'[1]May ext legal'!H43+'[1]Jun ext legal'!H43+'[1]Jul ext legal'!H43</f>
        <v>0</v>
      </c>
      <c r="I43" s="145">
        <f>+'[1]Jan ext legal'!I43+'[1]Feb ext legal'!I43+'[1]Mar ext legal'!I43+'[1]Apr ext legal'!I43+'[1]May ext legal'!I43+'[1]Jun ext legal'!I43+'[1]Jul ext legal'!I43</f>
        <v>0</v>
      </c>
      <c r="J43" s="146">
        <f>+'[1]Jan ext legal'!K43+'[1]Feb ext legal'!K43+'[1]Mar ext legal'!K43+'[1]Apr ext legal'!K43+'[1]May ext legal'!K43+'[1]Jun ext legal'!K43+'[1]Jul ext legal'!K43</f>
        <v>0</v>
      </c>
      <c r="K43" s="146">
        <f>+'[1]Jan ext legal'!L43+'[1]Feb ext legal'!L43+'[1]Mar ext legal'!L43+'[1]Apr ext legal'!L43+'[1]May ext legal'!L43+'[1]Jun ext legal'!L43+'[1]Jul ext legal'!L43</f>
        <v>0</v>
      </c>
      <c r="L43" s="146">
        <f>+'[1]Jan ext legal'!M43+'[1]Feb ext legal'!M43+'[1]Mar ext legal'!M43+'[1]Apr ext legal'!M43+'[1]May ext legal'!M43+'[1]Jun ext legal'!M43+'[1]Jul ext legal'!M43</f>
        <v>0</v>
      </c>
      <c r="M43" s="148">
        <f t="shared" si="0"/>
        <v>3.2396421329515528E-2</v>
      </c>
      <c r="N43" s="148">
        <f t="shared" si="1"/>
        <v>282356.6661885925</v>
      </c>
      <c r="O43" s="147"/>
      <c r="P43" s="148">
        <f t="shared" si="2"/>
        <v>662506.81618859246</v>
      </c>
    </row>
    <row r="44" spans="1:16" s="143" customFormat="1" ht="11.25" x14ac:dyDescent="0.2">
      <c r="A44" s="144">
        <v>106798</v>
      </c>
      <c r="B44" s="143" t="s">
        <v>167</v>
      </c>
      <c r="C44" s="143" t="s">
        <v>168</v>
      </c>
      <c r="D44" s="245">
        <v>0</v>
      </c>
      <c r="E44" s="145">
        <f>+'[1]Jan ext legal'!E44+'[1]Feb ext legal'!E44+'[1]Mar ext legal'!E44+'[1]Apr ext legal'!E44+'[1]May ext legal'!E44+'[1]Jun ext legal'!E44+'[1]Jul ext legal'!E44</f>
        <v>0</v>
      </c>
      <c r="F44" s="146">
        <f>+'[1]Jan ext legal'!F44+'[1]Feb ext legal'!F44+'[1]Mar ext legal'!F44+'[1]Apr ext legal'!F44+'[1]May ext legal'!F44+'[1]Jun ext legal'!F44+'[1]Jul ext legal'!F44</f>
        <v>0</v>
      </c>
      <c r="G44" s="145">
        <f>+'[1]Jan ext legal'!G44+'[1]Feb ext legal'!G44+'[1]Mar ext legal'!G44+'[1]Apr ext legal'!G44+'[1]May ext legal'!G44+'[1]Jun ext legal'!G44+'[1]Jul ext legal'!G44</f>
        <v>0</v>
      </c>
      <c r="H44" s="146">
        <f>+'[1]Jan ext legal'!H44+'[1]Feb ext legal'!H44+'[1]Mar ext legal'!H44+'[1]Apr ext legal'!H44+'[1]May ext legal'!H44+'[1]Jun ext legal'!H44+'[1]Jul ext legal'!H44</f>
        <v>0</v>
      </c>
      <c r="I44" s="145">
        <f>+'[1]Jan ext legal'!I44+'[1]Feb ext legal'!I44+'[1]Mar ext legal'!I44+'[1]Apr ext legal'!I44+'[1]May ext legal'!I44+'[1]Jun ext legal'!I44+'[1]Jul ext legal'!I44</f>
        <v>0</v>
      </c>
      <c r="J44" s="146">
        <f>+'[1]Jan ext legal'!K44+'[1]Feb ext legal'!K44+'[1]Mar ext legal'!K44+'[1]Apr ext legal'!K44+'[1]May ext legal'!K44+'[1]Jun ext legal'!K44+'[1]Jul ext legal'!K44</f>
        <v>0</v>
      </c>
      <c r="K44" s="146">
        <f>+'[1]Jan ext legal'!L44+'[1]Feb ext legal'!L44+'[1]Mar ext legal'!L44+'[1]Apr ext legal'!L44+'[1]May ext legal'!L44+'[1]Jun ext legal'!L44+'[1]Jul ext legal'!L44</f>
        <v>0</v>
      </c>
      <c r="L44" s="146">
        <f>+'[1]Jan ext legal'!M44+'[1]Feb ext legal'!M44+'[1]Mar ext legal'!M44+'[1]Apr ext legal'!M44+'[1]May ext legal'!M44+'[1]Jun ext legal'!M44+'[1]Jul ext legal'!M44</f>
        <v>0</v>
      </c>
      <c r="M44" s="148">
        <f t="shared" si="0"/>
        <v>0</v>
      </c>
      <c r="N44" s="148">
        <f t="shared" si="1"/>
        <v>0</v>
      </c>
      <c r="O44" s="147"/>
      <c r="P44" s="148">
        <f t="shared" si="2"/>
        <v>0</v>
      </c>
    </row>
    <row r="45" spans="1:16" s="143" customFormat="1" ht="11.25" x14ac:dyDescent="0.2">
      <c r="A45" s="144">
        <v>106802</v>
      </c>
      <c r="B45" s="143" t="s">
        <v>169</v>
      </c>
      <c r="C45" s="143" t="s">
        <v>170</v>
      </c>
      <c r="D45" s="245">
        <v>1029.82</v>
      </c>
      <c r="E45" s="145">
        <f>+'[1]Jan ext legal'!E45+'[1]Feb ext legal'!E45+'[1]Mar ext legal'!E45+'[1]Apr ext legal'!E45+'[1]May ext legal'!E45+'[1]Jun ext legal'!E45+'[1]Jul ext legal'!E45</f>
        <v>1029.82</v>
      </c>
      <c r="F45" s="146">
        <f>+'[1]Jan ext legal'!F45+'[1]Feb ext legal'!F45+'[1]Mar ext legal'!F45+'[1]Apr ext legal'!F45+'[1]May ext legal'!F45+'[1]Jun ext legal'!F45+'[1]Jul ext legal'!F45</f>
        <v>0</v>
      </c>
      <c r="G45" s="145">
        <f>+'[1]Jan ext legal'!G45+'[1]Feb ext legal'!G45+'[1]Mar ext legal'!G45+'[1]Apr ext legal'!G45+'[1]May ext legal'!G45+'[1]Jun ext legal'!G45+'[1]Jul ext legal'!G45</f>
        <v>0</v>
      </c>
      <c r="H45" s="146">
        <f>+'[1]Jan ext legal'!H45+'[1]Feb ext legal'!H45+'[1]Mar ext legal'!H45+'[1]Apr ext legal'!H45+'[1]May ext legal'!H45+'[1]Jun ext legal'!H45+'[1]Jul ext legal'!H45</f>
        <v>0</v>
      </c>
      <c r="I45" s="145">
        <f>+'[1]Jan ext legal'!I45+'[1]Feb ext legal'!I45+'[1]Mar ext legal'!I45+'[1]Apr ext legal'!I45+'[1]May ext legal'!I45+'[1]Jun ext legal'!I45+'[1]Jul ext legal'!I45</f>
        <v>0</v>
      </c>
      <c r="J45" s="146">
        <f>+'[1]Jan ext legal'!K45+'[1]Feb ext legal'!K45+'[1]Mar ext legal'!K45+'[1]Apr ext legal'!K45+'[1]May ext legal'!K45+'[1]Jun ext legal'!K45+'[1]Jul ext legal'!K45</f>
        <v>0</v>
      </c>
      <c r="K45" s="146">
        <f>+'[1]Jan ext legal'!L45+'[1]Feb ext legal'!L45+'[1]Mar ext legal'!L45+'[1]Apr ext legal'!L45+'[1]May ext legal'!L45+'[1]Jun ext legal'!L45+'[1]Jul ext legal'!L45</f>
        <v>0</v>
      </c>
      <c r="L45" s="146">
        <f>+'[1]Jan ext legal'!M45+'[1]Feb ext legal'!M45+'[1]Mar ext legal'!M45+'[1]Apr ext legal'!M45+'[1]May ext legal'!M45+'[1]Jun ext legal'!M45+'[1]Jul ext legal'!M45</f>
        <v>0</v>
      </c>
      <c r="M45" s="148">
        <f t="shared" si="0"/>
        <v>8.7761329605056521E-5</v>
      </c>
      <c r="N45" s="148">
        <f t="shared" si="1"/>
        <v>764.8991904234058</v>
      </c>
      <c r="O45" s="147"/>
      <c r="P45" s="148">
        <f t="shared" si="2"/>
        <v>1794.7191904234057</v>
      </c>
    </row>
    <row r="46" spans="1:16" s="143" customFormat="1" ht="11.25" x14ac:dyDescent="0.2">
      <c r="A46" s="144">
        <v>106860</v>
      </c>
      <c r="B46" s="143" t="s">
        <v>171</v>
      </c>
      <c r="C46" s="151" t="s">
        <v>172</v>
      </c>
      <c r="D46" s="245">
        <v>47123.199999999997</v>
      </c>
      <c r="E46" s="145">
        <f>+'[1]Jan ext legal'!E46+'[1]Feb ext legal'!E46+'[1]Mar ext legal'!E46+'[1]Apr ext legal'!E46+'[1]May ext legal'!E46+'[1]Jun ext legal'!E46+'[1]Jul ext legal'!E46</f>
        <v>0</v>
      </c>
      <c r="F46" s="146">
        <f>+'[1]Jan ext legal'!F46+'[1]Feb ext legal'!F46+'[1]Mar ext legal'!F46+'[1]Apr ext legal'!F46+'[1]May ext legal'!F46+'[1]Jun ext legal'!F46+'[1]Jul ext legal'!F46</f>
        <v>0</v>
      </c>
      <c r="G46" s="145">
        <f>+'[1]Jan ext legal'!G46+'[1]Feb ext legal'!G46+'[1]Mar ext legal'!G46+'[1]Apr ext legal'!G46+'[1]May ext legal'!G46+'[1]Jun ext legal'!G46+'[1]Jul ext legal'!G46</f>
        <v>0</v>
      </c>
      <c r="H46" s="146">
        <f>+'[1]Jan ext legal'!H46+'[1]Feb ext legal'!H46+'[1]Mar ext legal'!H46+'[1]Apr ext legal'!H46+'[1]May ext legal'!H46+'[1]Jun ext legal'!H46+'[1]Jul ext legal'!H46</f>
        <v>0</v>
      </c>
      <c r="I46" s="145">
        <f>+'[1]Jan ext legal'!I46+'[1]Feb ext legal'!I46+'[1]Mar ext legal'!I46+'[1]Apr ext legal'!I46+'[1]May ext legal'!I46+'[1]Jun ext legal'!I46+'[1]Jul ext legal'!I46</f>
        <v>47123.200000000004</v>
      </c>
      <c r="J46" s="146">
        <f>+'[1]Jan ext legal'!K46+'[1]Feb ext legal'!K46+'[1]Mar ext legal'!K46+'[1]Apr ext legal'!K46+'[1]May ext legal'!K46+'[1]Jun ext legal'!K46+'[1]Jul ext legal'!K46</f>
        <v>0</v>
      </c>
      <c r="K46" s="146">
        <f>+'[1]Jan ext legal'!L46+'[1]Feb ext legal'!L46+'[1]Mar ext legal'!L46+'[1]Apr ext legal'!L46+'[1]May ext legal'!L46+'[1]Jun ext legal'!L46+'[1]Jul ext legal'!L46</f>
        <v>0</v>
      </c>
      <c r="L46" s="146">
        <f>+'[1]Jan ext legal'!M46+'[1]Feb ext legal'!M46+'[1]Mar ext legal'!M46+'[1]Apr ext legal'!M46+'[1]May ext legal'!M46+'[1]Jun ext legal'!M46+'[1]Jul ext legal'!M46</f>
        <v>0</v>
      </c>
      <c r="M46" s="148">
        <f t="shared" si="0"/>
        <v>4.0158422707317776E-3</v>
      </c>
      <c r="N46" s="148">
        <f t="shared" si="1"/>
        <v>35000.774436464853</v>
      </c>
      <c r="O46" s="147"/>
      <c r="P46" s="148">
        <f t="shared" si="2"/>
        <v>82123.97443646485</v>
      </c>
    </row>
    <row r="47" spans="1:16" s="143" customFormat="1" ht="11.25" x14ac:dyDescent="0.2">
      <c r="A47" s="144">
        <v>107021</v>
      </c>
      <c r="B47" s="143" t="s">
        <v>173</v>
      </c>
      <c r="C47" s="143" t="s">
        <v>174</v>
      </c>
      <c r="D47" s="245">
        <v>0</v>
      </c>
      <c r="E47" s="145">
        <f>+'[1]Jan ext legal'!E47+'[1]Feb ext legal'!E47+'[1]Mar ext legal'!E47+'[1]Apr ext legal'!E47+'[1]May ext legal'!E47+'[1]Jun ext legal'!E47+'[1]Jul ext legal'!E47</f>
        <v>0</v>
      </c>
      <c r="F47" s="146">
        <f>+'[1]Jan ext legal'!F47+'[1]Feb ext legal'!F47+'[1]Mar ext legal'!F47+'[1]Apr ext legal'!F47+'[1]May ext legal'!F47+'[1]Jun ext legal'!F47+'[1]Jul ext legal'!F47</f>
        <v>0</v>
      </c>
      <c r="G47" s="145">
        <f>+'[1]Jan ext legal'!G47+'[1]Feb ext legal'!G47+'[1]Mar ext legal'!G47+'[1]Apr ext legal'!G47+'[1]May ext legal'!G47+'[1]Jun ext legal'!G47+'[1]Jul ext legal'!G47</f>
        <v>0</v>
      </c>
      <c r="H47" s="146">
        <f>+'[1]Jan ext legal'!H47+'[1]Feb ext legal'!H47+'[1]Mar ext legal'!H47+'[1]Apr ext legal'!H47+'[1]May ext legal'!H47+'[1]Jun ext legal'!H47+'[1]Jul ext legal'!H47</f>
        <v>0</v>
      </c>
      <c r="I47" s="145">
        <f>+'[1]Jan ext legal'!I47+'[1]Feb ext legal'!I47+'[1]Mar ext legal'!I47+'[1]Apr ext legal'!I47+'[1]May ext legal'!I47+'[1]Jun ext legal'!I47+'[1]Jul ext legal'!I47</f>
        <v>0</v>
      </c>
      <c r="J47" s="146">
        <f>+'[1]Jan ext legal'!K47+'[1]Feb ext legal'!K47+'[1]Mar ext legal'!K47+'[1]Apr ext legal'!K47+'[1]May ext legal'!K47+'[1]Jun ext legal'!K47+'[1]Jul ext legal'!K47</f>
        <v>0</v>
      </c>
      <c r="K47" s="146">
        <f>+'[1]Jan ext legal'!L47+'[1]Feb ext legal'!L47+'[1]Mar ext legal'!L47+'[1]Apr ext legal'!L47+'[1]May ext legal'!L47+'[1]Jun ext legal'!L47+'[1]Jul ext legal'!L47</f>
        <v>0</v>
      </c>
      <c r="L47" s="146">
        <f>+'[1]Jan ext legal'!M47+'[1]Feb ext legal'!M47+'[1]Mar ext legal'!M47+'[1]Apr ext legal'!M47+'[1]May ext legal'!M47+'[1]Jun ext legal'!M47+'[1]Jul ext legal'!M47</f>
        <v>0</v>
      </c>
      <c r="M47" s="148">
        <f t="shared" si="0"/>
        <v>0</v>
      </c>
      <c r="N47" s="148">
        <f t="shared" si="1"/>
        <v>0</v>
      </c>
      <c r="O47" s="147"/>
      <c r="P47" s="148">
        <f t="shared" si="2"/>
        <v>0</v>
      </c>
    </row>
    <row r="48" spans="1:16" s="143" customFormat="1" ht="11.25" x14ac:dyDescent="0.2">
      <c r="A48" s="144">
        <v>107022</v>
      </c>
      <c r="B48" s="143" t="s">
        <v>175</v>
      </c>
      <c r="D48" s="245">
        <v>0</v>
      </c>
      <c r="E48" s="145">
        <f>+'[1]Jan ext legal'!E48+'[1]Feb ext legal'!E48+'[1]Mar ext legal'!E48+'[1]Apr ext legal'!E48+'[1]May ext legal'!E48+'[1]Jun ext legal'!E48+'[1]Jul ext legal'!E48</f>
        <v>0</v>
      </c>
      <c r="F48" s="146">
        <f>+'[1]Jan ext legal'!F48+'[1]Feb ext legal'!F48+'[1]Mar ext legal'!F48+'[1]Apr ext legal'!F48+'[1]May ext legal'!F48+'[1]Jun ext legal'!F48+'[1]Jul ext legal'!F48</f>
        <v>0</v>
      </c>
      <c r="G48" s="145">
        <f>+'[1]Jan ext legal'!G48+'[1]Feb ext legal'!G48+'[1]Mar ext legal'!G48+'[1]Apr ext legal'!G48+'[1]May ext legal'!G48+'[1]Jun ext legal'!G48+'[1]Jul ext legal'!G48</f>
        <v>0</v>
      </c>
      <c r="H48" s="146">
        <f>+'[1]Jan ext legal'!H48+'[1]Feb ext legal'!H48+'[1]Mar ext legal'!H48+'[1]Apr ext legal'!H48+'[1]May ext legal'!H48+'[1]Jun ext legal'!H48+'[1]Jul ext legal'!H48</f>
        <v>0</v>
      </c>
      <c r="I48" s="145">
        <f>+'[1]Jan ext legal'!I48+'[1]Feb ext legal'!I48+'[1]Mar ext legal'!I48+'[1]Apr ext legal'!I48+'[1]May ext legal'!I48+'[1]Jun ext legal'!I48+'[1]Jul ext legal'!I48</f>
        <v>0</v>
      </c>
      <c r="J48" s="146">
        <f>+'[1]Jan ext legal'!K48+'[1]Feb ext legal'!K48+'[1]Mar ext legal'!K48+'[1]Apr ext legal'!K48+'[1]May ext legal'!K48+'[1]Jun ext legal'!K48+'[1]Jul ext legal'!K48</f>
        <v>0</v>
      </c>
      <c r="K48" s="146">
        <f>+'[1]Jan ext legal'!L48+'[1]Feb ext legal'!L48+'[1]Mar ext legal'!L48+'[1]Apr ext legal'!L48+'[1]May ext legal'!L48+'[1]Jun ext legal'!L48+'[1]Jul ext legal'!L48</f>
        <v>0</v>
      </c>
      <c r="L48" s="146">
        <f>+'[1]Jan ext legal'!M48+'[1]Feb ext legal'!M48+'[1]Mar ext legal'!M48+'[1]Apr ext legal'!M48+'[1]May ext legal'!M48+'[1]Jun ext legal'!M48+'[1]Jul ext legal'!M48</f>
        <v>0</v>
      </c>
      <c r="M48" s="148">
        <f t="shared" si="0"/>
        <v>0</v>
      </c>
      <c r="N48" s="148">
        <f t="shared" si="1"/>
        <v>0</v>
      </c>
      <c r="O48" s="147"/>
      <c r="P48" s="148">
        <f t="shared" si="2"/>
        <v>0</v>
      </c>
    </row>
    <row r="49" spans="1:16" s="143" customFormat="1" ht="11.25" x14ac:dyDescent="0.2">
      <c r="A49" s="144">
        <v>107023</v>
      </c>
      <c r="B49" s="143" t="s">
        <v>176</v>
      </c>
      <c r="D49" s="245">
        <v>0</v>
      </c>
      <c r="E49" s="145">
        <f>+'[1]Jan ext legal'!E49+'[1]Feb ext legal'!E49+'[1]Mar ext legal'!E49+'[1]Apr ext legal'!E49+'[1]May ext legal'!E49+'[1]Jun ext legal'!E49+'[1]Jul ext legal'!E49</f>
        <v>0</v>
      </c>
      <c r="F49" s="146">
        <f>+'[1]Jan ext legal'!F49+'[1]Feb ext legal'!F49+'[1]Mar ext legal'!F49+'[1]Apr ext legal'!F49+'[1]May ext legal'!F49+'[1]Jun ext legal'!F49+'[1]Jul ext legal'!F49</f>
        <v>0</v>
      </c>
      <c r="G49" s="145">
        <f>+'[1]Jan ext legal'!G49+'[1]Feb ext legal'!G49+'[1]Mar ext legal'!G49+'[1]Apr ext legal'!G49+'[1]May ext legal'!G49+'[1]Jun ext legal'!G49+'[1]Jul ext legal'!G49</f>
        <v>0</v>
      </c>
      <c r="H49" s="146">
        <f>+'[1]Jan ext legal'!H49+'[1]Feb ext legal'!H49+'[1]Mar ext legal'!H49+'[1]Apr ext legal'!H49+'[1]May ext legal'!H49+'[1]Jun ext legal'!H49+'[1]Jul ext legal'!H49</f>
        <v>0</v>
      </c>
      <c r="I49" s="145">
        <f>+'[1]Jan ext legal'!I49+'[1]Feb ext legal'!I49+'[1]Mar ext legal'!I49+'[1]Apr ext legal'!I49+'[1]May ext legal'!I49+'[1]Jun ext legal'!I49+'[1]Jul ext legal'!I49</f>
        <v>0</v>
      </c>
      <c r="J49" s="146">
        <f>+'[1]Jan ext legal'!K49+'[1]Feb ext legal'!K49+'[1]Mar ext legal'!K49+'[1]Apr ext legal'!K49+'[1]May ext legal'!K49+'[1]Jun ext legal'!K49+'[1]Jul ext legal'!K49</f>
        <v>0</v>
      </c>
      <c r="K49" s="146">
        <f>+'[1]Jan ext legal'!L49+'[1]Feb ext legal'!L49+'[1]Mar ext legal'!L49+'[1]Apr ext legal'!L49+'[1]May ext legal'!L49+'[1]Jun ext legal'!L49+'[1]Jul ext legal'!L49</f>
        <v>0</v>
      </c>
      <c r="L49" s="146">
        <f>+'[1]Jan ext legal'!M49+'[1]Feb ext legal'!M49+'[1]Mar ext legal'!M49+'[1]Apr ext legal'!M49+'[1]May ext legal'!M49+'[1]Jun ext legal'!M49+'[1]Jul ext legal'!M49</f>
        <v>0</v>
      </c>
      <c r="M49" s="148">
        <f t="shared" si="0"/>
        <v>0</v>
      </c>
      <c r="N49" s="148">
        <f t="shared" si="1"/>
        <v>0</v>
      </c>
      <c r="O49" s="147"/>
      <c r="P49" s="148">
        <f t="shared" si="2"/>
        <v>0</v>
      </c>
    </row>
    <row r="50" spans="1:16" s="143" customFormat="1" ht="11.25" x14ac:dyDescent="0.2">
      <c r="A50" s="144">
        <v>107024</v>
      </c>
      <c r="B50" s="143" t="s">
        <v>177</v>
      </c>
      <c r="C50" s="143" t="s">
        <v>140</v>
      </c>
      <c r="D50" s="245">
        <v>0</v>
      </c>
      <c r="E50" s="145">
        <f>+'[1]Jan ext legal'!E50+'[1]Feb ext legal'!E50+'[1]Mar ext legal'!E50+'[1]Apr ext legal'!E50+'[1]May ext legal'!E50+'[1]Jun ext legal'!E50+'[1]Jul ext legal'!E50</f>
        <v>0</v>
      </c>
      <c r="F50" s="146">
        <f>+'[1]Jan ext legal'!F50+'[1]Feb ext legal'!F50+'[1]Mar ext legal'!F50+'[1]Apr ext legal'!F50+'[1]May ext legal'!F50+'[1]Jun ext legal'!F50+'[1]Jul ext legal'!F50</f>
        <v>0</v>
      </c>
      <c r="G50" s="145">
        <f>+'[1]Jan ext legal'!G50+'[1]Feb ext legal'!G50+'[1]Mar ext legal'!G50+'[1]Apr ext legal'!G50+'[1]May ext legal'!G50+'[1]Jun ext legal'!G50+'[1]Jul ext legal'!G50</f>
        <v>0</v>
      </c>
      <c r="H50" s="146">
        <f>+'[1]Jan ext legal'!H50+'[1]Feb ext legal'!H50+'[1]Mar ext legal'!H50+'[1]Apr ext legal'!H50+'[1]May ext legal'!H50+'[1]Jun ext legal'!H50+'[1]Jul ext legal'!H50</f>
        <v>0</v>
      </c>
      <c r="I50" s="145">
        <f>+'[1]Jan ext legal'!I50+'[1]Feb ext legal'!I50+'[1]Mar ext legal'!I50+'[1]Apr ext legal'!I50+'[1]May ext legal'!I50+'[1]Jun ext legal'!I50+'[1]Jul ext legal'!I50</f>
        <v>0</v>
      </c>
      <c r="J50" s="146">
        <f>+'[1]Jan ext legal'!K50+'[1]Feb ext legal'!K50+'[1]Mar ext legal'!K50+'[1]Apr ext legal'!K50+'[1]May ext legal'!K50+'[1]Jun ext legal'!K50+'[1]Jul ext legal'!K50</f>
        <v>0</v>
      </c>
      <c r="K50" s="146">
        <f>+'[1]Jan ext legal'!L50+'[1]Feb ext legal'!L50+'[1]Mar ext legal'!L50+'[1]Apr ext legal'!L50+'[1]May ext legal'!L50+'[1]Jun ext legal'!L50+'[1]Jul ext legal'!L50</f>
        <v>0</v>
      </c>
      <c r="L50" s="146">
        <f>+'[1]Jan ext legal'!M50+'[1]Feb ext legal'!M50+'[1]Mar ext legal'!M50+'[1]Apr ext legal'!M50+'[1]May ext legal'!M50+'[1]Jun ext legal'!M50+'[1]Jul ext legal'!M50</f>
        <v>0</v>
      </c>
      <c r="M50" s="148">
        <f t="shared" si="0"/>
        <v>0</v>
      </c>
      <c r="N50" s="148">
        <f t="shared" si="1"/>
        <v>0</v>
      </c>
      <c r="O50" s="147"/>
      <c r="P50" s="148">
        <f t="shared" si="2"/>
        <v>0</v>
      </c>
    </row>
    <row r="51" spans="1:16" s="143" customFormat="1" ht="11.25" x14ac:dyDescent="0.2">
      <c r="A51" s="144">
        <v>107040</v>
      </c>
      <c r="B51" s="143" t="s">
        <v>178</v>
      </c>
      <c r="C51" s="143" t="s">
        <v>140</v>
      </c>
      <c r="D51" s="245">
        <v>152847.69</v>
      </c>
      <c r="E51" s="145">
        <f>+'[1]Jan ext legal'!E51+'[1]Feb ext legal'!E51+'[1]Mar ext legal'!E51+'[1]Apr ext legal'!E51+'[1]May ext legal'!E51+'[1]Jun ext legal'!E51+'[1]Jul ext legal'!E51</f>
        <v>0</v>
      </c>
      <c r="F51" s="146">
        <f>+'[1]Jan ext legal'!F51+'[1]Feb ext legal'!F51+'[1]Mar ext legal'!F51+'[1]Apr ext legal'!F51+'[1]May ext legal'!F51+'[1]Jun ext legal'!F51+'[1]Jul ext legal'!F51</f>
        <v>138407.26999999999</v>
      </c>
      <c r="G51" s="145">
        <f>+'[1]Jan ext legal'!G51+'[1]Feb ext legal'!G51+'[1]Mar ext legal'!G51+'[1]Apr ext legal'!G51+'[1]May ext legal'!G51+'[1]Jun ext legal'!G51+'[1]Jul ext legal'!G51</f>
        <v>12406.240000000002</v>
      </c>
      <c r="H51" s="146">
        <f>+'[1]Jan ext legal'!H51+'[1]Feb ext legal'!H51+'[1]Mar ext legal'!H51+'[1]Apr ext legal'!H51+'[1]May ext legal'!H51+'[1]Jun ext legal'!H51+'[1]Jul ext legal'!H51</f>
        <v>2034.18</v>
      </c>
      <c r="I51" s="145">
        <f>+'[1]Jan ext legal'!I51+'[1]Feb ext legal'!I51+'[1]Mar ext legal'!I51+'[1]Apr ext legal'!I51+'[1]May ext legal'!I51+'[1]Jun ext legal'!I51+'[1]Jul ext legal'!I51</f>
        <v>0</v>
      </c>
      <c r="J51" s="146">
        <f>+'[1]Jan ext legal'!K51+'[1]Feb ext legal'!K51+'[1]Mar ext legal'!K51+'[1]Apr ext legal'!K51+'[1]May ext legal'!K51+'[1]Jun ext legal'!K51+'[1]Jul ext legal'!K51</f>
        <v>0</v>
      </c>
      <c r="K51" s="146">
        <f>+'[1]Jan ext legal'!L51+'[1]Feb ext legal'!L51+'[1]Mar ext legal'!L51+'[1]Apr ext legal'!L51+'[1]May ext legal'!L51+'[1]Jun ext legal'!L51+'[1]Jul ext legal'!L51</f>
        <v>0</v>
      </c>
      <c r="L51" s="146">
        <f>+'[1]Jan ext legal'!M51+'[1]Feb ext legal'!M51+'[1]Mar ext legal'!M51+'[1]Apr ext legal'!M51+'[1]May ext legal'!M51+'[1]Jun ext legal'!M51+'[1]Jul ext legal'!M51</f>
        <v>0</v>
      </c>
      <c r="M51" s="148">
        <f t="shared" si="0"/>
        <v>1.3025690413335827E-2</v>
      </c>
      <c r="N51" s="148">
        <f t="shared" si="1"/>
        <v>113527.67895271766</v>
      </c>
      <c r="O51" s="147"/>
      <c r="P51" s="148">
        <f t="shared" si="2"/>
        <v>266375.36895271763</v>
      </c>
    </row>
    <row r="52" spans="1:16" s="143" customFormat="1" ht="11.25" x14ac:dyDescent="0.2">
      <c r="A52" s="144">
        <v>107295</v>
      </c>
      <c r="B52" s="143" t="s">
        <v>179</v>
      </c>
      <c r="C52" s="143" t="s">
        <v>180</v>
      </c>
      <c r="D52" s="245">
        <v>1530330.51</v>
      </c>
      <c r="E52" s="145">
        <f>+'[1]Jan ext legal'!E52+'[1]Feb ext legal'!E52+'[1]Mar ext legal'!E52+'[1]Apr ext legal'!E52+'[1]May ext legal'!E52+'[1]Jun ext legal'!E52+'[1]Jul ext legal'!E52</f>
        <v>0</v>
      </c>
      <c r="F52" s="146">
        <f>+'[1]Jan ext legal'!F52+'[1]Feb ext legal'!F52+'[1]Mar ext legal'!F52+'[1]Apr ext legal'!F52+'[1]May ext legal'!F52+'[1]Jun ext legal'!F52+'[1]Jul ext legal'!F52</f>
        <v>1530330.51</v>
      </c>
      <c r="G52" s="145">
        <f>+'[1]Jan ext legal'!G52+'[1]Feb ext legal'!G52+'[1]Mar ext legal'!G52+'[1]Apr ext legal'!G52+'[1]May ext legal'!G52+'[1]Jun ext legal'!G52+'[1]Jul ext legal'!G52</f>
        <v>0</v>
      </c>
      <c r="H52" s="146">
        <f>+'[1]Jan ext legal'!H52+'[1]Feb ext legal'!H52+'[1]Mar ext legal'!H52+'[1]Apr ext legal'!H52+'[1]May ext legal'!H52+'[1]Jun ext legal'!H52+'[1]Jul ext legal'!H52</f>
        <v>0</v>
      </c>
      <c r="I52" s="145">
        <f>+'[1]Jan ext legal'!I52+'[1]Feb ext legal'!I52+'[1]Mar ext legal'!I52+'[1]Apr ext legal'!I52+'[1]May ext legal'!I52+'[1]Jun ext legal'!I52+'[1]Jul ext legal'!I52</f>
        <v>0</v>
      </c>
      <c r="J52" s="146">
        <f>+'[1]Jan ext legal'!K52+'[1]Feb ext legal'!K52+'[1]Mar ext legal'!K52+'[1]Apr ext legal'!K52+'[1]May ext legal'!K52+'[1]Jun ext legal'!K52+'[1]Jul ext legal'!K52</f>
        <v>0</v>
      </c>
      <c r="K52" s="146">
        <f>+'[1]Jan ext legal'!L52+'[1]Feb ext legal'!L52+'[1]Mar ext legal'!L52+'[1]Apr ext legal'!L52+'[1]May ext legal'!L52+'[1]Jun ext legal'!L52+'[1]Jul ext legal'!L52</f>
        <v>0</v>
      </c>
      <c r="L52" s="146">
        <f>+'[1]Jan ext legal'!M52+'[1]Feb ext legal'!M52+'[1]Mar ext legal'!M52+'[1]Apr ext legal'!M52+'[1]May ext legal'!M52+'[1]Jun ext legal'!M52+'[1]Jul ext legal'!M52</f>
        <v>0</v>
      </c>
      <c r="M52" s="148">
        <f t="shared" si="0"/>
        <v>0.13041486890212295</v>
      </c>
      <c r="N52" s="148">
        <f t="shared" si="1"/>
        <v>1136653.5590484142</v>
      </c>
      <c r="O52" s="147"/>
      <c r="P52" s="148">
        <f t="shared" si="2"/>
        <v>2666984.069048414</v>
      </c>
    </row>
    <row r="53" spans="1:16" s="143" customFormat="1" ht="11.25" x14ac:dyDescent="0.2">
      <c r="A53" s="144">
        <v>107297</v>
      </c>
      <c r="B53" s="143" t="s">
        <v>181</v>
      </c>
      <c r="C53" s="143" t="s">
        <v>180</v>
      </c>
      <c r="D53" s="245">
        <v>155684.71</v>
      </c>
      <c r="E53" s="145">
        <f>+'[1]Jan ext legal'!E53+'[1]Feb ext legal'!E53+'[1]Mar ext legal'!E53+'[1]Apr ext legal'!E53+'[1]May ext legal'!E53+'[1]Jun ext legal'!E53+'[1]Jul ext legal'!E53</f>
        <v>0</v>
      </c>
      <c r="F53" s="146">
        <f>+'[1]Jan ext legal'!F53+'[1]Feb ext legal'!F53+'[1]Mar ext legal'!F53+'[1]Apr ext legal'!F53+'[1]May ext legal'!F53+'[1]Jun ext legal'!F53+'[1]Jul ext legal'!F53</f>
        <v>0</v>
      </c>
      <c r="G53" s="145">
        <f>+'[1]Jan ext legal'!G53+'[1]Feb ext legal'!G53+'[1]Mar ext legal'!G53+'[1]Apr ext legal'!G53+'[1]May ext legal'!G53+'[1]Jun ext legal'!G53+'[1]Jul ext legal'!G53</f>
        <v>155684.71</v>
      </c>
      <c r="H53" s="146">
        <f>+'[1]Jan ext legal'!H53+'[1]Feb ext legal'!H53+'[1]Mar ext legal'!H53+'[1]Apr ext legal'!H53+'[1]May ext legal'!H53+'[1]Jun ext legal'!H53+'[1]Jul ext legal'!H53</f>
        <v>0</v>
      </c>
      <c r="I53" s="145">
        <f>+'[1]Jan ext legal'!I53+'[1]Feb ext legal'!I53+'[1]Mar ext legal'!I53+'[1]Apr ext legal'!I53+'[1]May ext legal'!I53+'[1]Jun ext legal'!I53+'[1]Jul ext legal'!I53</f>
        <v>0</v>
      </c>
      <c r="J53" s="146">
        <f>+'[1]Jan ext legal'!K53+'[1]Feb ext legal'!K53+'[1]Mar ext legal'!K53+'[1]Apr ext legal'!K53+'[1]May ext legal'!K53+'[1]Jun ext legal'!K53+'[1]Jul ext legal'!K53</f>
        <v>0</v>
      </c>
      <c r="K53" s="146">
        <f>+'[1]Jan ext legal'!L53+'[1]Feb ext legal'!L53+'[1]Mar ext legal'!L53+'[1]Apr ext legal'!L53+'[1]May ext legal'!L53+'[1]Jun ext legal'!L53+'[1]Jul ext legal'!L53</f>
        <v>0</v>
      </c>
      <c r="L53" s="146">
        <f>+'[1]Jan ext legal'!M53+'[1]Feb ext legal'!M53+'[1]Mar ext legal'!M53+'[1]Apr ext legal'!M53+'[1]May ext legal'!M53+'[1]Jun ext legal'!M53+'[1]Jul ext legal'!M53</f>
        <v>0</v>
      </c>
      <c r="M53" s="148">
        <f t="shared" si="0"/>
        <v>1.3267461448386746E-2</v>
      </c>
      <c r="N53" s="148">
        <f t="shared" si="1"/>
        <v>115634.87661950896</v>
      </c>
      <c r="O53" s="147"/>
      <c r="P53" s="148">
        <f t="shared" si="2"/>
        <v>271319.58661950892</v>
      </c>
    </row>
    <row r="54" spans="1:16" s="143" customFormat="1" ht="11.25" x14ac:dyDescent="0.2">
      <c r="A54" s="144">
        <v>107300</v>
      </c>
      <c r="B54" s="143" t="s">
        <v>182</v>
      </c>
      <c r="C54" s="143" t="s">
        <v>183</v>
      </c>
      <c r="D54" s="245">
        <v>3537639.31</v>
      </c>
      <c r="E54" s="145">
        <f>+'[1]Jan ext legal'!E54+'[1]Feb ext legal'!E54+'[1]Mar ext legal'!E54+'[1]Apr ext legal'!E54+'[1]May ext legal'!E54+'[1]Jun ext legal'!E54+'[1]Jul ext legal'!E54</f>
        <v>0</v>
      </c>
      <c r="F54" s="146">
        <f>+'[1]Jan ext legal'!F54+'[1]Feb ext legal'!F54+'[1]Mar ext legal'!F54+'[1]Apr ext legal'!F54+'[1]May ext legal'!F54+'[1]Jun ext legal'!F54+'[1]Jul ext legal'!F54</f>
        <v>0</v>
      </c>
      <c r="G54" s="145">
        <f>+'[1]Jan ext legal'!G54+'[1]Feb ext legal'!G54+'[1]Mar ext legal'!G54+'[1]Apr ext legal'!G54+'[1]May ext legal'!G54+'[1]Jun ext legal'!G54+'[1]Jul ext legal'!G54</f>
        <v>2512375.5100000002</v>
      </c>
      <c r="H54" s="146">
        <f>+'[1]Jan ext legal'!H54+'[1]Feb ext legal'!H54+'[1]Mar ext legal'!H54+'[1]Apr ext legal'!H54+'[1]May ext legal'!H54+'[1]Jun ext legal'!H54+'[1]Jul ext legal'!H54</f>
        <v>52697.09</v>
      </c>
      <c r="I54" s="145">
        <f>+'[1]Jan ext legal'!I54+'[1]Feb ext legal'!I54+'[1]Mar ext legal'!I54+'[1]Apr ext legal'!I54+'[1]May ext legal'!I54+'[1]Jun ext legal'!I54+'[1]Jul ext legal'!I54</f>
        <v>0</v>
      </c>
      <c r="J54" s="146">
        <f>+'[1]Jan ext legal'!K54+'[1]Feb ext legal'!K54+'[1]Mar ext legal'!K54+'[1]Apr ext legal'!K54+'[1]May ext legal'!K54+'[1]Jun ext legal'!K54+'[1]Jul ext legal'!K54</f>
        <v>0</v>
      </c>
      <c r="K54" s="146">
        <f>+'[1]Jan ext legal'!L54+'[1]Feb ext legal'!L54+'[1]Mar ext legal'!L54+'[1]Apr ext legal'!L54+'[1]May ext legal'!L54+'[1]Jun ext legal'!L54+'[1]Jul ext legal'!L54</f>
        <v>972566.71</v>
      </c>
      <c r="L54" s="146">
        <f>+'[1]Jan ext legal'!M54+'[1]Feb ext legal'!M54+'[1]Mar ext legal'!M54+'[1]Apr ext legal'!M54+'[1]May ext legal'!M54+'[1]Jun ext legal'!M54+'[1]Jul ext legal'!M54</f>
        <v>0</v>
      </c>
      <c r="M54" s="148">
        <f t="shared" si="0"/>
        <v>0.30147785973152075</v>
      </c>
      <c r="N54" s="148">
        <f t="shared" si="1"/>
        <v>2627582.9215095998</v>
      </c>
      <c r="O54" s="147"/>
      <c r="P54" s="148">
        <f t="shared" si="2"/>
        <v>6165222.2315095998</v>
      </c>
    </row>
    <row r="55" spans="1:16" s="143" customFormat="1" ht="11.25" x14ac:dyDescent="0.2">
      <c r="A55" s="144">
        <v>107310</v>
      </c>
      <c r="B55" s="143" t="s">
        <v>184</v>
      </c>
      <c r="D55" s="245">
        <v>107738.37</v>
      </c>
      <c r="E55" s="145">
        <f>+'[1]Jan ext legal'!E55+'[1]Feb ext legal'!E55+'[1]Mar ext legal'!E55+'[1]Apr ext legal'!E55+'[1]May ext legal'!E55+'[1]Jun ext legal'!E55+'[1]Jul ext legal'!E55</f>
        <v>0</v>
      </c>
      <c r="F55" s="146">
        <f>+'[1]Jan ext legal'!F55+'[1]Feb ext legal'!F55+'[1]Mar ext legal'!F55+'[1]Apr ext legal'!F55+'[1]May ext legal'!F55+'[1]Jun ext legal'!F55+'[1]Jul ext legal'!F55</f>
        <v>0</v>
      </c>
      <c r="G55" s="145">
        <f>+'[1]Jan ext legal'!G55+'[1]Feb ext legal'!G55+'[1]Mar ext legal'!G55+'[1]Apr ext legal'!G55+'[1]May ext legal'!G55+'[1]Jun ext legal'!G55+'[1]Jul ext legal'!G55</f>
        <v>2325</v>
      </c>
      <c r="H55" s="146">
        <f>+'[1]Jan ext legal'!H55+'[1]Feb ext legal'!H55+'[1]Mar ext legal'!H55+'[1]Apr ext legal'!H55+'[1]May ext legal'!H55+'[1]Jun ext legal'!H55+'[1]Jul ext legal'!H55</f>
        <v>9752.2000000000007</v>
      </c>
      <c r="I55" s="145">
        <f>+'[1]Jan ext legal'!I55+'[1]Feb ext legal'!I55+'[1]Mar ext legal'!I55+'[1]Apr ext legal'!I55+'[1]May ext legal'!I55+'[1]Jun ext legal'!I55+'[1]Jul ext legal'!I55</f>
        <v>0</v>
      </c>
      <c r="J55" s="146">
        <v>0</v>
      </c>
      <c r="K55" s="146">
        <f>+'[1]Jan ext legal'!L55+'[1]Feb ext legal'!L55+'[1]Mar ext legal'!L55+'[1]Apr ext legal'!L55+'[1]May ext legal'!L55+'[1]Jun ext legal'!L55+'[1]Jul ext legal'!L55</f>
        <v>95661.17</v>
      </c>
      <c r="L55" s="146">
        <f>+'[1]Jan ext legal'!M55+'[1]Feb ext legal'!M55+'[1]Mar ext legal'!M55+'[1]Apr ext legal'!M55+'[1]May ext legal'!M55+'[1]Jun ext legal'!M55+'[1]Jul ext legal'!M55</f>
        <v>0</v>
      </c>
      <c r="M55" s="148">
        <f t="shared" si="0"/>
        <v>9.1814711315390384E-3</v>
      </c>
      <c r="N55" s="148">
        <f t="shared" si="1"/>
        <v>80022.714639973346</v>
      </c>
      <c r="O55" s="147"/>
      <c r="P55" s="148">
        <f t="shared" si="2"/>
        <v>187761.08463997336</v>
      </c>
    </row>
    <row r="56" spans="1:16" s="143" customFormat="1" ht="11.25" x14ac:dyDescent="0.2">
      <c r="A56" s="144">
        <v>107312</v>
      </c>
      <c r="B56" s="143" t="s">
        <v>185</v>
      </c>
      <c r="C56" s="143" t="s">
        <v>186</v>
      </c>
      <c r="D56" s="245">
        <v>7952.61</v>
      </c>
      <c r="E56" s="145">
        <f>+'[1]Jan ext legal'!E56+'[1]Feb ext legal'!E56+'[1]Mar ext legal'!E56+'[1]Apr ext legal'!E56+'[1]May ext legal'!E56+'[1]Jun ext legal'!E56+'[1]Jul ext legal'!E56</f>
        <v>7952.6100000000006</v>
      </c>
      <c r="F56" s="146">
        <f>+'[1]Jan ext legal'!F56+'[1]Feb ext legal'!F56+'[1]Mar ext legal'!F56+'[1]Apr ext legal'!F56+'[1]May ext legal'!F56+'[1]Jun ext legal'!F56+'[1]Jul ext legal'!F56</f>
        <v>0</v>
      </c>
      <c r="G56" s="145">
        <f>+'[1]Jan ext legal'!G56+'[1]Feb ext legal'!G56+'[1]Mar ext legal'!G56+'[1]Apr ext legal'!G56+'[1]May ext legal'!G56+'[1]Jun ext legal'!G56+'[1]Jul ext legal'!G56</f>
        <v>0</v>
      </c>
      <c r="H56" s="146">
        <f>+'[1]Jan ext legal'!H56+'[1]Feb ext legal'!H56+'[1]Mar ext legal'!H56+'[1]Apr ext legal'!H56+'[1]May ext legal'!H56+'[1]Jun ext legal'!H56+'[1]Jul ext legal'!H56</f>
        <v>0</v>
      </c>
      <c r="I56" s="145">
        <f>+'[1]Jan ext legal'!I56+'[1]Feb ext legal'!I56+'[1]Mar ext legal'!I56+'[1]Apr ext legal'!I56+'[1]May ext legal'!I56+'[1]Jun ext legal'!I56+'[1]Jul ext legal'!I56</f>
        <v>0</v>
      </c>
      <c r="J56" s="146">
        <f>+'[1]Jan ext legal'!K56+'[1]Feb ext legal'!K56+'[1]Mar ext legal'!K56+'[1]Apr ext legal'!K56+'[1]May ext legal'!K56+'[1]Jun ext legal'!K56+'[1]Jul ext legal'!K56</f>
        <v>0</v>
      </c>
      <c r="K56" s="146">
        <f>+'[1]Jan ext legal'!L56+'[1]Feb ext legal'!L56+'[1]Mar ext legal'!L56+'[1]Apr ext legal'!L56+'[1]May ext legal'!L56+'[1]Jun ext legal'!L56+'[1]Jul ext legal'!L56</f>
        <v>0</v>
      </c>
      <c r="L56" s="146">
        <f>+'[1]Jan ext legal'!M56+'[1]Feb ext legal'!M56+'[1]Mar ext legal'!M56+'[1]Apr ext legal'!M56+'[1]May ext legal'!M56+'[1]Jun ext legal'!M56+'[1]Jul ext legal'!M56</f>
        <v>0</v>
      </c>
      <c r="M56" s="148">
        <f t="shared" si="0"/>
        <v>6.7772195862429209E-4</v>
      </c>
      <c r="N56" s="148">
        <f t="shared" si="1"/>
        <v>5906.8040538667738</v>
      </c>
      <c r="O56" s="147"/>
      <c r="P56" s="148">
        <f t="shared" si="2"/>
        <v>13859.414053866774</v>
      </c>
    </row>
    <row r="57" spans="1:16" s="143" customFormat="1" ht="11.25" x14ac:dyDescent="0.2">
      <c r="A57" s="144">
        <v>107319</v>
      </c>
      <c r="B57" s="143" t="s">
        <v>187</v>
      </c>
      <c r="D57" s="245">
        <v>48408.78</v>
      </c>
      <c r="E57" s="145">
        <f>+'[1]Jan ext legal'!E57+'[1]Feb ext legal'!E57+'[1]Mar ext legal'!E57+'[1]Apr ext legal'!E57+'[1]May ext legal'!E57+'[1]Jun ext legal'!E57+'[1]Jul ext legal'!E57</f>
        <v>329.94000000000005</v>
      </c>
      <c r="F57" s="146">
        <f>+'[1]Jan ext legal'!F57+'[1]Feb ext legal'!F57+'[1]Mar ext legal'!F57+'[1]Apr ext legal'!F57+'[1]May ext legal'!F57+'[1]Jun ext legal'!F57+'[1]Jul ext legal'!F57</f>
        <v>48078.840000000011</v>
      </c>
      <c r="G57" s="145">
        <f>+'[1]Jan ext legal'!G57+'[1]Feb ext legal'!G57+'[1]Mar ext legal'!G57+'[1]Apr ext legal'!G57+'[1]May ext legal'!G57+'[1]Jun ext legal'!G57+'[1]Jul ext legal'!G57</f>
        <v>0</v>
      </c>
      <c r="H57" s="146">
        <f>+'[1]Jan ext legal'!H57+'[1]Feb ext legal'!H57+'[1]Mar ext legal'!H57+'[1]Apr ext legal'!H57+'[1]May ext legal'!H57+'[1]Jun ext legal'!H57+'[1]Jul ext legal'!H57</f>
        <v>0</v>
      </c>
      <c r="I57" s="145">
        <f>+'[1]Jan ext legal'!I57+'[1]Feb ext legal'!I57+'[1]Mar ext legal'!I57+'[1]Apr ext legal'!I57+'[1]May ext legal'!I57+'[1]Jun ext legal'!I57+'[1]Jul ext legal'!I57</f>
        <v>0</v>
      </c>
      <c r="J57" s="146">
        <f>+'[1]Jan ext legal'!K57+'[1]Feb ext legal'!K57+'[1]Mar ext legal'!K57+'[1]Apr ext legal'!K57+'[1]May ext legal'!K57+'[1]Jun ext legal'!K57+'[1]Jul ext legal'!K57</f>
        <v>0</v>
      </c>
      <c r="K57" s="146">
        <f>+'[1]Jan ext legal'!L57+'[1]Feb ext legal'!L57+'[1]Mar ext legal'!L57+'[1]Apr ext legal'!L57+'[1]May ext legal'!L57+'[1]Jun ext legal'!L57+'[1]Jul ext legal'!L57</f>
        <v>0</v>
      </c>
      <c r="L57" s="146">
        <f>+'[1]Jan ext legal'!M57+'[1]Feb ext legal'!M57+'[1]Mar ext legal'!M57+'[1]Apr ext legal'!M57+'[1]May ext legal'!M57+'[1]Jun ext legal'!M57+'[1]Jul ext legal'!M57</f>
        <v>0</v>
      </c>
      <c r="M57" s="148">
        <f t="shared" si="0"/>
        <v>4.1253994847241923E-3</v>
      </c>
      <c r="N57" s="148">
        <f t="shared" si="1"/>
        <v>35955.639462609732</v>
      </c>
      <c r="O57" s="147"/>
      <c r="P57" s="148">
        <f t="shared" si="2"/>
        <v>84364.419462609731</v>
      </c>
    </row>
    <row r="58" spans="1:16" s="143" customFormat="1" ht="11.25" x14ac:dyDescent="0.2">
      <c r="A58" s="144">
        <v>107322</v>
      </c>
      <c r="B58" s="143" t="s">
        <v>188</v>
      </c>
      <c r="C58" s="143" t="s">
        <v>189</v>
      </c>
      <c r="D58" s="245">
        <v>0</v>
      </c>
      <c r="E58" s="145">
        <f>+'[1]Jan ext legal'!E58+'[1]Feb ext legal'!E58+'[1]Mar ext legal'!E58+'[1]Apr ext legal'!E58+'[1]May ext legal'!E58+'[1]Jun ext legal'!E58+'[1]Jul ext legal'!E58</f>
        <v>0</v>
      </c>
      <c r="F58" s="146">
        <f>+'[1]Jan ext legal'!F58+'[1]Feb ext legal'!F58+'[1]Mar ext legal'!F58+'[1]Apr ext legal'!F58+'[1]May ext legal'!F58+'[1]Jun ext legal'!F58+'[1]Jul ext legal'!F58</f>
        <v>0</v>
      </c>
      <c r="G58" s="145">
        <f>+'[1]Jan ext legal'!G58+'[1]Feb ext legal'!G58+'[1]Mar ext legal'!G58+'[1]Apr ext legal'!G58+'[1]May ext legal'!G58+'[1]Jun ext legal'!G58+'[1]Jul ext legal'!G58</f>
        <v>0</v>
      </c>
      <c r="H58" s="146">
        <f>+'[1]Jan ext legal'!H58+'[1]Feb ext legal'!H58+'[1]Mar ext legal'!H58+'[1]Apr ext legal'!H58+'[1]May ext legal'!H58+'[1]Jun ext legal'!H58+'[1]Jul ext legal'!H58</f>
        <v>0</v>
      </c>
      <c r="I58" s="145">
        <f>+'[1]Jan ext legal'!I58+'[1]Feb ext legal'!I58+'[1]Mar ext legal'!I58+'[1]Apr ext legal'!I58+'[1]May ext legal'!I58+'[1]Jun ext legal'!I58+'[1]Jul ext legal'!I58</f>
        <v>0</v>
      </c>
      <c r="J58" s="146">
        <f>+'[1]Jan ext legal'!K58+'[1]Feb ext legal'!K58+'[1]Mar ext legal'!K58+'[1]Apr ext legal'!K58+'[1]May ext legal'!K58+'[1]Jun ext legal'!K58+'[1]Jul ext legal'!K58</f>
        <v>0</v>
      </c>
      <c r="K58" s="146">
        <f>+'[1]Jan ext legal'!L58+'[1]Feb ext legal'!L58+'[1]Mar ext legal'!L58+'[1]Apr ext legal'!L58+'[1]May ext legal'!L58+'[1]Jun ext legal'!L58+'[1]Jul ext legal'!L58</f>
        <v>0</v>
      </c>
      <c r="L58" s="146">
        <f>+'[1]Jan ext legal'!M58+'[1]Feb ext legal'!M58+'[1]Mar ext legal'!M58+'[1]Apr ext legal'!M58+'[1]May ext legal'!M58+'[1]Jun ext legal'!M58+'[1]Jul ext legal'!M58</f>
        <v>0</v>
      </c>
      <c r="M58" s="148">
        <f t="shared" si="0"/>
        <v>0</v>
      </c>
      <c r="N58" s="148">
        <f t="shared" si="1"/>
        <v>0</v>
      </c>
      <c r="O58" s="147"/>
      <c r="P58" s="148">
        <f t="shared" si="2"/>
        <v>0</v>
      </c>
    </row>
    <row r="59" spans="1:16" s="143" customFormat="1" ht="11.25" x14ac:dyDescent="0.2">
      <c r="A59" s="144">
        <v>107323</v>
      </c>
      <c r="B59" s="143" t="s">
        <v>190</v>
      </c>
      <c r="D59" s="245">
        <v>0</v>
      </c>
      <c r="E59" s="145">
        <f>+'[1]Jan ext legal'!E59+'[1]Feb ext legal'!E59+'[1]Mar ext legal'!E59+'[1]Apr ext legal'!E59+'[1]May ext legal'!E59+'[1]Jun ext legal'!E59+'[1]Jul ext legal'!E59</f>
        <v>0</v>
      </c>
      <c r="F59" s="146"/>
      <c r="G59" s="145">
        <f>+'[1]Jan ext legal'!G59+'[1]Feb ext legal'!G59+'[1]Mar ext legal'!G59+'[1]Apr ext legal'!G59+'[1]May ext legal'!G59+'[1]Jun ext legal'!G59+'[1]Jul ext legal'!G59</f>
        <v>0</v>
      </c>
      <c r="H59" s="146">
        <f>+'[1]Jan ext legal'!H59+'[1]Feb ext legal'!H59+'[1]Mar ext legal'!H59+'[1]Apr ext legal'!H59+'[1]May ext legal'!H59+'[1]Jun ext legal'!H59+'[1]Jul ext legal'!H59</f>
        <v>0</v>
      </c>
      <c r="I59" s="145">
        <f>+'[1]Jan ext legal'!I59+'[1]Feb ext legal'!I59+'[1]Mar ext legal'!I59+'[1]Apr ext legal'!I59+'[1]May ext legal'!I59+'[1]Jun ext legal'!I59+'[1]Jul ext legal'!I59</f>
        <v>0</v>
      </c>
      <c r="J59" s="146">
        <f>+'[1]Jan ext legal'!K59+'[1]Feb ext legal'!K59+'[1]Mar ext legal'!K59+'[1]Apr ext legal'!K59+'[1]May ext legal'!K59+'[1]Jun ext legal'!K59+'[1]Jul ext legal'!K59</f>
        <v>0</v>
      </c>
      <c r="K59" s="146">
        <f>+'[1]Jan ext legal'!L59+'[1]Feb ext legal'!L59+'[1]Mar ext legal'!L59+'[1]Apr ext legal'!L59+'[1]May ext legal'!L59+'[1]Jun ext legal'!L59+'[1]Jul ext legal'!L59</f>
        <v>0</v>
      </c>
      <c r="L59" s="146">
        <f>+'[1]Jan ext legal'!M59+'[1]Feb ext legal'!M59+'[1]Mar ext legal'!M59+'[1]Apr ext legal'!M59+'[1]May ext legal'!M59+'[1]Jun ext legal'!M59+'[1]Jul ext legal'!M59</f>
        <v>0</v>
      </c>
      <c r="M59" s="148">
        <f t="shared" si="0"/>
        <v>0</v>
      </c>
      <c r="N59" s="148">
        <f t="shared" si="1"/>
        <v>0</v>
      </c>
      <c r="O59" s="147"/>
      <c r="P59" s="148">
        <f t="shared" si="2"/>
        <v>0</v>
      </c>
    </row>
    <row r="60" spans="1:16" s="143" customFormat="1" ht="11.25" x14ac:dyDescent="0.2">
      <c r="A60" s="144">
        <v>107443</v>
      </c>
      <c r="B60" s="143" t="s">
        <v>191</v>
      </c>
      <c r="D60" s="245">
        <v>53125.36</v>
      </c>
      <c r="E60" s="145">
        <f>+'[1]Jan ext legal'!E60+'[1]Feb ext legal'!E60+'[1]Mar ext legal'!E60+'[1]Apr ext legal'!E60+'[1]May ext legal'!E60+'[1]Jun ext legal'!E60+'[1]Jul ext legal'!E60</f>
        <v>0</v>
      </c>
      <c r="F60" s="146">
        <f>+'[1]Jan ext legal'!F60+'[1]Feb ext legal'!F60+'[1]Mar ext legal'!F60+'[1]Apr ext legal'!F60+'[1]May ext legal'!F60+'[1]Jun ext legal'!F60+'[1]Jul ext legal'!F60</f>
        <v>0</v>
      </c>
      <c r="G60" s="145">
        <f>+'[1]Jan ext legal'!G60+'[1]Feb ext legal'!G60+'[1]Mar ext legal'!G60+'[1]Apr ext legal'!G60+'[1]May ext legal'!G60+'[1]Jun ext legal'!G60+'[1]Jul ext legal'!G60</f>
        <v>53125.36</v>
      </c>
      <c r="H60" s="146">
        <f>+'[1]Jan ext legal'!H60+'[1]Feb ext legal'!H60+'[1]Mar ext legal'!H60+'[1]Apr ext legal'!H60+'[1]May ext legal'!H60+'[1]Jun ext legal'!H60+'[1]Jul ext legal'!H60</f>
        <v>0</v>
      </c>
      <c r="I60" s="145">
        <f>+'[1]Jan ext legal'!I60+'[1]Feb ext legal'!I60+'[1]Mar ext legal'!I60+'[1]Apr ext legal'!I60+'[1]May ext legal'!I60+'[1]Jun ext legal'!I60+'[1]Jul ext legal'!I60</f>
        <v>0</v>
      </c>
      <c r="J60" s="146">
        <f>+'[1]Jan ext legal'!K60+'[1]Feb ext legal'!K60+'[1]Mar ext legal'!K60+'[1]Apr ext legal'!K60+'[1]May ext legal'!K60+'[1]Jun ext legal'!K60+'[1]Jul ext legal'!K60</f>
        <v>0</v>
      </c>
      <c r="K60" s="146">
        <f>+'[1]Jan ext legal'!L60+'[1]Feb ext legal'!L60+'[1]Mar ext legal'!L60+'[1]Apr ext legal'!L60+'[1]May ext legal'!L60+'[1]Jun ext legal'!L60+'[1]Jul ext legal'!L60</f>
        <v>0</v>
      </c>
      <c r="L60" s="146">
        <f>+'[1]Jan ext legal'!M60+'[1]Feb ext legal'!M60+'[1]Mar ext legal'!M60+'[1]Apr ext legal'!M60+'[1]May ext legal'!M60+'[1]Jun ext legal'!M60+'[1]Jul ext legal'!M60</f>
        <v>0</v>
      </c>
      <c r="M60" s="148">
        <f t="shared" si="0"/>
        <v>4.5273467492836471E-3</v>
      </c>
      <c r="N60" s="148">
        <f t="shared" si="1"/>
        <v>39458.881022850583</v>
      </c>
      <c r="O60" s="147"/>
      <c r="P60" s="148">
        <f t="shared" si="2"/>
        <v>92584.241022850591</v>
      </c>
    </row>
    <row r="61" spans="1:16" s="143" customFormat="1" ht="11.25" x14ac:dyDescent="0.2">
      <c r="A61" s="144">
        <v>107444</v>
      </c>
      <c r="B61" s="143" t="s">
        <v>192</v>
      </c>
      <c r="D61" s="245">
        <v>65073.91</v>
      </c>
      <c r="E61" s="145">
        <f>+'[1]Jan ext legal'!E61+'[1]Feb ext legal'!E61+'[1]Mar ext legal'!E61+'[1]Apr ext legal'!E61+'[1]May ext legal'!E61+'[1]Jun ext legal'!E61+'[1]Jul ext legal'!E61</f>
        <v>63374.39</v>
      </c>
      <c r="F61" s="146">
        <f>+'[1]Jan ext legal'!F61+'[1]Feb ext legal'!F61+'[1]Mar ext legal'!F61+'[1]Apr ext legal'!F61+'[1]May ext legal'!F61+'[1]Jun ext legal'!F61+'[1]Jul ext legal'!F61</f>
        <v>0</v>
      </c>
      <c r="G61" s="145">
        <f>+'[1]Jan ext legal'!G61+'[1]Feb ext legal'!G61+'[1]Mar ext legal'!G61+'[1]Apr ext legal'!G61+'[1]May ext legal'!G61+'[1]Jun ext legal'!G61+'[1]Jul ext legal'!G61</f>
        <v>0</v>
      </c>
      <c r="H61" s="146">
        <f>+'[1]Jan ext legal'!H61+'[1]Feb ext legal'!H61+'[1]Mar ext legal'!H61+'[1]Apr ext legal'!H61+'[1]May ext legal'!H61+'[1]Jun ext legal'!H61+'[1]Jul ext legal'!H61</f>
        <v>0</v>
      </c>
      <c r="I61" s="145">
        <f>+'[1]Jan ext legal'!I61+'[1]Feb ext legal'!I61+'[1]Mar ext legal'!I61+'[1]Apr ext legal'!I61+'[1]May ext legal'!I61+'[1]Jun ext legal'!I61+'[1]Jul ext legal'!I61</f>
        <v>1699.52</v>
      </c>
      <c r="J61" s="146">
        <f>+'[1]Jan ext legal'!K61+'[1]Feb ext legal'!K61+'[1]Mar ext legal'!K61+'[1]Apr ext legal'!K61+'[1]May ext legal'!K61+'[1]Jun ext legal'!K61+'[1]Jul ext legal'!K61</f>
        <v>0</v>
      </c>
      <c r="K61" s="146">
        <f>+'[1]Jan ext legal'!L61+'[1]Feb ext legal'!L61+'[1]Mar ext legal'!L61+'[1]Apr ext legal'!L61+'[1]May ext legal'!L61+'[1]Jun ext legal'!L61+'[1]Jul ext legal'!L61</f>
        <v>0</v>
      </c>
      <c r="L61" s="146">
        <f>+'[1]Jan ext legal'!M61+'[1]Feb ext legal'!M61+'[1]Mar ext legal'!M61+'[1]Apr ext legal'!M61+'[1]May ext legal'!M61+'[1]Jun ext legal'!M61+'[1]Jul ext legal'!M61</f>
        <v>0</v>
      </c>
      <c r="M61" s="148">
        <f t="shared" si="0"/>
        <v>5.5456029832395793E-3</v>
      </c>
      <c r="N61" s="148">
        <f t="shared" si="1"/>
        <v>48333.671007249395</v>
      </c>
      <c r="O61" s="147"/>
      <c r="P61" s="148">
        <f t="shared" si="2"/>
        <v>113407.58100724939</v>
      </c>
    </row>
    <row r="62" spans="1:16" s="143" customFormat="1" ht="11.25" x14ac:dyDescent="0.2">
      <c r="A62" s="144">
        <v>107446</v>
      </c>
      <c r="B62" s="143" t="s">
        <v>193</v>
      </c>
      <c r="D62" s="245">
        <v>754729.8</v>
      </c>
      <c r="E62" s="145">
        <f>+'[1]Jan ext legal'!E62+'[1]Feb ext legal'!E62+'[1]Mar ext legal'!E62+'[1]Apr ext legal'!E62+'[1]May ext legal'!E62+'[1]Jun ext legal'!E62+'[1]Jul ext legal'!E62</f>
        <v>0</v>
      </c>
      <c r="F62" s="146">
        <f>+'[1]Jan ext legal'!F62+'[1]Feb ext legal'!F62+'[1]Mar ext legal'!F62+'[1]Apr ext legal'!F62+'[1]May ext legal'!F62+'[1]Jun ext legal'!F62+'[1]Jul ext legal'!F62</f>
        <v>754729.79999999993</v>
      </c>
      <c r="G62" s="145">
        <f>+'[1]Jan ext legal'!G62+'[1]Feb ext legal'!G62+'[1]Mar ext legal'!G62+'[1]Apr ext legal'!G62+'[1]May ext legal'!G62+'[1]Jun ext legal'!G62+'[1]Jul ext legal'!G62</f>
        <v>0</v>
      </c>
      <c r="H62" s="146">
        <f>+'[1]Jan ext legal'!H62+'[1]Feb ext legal'!H62+'[1]Mar ext legal'!H62+'[1]Apr ext legal'!H62+'[1]May ext legal'!H62+'[1]Jun ext legal'!H62+'[1]Jul ext legal'!H62</f>
        <v>0</v>
      </c>
      <c r="I62" s="145">
        <f>+'[1]Jan ext legal'!I62+'[1]Feb ext legal'!I62+'[1]Mar ext legal'!I62+'[1]Apr ext legal'!I62+'[1]May ext legal'!I62+'[1]Jun ext legal'!I62+'[1]Jul ext legal'!I62</f>
        <v>0</v>
      </c>
      <c r="J62" s="146">
        <f>+'[1]Jan ext legal'!K62+'[1]Feb ext legal'!K62+'[1]Mar ext legal'!K62+'[1]Apr ext legal'!K62+'[1]May ext legal'!K62+'[1]Jun ext legal'!K62+'[1]Jul ext legal'!K62</f>
        <v>0</v>
      </c>
      <c r="K62" s="146">
        <f>+'[1]Jan ext legal'!L62+'[1]Feb ext legal'!L62+'[1]Mar ext legal'!L62+'[1]Apr ext legal'!L62+'[1]May ext legal'!L62+'[1]Jun ext legal'!L62+'[1]Jul ext legal'!L62</f>
        <v>0</v>
      </c>
      <c r="L62" s="146">
        <f>+'[1]Jan ext legal'!M62+'[1]Feb ext legal'!M62+'[1]Mar ext legal'!M62+'[1]Apr ext legal'!M62+'[1]May ext legal'!M62+'[1]Jun ext legal'!M62+'[1]Jul ext legal'!M62</f>
        <v>0</v>
      </c>
      <c r="M62" s="148">
        <f t="shared" si="0"/>
        <v>6.4318124274687222E-2</v>
      </c>
      <c r="N62" s="148">
        <f t="shared" si="1"/>
        <v>560575.8414173536</v>
      </c>
      <c r="O62" s="147"/>
      <c r="P62" s="148">
        <f t="shared" si="2"/>
        <v>1315305.6414173536</v>
      </c>
    </row>
    <row r="63" spans="1:16" s="143" customFormat="1" ht="11.25" x14ac:dyDescent="0.2">
      <c r="A63" s="144">
        <v>107447</v>
      </c>
      <c r="B63" s="143" t="s">
        <v>194</v>
      </c>
      <c r="D63" s="245">
        <v>31742.32</v>
      </c>
      <c r="E63" s="145">
        <f>+'[1]Jan ext legal'!E63+'[1]Feb ext legal'!E63+'[1]Mar ext legal'!E63+'[1]Apr ext legal'!E63+'[1]May ext legal'!E63+'[1]Jun ext legal'!E63+'[1]Jul ext legal'!E63</f>
        <v>0</v>
      </c>
      <c r="F63" s="146">
        <f>+'[1]Jan ext legal'!F63+'[1]Feb ext legal'!F63+'[1]Mar ext legal'!F63+'[1]Apr ext legal'!F63+'[1]May ext legal'!F63+'[1]Jun ext legal'!F63+'[1]Jul ext legal'!F63</f>
        <v>0</v>
      </c>
      <c r="G63" s="145">
        <f>+'[1]Jan ext legal'!G63+'[1]Feb ext legal'!G63+'[1]Mar ext legal'!G63+'[1]Apr ext legal'!G63+'[1]May ext legal'!G63+'[1]Jun ext legal'!G63+'[1]Jul ext legal'!G63</f>
        <v>0</v>
      </c>
      <c r="H63" s="146">
        <f>+'[1]Jan ext legal'!H63+'[1]Feb ext legal'!H63+'[1]Mar ext legal'!H63+'[1]Apr ext legal'!H63+'[1]May ext legal'!H63+'[1]Jun ext legal'!H63+'[1]Jul ext legal'!H63</f>
        <v>0</v>
      </c>
      <c r="I63" s="145">
        <f>+'[1]Jan ext legal'!I63+'[1]Feb ext legal'!I63+'[1]Mar ext legal'!I63+'[1]Apr ext legal'!I63+'[1]May ext legal'!I63+'[1]Jun ext legal'!I63+'[1]Jul ext legal'!I63</f>
        <v>0</v>
      </c>
      <c r="J63" s="146">
        <f>+'[1]Jan ext legal'!K63+'[1]Feb ext legal'!K63+'[1]Mar ext legal'!K63+'[1]Apr ext legal'!K63+'[1]May ext legal'!K63+'[1]Jun ext legal'!K63+'[1]Jul ext legal'!K63</f>
        <v>0</v>
      </c>
      <c r="K63" s="146">
        <f>+'[1]Jan ext legal'!L63+'[1]Feb ext legal'!L63+'[1]Mar ext legal'!L63+'[1]Apr ext legal'!L63+'[1]May ext legal'!L63+'[1]Jun ext legal'!L63+'[1]Jul ext legal'!L63</f>
        <v>31742.32</v>
      </c>
      <c r="L63" s="146">
        <f>+'[1]Jan ext legal'!M63+'[1]Feb ext legal'!M63+'[1]Mar ext legal'!M63+'[1]Apr ext legal'!M63+'[1]May ext legal'!M63+'[1]Jun ext legal'!M63+'[1]Jul ext legal'!M63</f>
        <v>0</v>
      </c>
      <c r="M63" s="148">
        <f t="shared" si="0"/>
        <v>2.7050826435194284E-3</v>
      </c>
      <c r="N63" s="148">
        <f t="shared" si="1"/>
        <v>23576.620059972309</v>
      </c>
      <c r="O63" s="147"/>
      <c r="P63" s="148">
        <f t="shared" si="2"/>
        <v>55318.940059972309</v>
      </c>
    </row>
    <row r="64" spans="1:16" s="143" customFormat="1" ht="11.25" x14ac:dyDescent="0.2">
      <c r="A64" s="144">
        <v>107449</v>
      </c>
      <c r="B64" s="143" t="s">
        <v>195</v>
      </c>
      <c r="D64" s="245">
        <v>3834.58</v>
      </c>
      <c r="E64" s="145">
        <f>+'[1]Jan ext legal'!E64+'[1]Feb ext legal'!E64+'[1]Mar ext legal'!E64+'[1]Apr ext legal'!E64+'[1]May ext legal'!E64+'[1]Jun ext legal'!E64+'[1]Jul ext legal'!E64</f>
        <v>0</v>
      </c>
      <c r="F64" s="146">
        <f>+'[1]Jan ext legal'!F64+'[1]Feb ext legal'!F64+'[1]Mar ext legal'!F64+'[1]Apr ext legal'!F64+'[1]May ext legal'!F64+'[1]Jun ext legal'!F64+'[1]Jul ext legal'!F64</f>
        <v>0</v>
      </c>
      <c r="G64" s="145">
        <f>+'[1]Jan ext legal'!G64+'[1]Feb ext legal'!G64+'[1]Mar ext legal'!G64+'[1]Apr ext legal'!G64+'[1]May ext legal'!G64+'[1]Jun ext legal'!G64+'[1]Jul ext legal'!G64</f>
        <v>0</v>
      </c>
      <c r="H64" s="146">
        <f>+'[1]Jan ext legal'!H64+'[1]Feb ext legal'!H64+'[1]Mar ext legal'!H64+'[1]Apr ext legal'!H64+'[1]May ext legal'!H64+'[1]Jun ext legal'!H64+'[1]Jul ext legal'!H64</f>
        <v>3834.58</v>
      </c>
      <c r="I64" s="145">
        <f>+'[1]Jan ext legal'!I64+'[1]Feb ext legal'!I64+'[1]Mar ext legal'!I64+'[1]Apr ext legal'!I64+'[1]May ext legal'!I64+'[1]Jun ext legal'!I64+'[1]Jul ext legal'!I64</f>
        <v>0</v>
      </c>
      <c r="J64" s="146">
        <f>+'[1]Jan ext legal'!K64+'[1]Feb ext legal'!K64+'[1]Mar ext legal'!K64+'[1]Apr ext legal'!K64+'[1]May ext legal'!K64+'[1]Jun ext legal'!K64+'[1]Jul ext legal'!K64</f>
        <v>0</v>
      </c>
      <c r="K64" s="146">
        <f>+'[1]Jan ext legal'!L64+'[1]Feb ext legal'!L64+'[1]Mar ext legal'!L64+'[1]Apr ext legal'!L64+'[1]May ext legal'!L64+'[1]Jun ext legal'!L64+'[1]Jul ext legal'!L64</f>
        <v>0</v>
      </c>
      <c r="L64" s="146">
        <f>+'[1]Jan ext legal'!M64+'[1]Feb ext legal'!M64+'[1]Mar ext legal'!M64+'[1]Apr ext legal'!M64+'[1]May ext legal'!M64+'[1]Jun ext legal'!M64+'[1]Jul ext legal'!M64</f>
        <v>0</v>
      </c>
      <c r="M64" s="148">
        <f t="shared" si="0"/>
        <v>3.2678316528806744E-4</v>
      </c>
      <c r="N64" s="148">
        <f t="shared" si="1"/>
        <v>2848.1357301409794</v>
      </c>
      <c r="O64" s="147"/>
      <c r="P64" s="148">
        <f t="shared" si="2"/>
        <v>6682.7157301409788</v>
      </c>
    </row>
    <row r="65" spans="1:18" s="143" customFormat="1" ht="11.25" x14ac:dyDescent="0.2">
      <c r="A65" s="144">
        <v>107452</v>
      </c>
      <c r="B65" s="143" t="s">
        <v>196</v>
      </c>
      <c r="C65" s="143" t="s">
        <v>197</v>
      </c>
      <c r="D65" s="245">
        <v>0</v>
      </c>
      <c r="E65" s="145">
        <f>+'[1]Jan ext legal'!E65+'[1]Feb ext legal'!E65+'[1]Mar ext legal'!E65+'[1]Apr ext legal'!E65+'[1]May ext legal'!E65+'[1]Jun ext legal'!E65+'[1]Jul ext legal'!E65</f>
        <v>0</v>
      </c>
      <c r="F65" s="146">
        <f>+'[1]Jan ext legal'!F65+'[1]Feb ext legal'!F65+'[1]Mar ext legal'!F65+'[1]Apr ext legal'!F65+'[1]May ext legal'!F65+'[1]Jun ext legal'!F65+'[1]Jul ext legal'!F65</f>
        <v>0</v>
      </c>
      <c r="G65" s="145">
        <f>+'[1]Jan ext legal'!G65+'[1]Feb ext legal'!G65+'[1]Mar ext legal'!G65+'[1]Apr ext legal'!G65+'[1]May ext legal'!G65+'[1]Jun ext legal'!G65+'[1]Jul ext legal'!G65</f>
        <v>0</v>
      </c>
      <c r="H65" s="146">
        <f>+'[1]Jan ext legal'!H65+'[1]Feb ext legal'!H65+'[1]Mar ext legal'!H65+'[1]Apr ext legal'!H65+'[1]May ext legal'!H65+'[1]Jun ext legal'!H65+'[1]Jul ext legal'!H65</f>
        <v>0</v>
      </c>
      <c r="I65" s="145">
        <f>+'[1]Jan ext legal'!I65+'[1]Feb ext legal'!I65+'[1]Mar ext legal'!I65+'[1]Apr ext legal'!I65+'[1]May ext legal'!I65+'[1]Jun ext legal'!I65+'[1]Jul ext legal'!I65</f>
        <v>0</v>
      </c>
      <c r="J65" s="146">
        <f>+'[1]Jan ext legal'!K65+'[1]Feb ext legal'!K65+'[1]Mar ext legal'!K65+'[1]Apr ext legal'!K65+'[1]May ext legal'!K65+'[1]Jun ext legal'!K65+'[1]Jul ext legal'!K65</f>
        <v>0</v>
      </c>
      <c r="K65" s="146">
        <f>+'[1]Jan ext legal'!L65+'[1]Feb ext legal'!L65+'[1]Mar ext legal'!L65+'[1]Apr ext legal'!L65+'[1]May ext legal'!L65+'[1]Jun ext legal'!L65+'[1]Jul ext legal'!L65</f>
        <v>0</v>
      </c>
      <c r="L65" s="146">
        <f>+'[1]Jan ext legal'!M65+'[1]Feb ext legal'!M65+'[1]Mar ext legal'!M65+'[1]Apr ext legal'!M65+'[1]May ext legal'!M65+'[1]Jun ext legal'!M65+'[1]Jul ext legal'!M65</f>
        <v>0</v>
      </c>
      <c r="M65" s="148">
        <f t="shared" si="0"/>
        <v>0</v>
      </c>
      <c r="N65" s="148">
        <f t="shared" si="1"/>
        <v>0</v>
      </c>
      <c r="O65" s="147"/>
      <c r="P65" s="148">
        <f t="shared" si="2"/>
        <v>0</v>
      </c>
    </row>
    <row r="66" spans="1:18" s="143" customFormat="1" ht="11.25" x14ac:dyDescent="0.2">
      <c r="A66" s="136">
        <v>120484</v>
      </c>
      <c r="B66" s="137" t="s">
        <v>198</v>
      </c>
      <c r="C66" s="137"/>
      <c r="D66" s="244">
        <v>1457909.08</v>
      </c>
      <c r="E66" s="139">
        <f>+'[1]Jan ext legal'!E66+'[1]Feb ext legal'!E66+'[1]Mar ext legal'!E66+'[1]Apr ext legal'!E66+'[1]May ext legal'!E66+'[1]Jun ext legal'!E66+'[1]Jul ext legal'!E66</f>
        <v>91203.409999999989</v>
      </c>
      <c r="F66" s="140">
        <f>+'[1]Jan ext legal'!F66+'[1]Feb ext legal'!F66+'[1]Mar ext legal'!F66+'[1]Apr ext legal'!F66+'[1]May ext legal'!F66+'[1]Jun ext legal'!F66+'[1]Jul ext legal'!F66</f>
        <v>0</v>
      </c>
      <c r="G66" s="139">
        <f>+'[1]Jan ext legal'!G66+'[1]Feb ext legal'!G66+'[1]Mar ext legal'!G66+'[1]Apr ext legal'!G66+'[1]May ext legal'!G66+'[1]Jun ext legal'!G66+'[1]Jul ext legal'!G66</f>
        <v>534904.54</v>
      </c>
      <c r="H66" s="140">
        <f>+'[1]Jan ext legal'!H66+'[1]Feb ext legal'!H66+'[1]Mar ext legal'!H66+'[1]Apr ext legal'!H66+'[1]May ext legal'!H66+'[1]Jun ext legal'!H66+'[1]Jul ext legal'!H66</f>
        <v>117396.73</v>
      </c>
      <c r="I66" s="139">
        <f>+'[1]Jan ext legal'!I66+'[1]Feb ext legal'!I66+'[1]Mar ext legal'!I66+'[1]Apr ext legal'!I66+'[1]May ext legal'!I66+'[1]Jun ext legal'!I66+'[1]Jul ext legal'!I66</f>
        <v>713941.5</v>
      </c>
      <c r="J66" s="140">
        <f>+'[1]Jan ext legal'!K66+'[1]Feb ext legal'!K66+'[1]Mar ext legal'!K66+'[1]Apr ext legal'!K66+'[1]May ext legal'!K66+'[1]Jun ext legal'!K66+'[1]Jul ext legal'!K66</f>
        <v>462.9</v>
      </c>
      <c r="K66" s="140">
        <f>+'[1]Jan ext legal'!L66+'[1]Feb ext legal'!L66+'[1]Mar ext legal'!L66+'[1]Apr ext legal'!L66+'[1]May ext legal'!L66+'[1]Jun ext legal'!L66+'[1]Jul ext legal'!L66</f>
        <v>0</v>
      </c>
      <c r="L66" s="140">
        <f>+'[1]Jan ext legal'!M66+'[1]Feb ext legal'!M66+'[1]Mar ext legal'!M66+'[1]Apr ext legal'!M66+'[1]May ext legal'!M66+'[1]Jun ext legal'!M66+'[1]Jul ext legal'!M66</f>
        <v>0</v>
      </c>
      <c r="M66" s="141">
        <f t="shared" si="0"/>
        <v>0.1242431097707218</v>
      </c>
      <c r="N66" s="141">
        <f t="shared" si="1"/>
        <v>1082862.5148112606</v>
      </c>
      <c r="O66" s="142"/>
      <c r="P66" s="141">
        <f t="shared" si="2"/>
        <v>2540771.5948112607</v>
      </c>
    </row>
    <row r="67" spans="1:18" s="143" customFormat="1" ht="11.25" x14ac:dyDescent="0.2">
      <c r="A67" s="136">
        <v>121125</v>
      </c>
      <c r="B67" s="137" t="s">
        <v>199</v>
      </c>
      <c r="C67" s="137"/>
      <c r="D67" s="244">
        <v>108674.32</v>
      </c>
      <c r="E67" s="139">
        <f>+'[1]Jan ext legal'!E67+'[1]Feb ext legal'!E67+'[1]Mar ext legal'!E67+'[1]Apr ext legal'!E67+'[1]May ext legal'!E67+'[1]Jun ext legal'!E67+'[1]Jul ext legal'!E67</f>
        <v>108674.32</v>
      </c>
      <c r="F67" s="140">
        <f>+'[1]Jan ext legal'!F67+'[1]Feb ext legal'!F67+'[1]Mar ext legal'!F67+'[1]Apr ext legal'!F67+'[1]May ext legal'!F67+'[1]Jun ext legal'!F67+'[1]Jul ext legal'!F67</f>
        <v>0</v>
      </c>
      <c r="G67" s="139">
        <f>+'[1]Jan ext legal'!G67+'[1]Feb ext legal'!G67+'[1]Mar ext legal'!G67+'[1]Apr ext legal'!G67+'[1]May ext legal'!G67+'[1]Jun ext legal'!G67+'[1]Jul ext legal'!G67</f>
        <v>0</v>
      </c>
      <c r="H67" s="140">
        <f>+'[1]Jan ext legal'!H67+'[1]Feb ext legal'!H67+'[1]Mar ext legal'!H67+'[1]Apr ext legal'!H67+'[1]May ext legal'!H67+'[1]Jun ext legal'!H67+'[1]Jul ext legal'!H67</f>
        <v>0</v>
      </c>
      <c r="I67" s="139">
        <f>+'[1]Jan ext legal'!I67+'[1]Feb ext legal'!I67+'[1]Mar ext legal'!I67+'[1]Apr ext legal'!I67+'[1]May ext legal'!I67+'[1]Jun ext legal'!I67+'[1]Jul ext legal'!I67</f>
        <v>0</v>
      </c>
      <c r="J67" s="140">
        <f>+'[1]Jan ext legal'!K67+'[1]Feb ext legal'!K67+'[1]Mar ext legal'!K67+'[1]Apr ext legal'!K67+'[1]May ext legal'!K67+'[1]Jun ext legal'!K67+'[1]Jul ext legal'!K67</f>
        <v>0</v>
      </c>
      <c r="K67" s="140">
        <f>+'[1]Jan ext legal'!L67+'[1]Feb ext legal'!L67+'[1]Mar ext legal'!L67+'[1]Apr ext legal'!L67+'[1]May ext legal'!L67+'[1]Jun ext legal'!L67+'[1]Jul ext legal'!L67</f>
        <v>0</v>
      </c>
      <c r="L67" s="140">
        <f>+'[1]Jan ext legal'!M67+'[1]Feb ext legal'!M67+'[1]Mar ext legal'!M67+'[1]Apr ext legal'!M67+'[1]May ext legal'!M67+'[1]Jun ext legal'!M67+'[1]Jul ext legal'!M67</f>
        <v>0</v>
      </c>
      <c r="M67" s="141">
        <f t="shared" si="0"/>
        <v>9.2612328534359273E-3</v>
      </c>
      <c r="N67" s="141">
        <f t="shared" si="1"/>
        <v>80717.891852764704</v>
      </c>
      <c r="O67" s="142"/>
      <c r="P67" s="141">
        <f t="shared" si="2"/>
        <v>189392.21185276471</v>
      </c>
    </row>
    <row r="68" spans="1:18" s="143" customFormat="1" ht="11.25" x14ac:dyDescent="0.2">
      <c r="A68" s="136">
        <v>140167</v>
      </c>
      <c r="B68" s="137" t="s">
        <v>200</v>
      </c>
      <c r="C68" s="137"/>
      <c r="D68" s="244">
        <v>202208.31</v>
      </c>
      <c r="E68" s="139">
        <f>+'[1]Jan ext legal'!E69+'[1]Feb ext legal'!E69+'[1]Mar ext legal'!E69+'[1]Apr ext legal'!E69+'[1]May ext legal'!E69+'[1]Jun ext legal'!E69+'[1]Jul ext legal'!E69</f>
        <v>139054.60999999999</v>
      </c>
      <c r="F68" s="140">
        <f>+'[1]Jan ext legal'!F69+'[1]Feb ext legal'!F69+'[1]Mar ext legal'!F69+'[1]Apr ext legal'!F69+'[1]May ext legal'!F69+'[1]Jun ext legal'!F69+'[1]Jul ext legal'!F69</f>
        <v>0</v>
      </c>
      <c r="G68" s="139">
        <f>+'[1]Jan ext legal'!G69+'[1]Feb ext legal'!G69+'[1]Mar ext legal'!G69+'[1]Apr ext legal'!G69+'[1]May ext legal'!G69+'[1]Jun ext legal'!G69+'[1]Jul ext legal'!G69</f>
        <v>0</v>
      </c>
      <c r="H68" s="140">
        <f>+'[1]Jan ext legal'!H69+'[1]Feb ext legal'!H69+'[1]Mar ext legal'!H69+'[1]Apr ext legal'!H69+'[1]May ext legal'!H69+'[1]Jun ext legal'!H69+'[1]Jul ext legal'!H69</f>
        <v>63153.7</v>
      </c>
      <c r="I68" s="139">
        <f>+'[1]Jan ext legal'!I69+'[1]Feb ext legal'!I69+'[1]Mar ext legal'!I69+'[1]Apr ext legal'!I69+'[1]May ext legal'!I69+'[1]Jun ext legal'!I69+'[1]Jul ext legal'!I69</f>
        <v>0</v>
      </c>
      <c r="J68" s="140">
        <f>+'[1]Jan ext legal'!K69+'[1]Feb ext legal'!K69+'[1]Mar ext legal'!K69+'[1]Apr ext legal'!K69+'[1]May ext legal'!K69+'[1]Jun ext legal'!K69+'[1]Jul ext legal'!K69</f>
        <v>0</v>
      </c>
      <c r="K68" s="140">
        <f>+'[1]Jan ext legal'!L69+'[1]Feb ext legal'!L69+'[1]Mar ext legal'!L69+'[1]Apr ext legal'!L69+'[1]May ext legal'!L69+'[1]Jun ext legal'!L69+'[1]Jul ext legal'!L69</f>
        <v>0</v>
      </c>
      <c r="L68" s="140">
        <f>+'[1]Jan ext legal'!M69+'[1]Feb ext legal'!M69+'[1]Mar ext legal'!M69+'[1]Apr ext legal'!M69+'[1]May ext legal'!M69+'[1]Jun ext legal'!M69+'[1]Jul ext legal'!M69</f>
        <v>0</v>
      </c>
      <c r="M68" s="141">
        <f t="shared" si="0"/>
        <v>1.7232205766824733E-2</v>
      </c>
      <c r="N68" s="141">
        <f t="shared" si="1"/>
        <v>150190.29793156579</v>
      </c>
      <c r="O68" s="142"/>
      <c r="P68" s="141">
        <f t="shared" si="2"/>
        <v>352398.60793156578</v>
      </c>
    </row>
    <row r="69" spans="1:18" s="143" customFormat="1" ht="11.25" x14ac:dyDescent="0.2">
      <c r="A69" s="136">
        <v>140399</v>
      </c>
      <c r="B69" s="137" t="s">
        <v>201</v>
      </c>
      <c r="C69" s="137"/>
      <c r="D69" s="244">
        <v>0</v>
      </c>
      <c r="E69" s="139">
        <f>+'[1]Jan ext legal'!E70+'[1]Feb ext legal'!E70+'[1]Mar ext legal'!E70+'[1]Apr ext legal'!E70+'[1]May ext legal'!E70+'[1]Jun ext legal'!E70+'[1]Jul ext legal'!E70</f>
        <v>135528.45999999996</v>
      </c>
      <c r="F69" s="140">
        <f>+'[1]Jan ext legal'!F70+'[1]Feb ext legal'!F70+'[1]Mar ext legal'!F70+'[1]Apr ext legal'!F70+'[1]May ext legal'!F70+'[1]Jun ext legal'!F70+'[1]Jul ext legal'!F70</f>
        <v>21759.96</v>
      </c>
      <c r="G69" s="139">
        <f>+'[1]Jan ext legal'!G70+'[1]Feb ext legal'!G70+'[1]Mar ext legal'!G70+'[1]Apr ext legal'!G70+'[1]May ext legal'!G70+'[1]Jun ext legal'!G70+'[1]Jul ext legal'!G70</f>
        <v>0</v>
      </c>
      <c r="H69" s="140">
        <f>+'[1]Jan ext legal'!H70+'[1]Feb ext legal'!H70+'[1]Mar ext legal'!H70+'[1]Apr ext legal'!H70+'[1]May ext legal'!H70+'[1]Jun ext legal'!H70+'[1]Jul ext legal'!H70</f>
        <v>0</v>
      </c>
      <c r="I69" s="139">
        <f>+'[1]Jan ext legal'!I70+'[1]Feb ext legal'!I70+'[1]Mar ext legal'!I70+'[1]Apr ext legal'!I70+'[1]May ext legal'!I70+'[1]Jun ext legal'!I70+'[1]Jul ext legal'!I70</f>
        <v>0</v>
      </c>
      <c r="J69" s="140">
        <f>+'[1]Jan ext legal'!K70+'[1]Feb ext legal'!K70+'[1]Mar ext legal'!K70+'[1]Apr ext legal'!K70+'[1]May ext legal'!K70+'[1]Jun ext legal'!K70+'[1]Jul ext legal'!K70</f>
        <v>0</v>
      </c>
      <c r="K69" s="140">
        <f>+'[1]Jan ext legal'!L70+'[1]Feb ext legal'!L70+'[1]Mar ext legal'!L70+'[1]Apr ext legal'!L70+'[1]May ext legal'!L70+'[1]Jun ext legal'!L70+'[1]Jul ext legal'!L70</f>
        <v>0</v>
      </c>
      <c r="L69" s="140">
        <f>+'[1]Jan ext legal'!M70+'[1]Feb ext legal'!M70+'[1]Mar ext legal'!M70+'[1]Apr ext legal'!M70+'[1]May ext legal'!M70+'[1]Jun ext legal'!M70+'[1]Jul ext legal'!M70</f>
        <v>0</v>
      </c>
      <c r="M69" s="141">
        <f t="shared" si="0"/>
        <v>0</v>
      </c>
      <c r="N69" s="141">
        <f t="shared" si="1"/>
        <v>0</v>
      </c>
      <c r="O69" s="142"/>
      <c r="P69" s="141">
        <f t="shared" si="2"/>
        <v>0</v>
      </c>
    </row>
    <row r="70" spans="1:18" s="143" customFormat="1" ht="11.25" x14ac:dyDescent="0.2">
      <c r="A70" s="136">
        <v>140402</v>
      </c>
      <c r="B70" s="137" t="s">
        <v>202</v>
      </c>
      <c r="C70" s="137" t="s">
        <v>203</v>
      </c>
      <c r="D70" s="244">
        <v>0</v>
      </c>
      <c r="E70" s="139">
        <f>+'[1]Jan ext legal'!E71+'[1]Feb ext legal'!E71+'[1]Mar ext legal'!E71+'[1]Apr ext legal'!E71+'[1]May ext legal'!E71+'[1]Jun ext legal'!E71+'[1]Jul ext legal'!E71</f>
        <v>183695.56999999998</v>
      </c>
      <c r="F70" s="140">
        <f>+'[1]Jan ext legal'!F71+'[1]Feb ext legal'!F71+'[1]Mar ext legal'!F71+'[1]Apr ext legal'!F71+'[1]May ext legal'!F71+'[1]Jun ext legal'!F71+'[1]Jul ext legal'!F71</f>
        <v>0</v>
      </c>
      <c r="G70" s="139">
        <f>+'[1]Jan ext legal'!G71+'[1]Feb ext legal'!G71+'[1]Mar ext legal'!G71+'[1]Apr ext legal'!G71+'[1]May ext legal'!G71+'[1]Jun ext legal'!G71+'[1]Jul ext legal'!G71</f>
        <v>1999010.1</v>
      </c>
      <c r="H70" s="140">
        <f>+'[1]Jan ext legal'!H71+'[1]Feb ext legal'!H71+'[1]Mar ext legal'!H71+'[1]Apr ext legal'!H71+'[1]May ext legal'!H71+'[1]Jun ext legal'!H71+'[1]Jul ext legal'!H71</f>
        <v>0</v>
      </c>
      <c r="I70" s="139">
        <f>+'[1]Jan ext legal'!I71+'[1]Feb ext legal'!I71+'[1]Mar ext legal'!I71+'[1]Apr ext legal'!I71+'[1]May ext legal'!I71+'[1]Jun ext legal'!I71+'[1]Jul ext legal'!I71</f>
        <v>0</v>
      </c>
      <c r="J70" s="140">
        <f>+'[1]Jan ext legal'!K71+'[1]Feb ext legal'!K71+'[1]Mar ext legal'!K71+'[1]Apr ext legal'!K71+'[1]May ext legal'!K71+'[1]Jun ext legal'!K71+'[1]Jul ext legal'!K71</f>
        <v>0</v>
      </c>
      <c r="K70" s="140">
        <f>+'[1]Jan ext legal'!L71+'[1]Feb ext legal'!L71+'[1]Mar ext legal'!L71+'[1]Apr ext legal'!L71+'[1]May ext legal'!L71+'[1]Jun ext legal'!L71+'[1]Jul ext legal'!L71</f>
        <v>0</v>
      </c>
      <c r="L70" s="140">
        <f>+'[1]Jan ext legal'!M71+'[1]Feb ext legal'!M71+'[1]Mar ext legal'!M71+'[1]Apr ext legal'!M71+'[1]May ext legal'!M71+'[1]Jun ext legal'!M71+'[1]Jul ext legal'!M71</f>
        <v>0</v>
      </c>
      <c r="M70" s="141">
        <f>+D70/D$73</f>
        <v>0</v>
      </c>
      <c r="N70" s="141">
        <f>+N$4*M70</f>
        <v>0</v>
      </c>
      <c r="O70" s="142"/>
      <c r="P70" s="141">
        <f>SUM(D70+N70)</f>
        <v>0</v>
      </c>
    </row>
    <row r="71" spans="1:18" s="143" customFormat="1" ht="11.25" x14ac:dyDescent="0.2">
      <c r="A71" s="144">
        <v>150164</v>
      </c>
      <c r="B71" s="143" t="s">
        <v>204</v>
      </c>
      <c r="C71" s="137"/>
      <c r="D71" s="245">
        <v>335.25</v>
      </c>
      <c r="E71" s="145">
        <f>+'[1]Jan ext legal'!E72+'[1]Feb ext legal'!E72+'[1]Mar ext legal'!E72+'[1]Apr ext legal'!E72+'[1]May ext legal'!E72+'[1]Jun ext legal'!E72+'[1]Jul ext legal'!E72</f>
        <v>335.25</v>
      </c>
      <c r="F71" s="146">
        <f>+'[1]Jan ext legal'!F72+'[1]Feb ext legal'!F72+'[1]Mar ext legal'!F72+'[1]Apr ext legal'!F72+'[1]May ext legal'!F72+'[1]Jun ext legal'!F72+'[1]Jul ext legal'!F72</f>
        <v>0</v>
      </c>
      <c r="G71" s="145">
        <f>+'[1]Jan ext legal'!G72+'[1]Feb ext legal'!G72+'[1]Mar ext legal'!G72+'[1]Apr ext legal'!G72+'[1]May ext legal'!G72+'[1]Jun ext legal'!G72+'[1]Jul ext legal'!G72</f>
        <v>0</v>
      </c>
      <c r="H71" s="146">
        <f>+'[1]Jan ext legal'!H72+'[1]Feb ext legal'!H72+'[1]Mar ext legal'!H72+'[1]Apr ext legal'!H72+'[1]May ext legal'!H72+'[1]Jun ext legal'!H72+'[1]Jul ext legal'!H72</f>
        <v>0</v>
      </c>
      <c r="I71" s="145">
        <f>+'[1]Jan ext legal'!I72+'[1]Feb ext legal'!I72+'[1]Mar ext legal'!I72+'[1]Apr ext legal'!I72+'[1]May ext legal'!I72+'[1]Jun ext legal'!I72+'[1]Jul ext legal'!I72</f>
        <v>0</v>
      </c>
      <c r="J71" s="146">
        <f>+'[1]Jan ext legal'!K72+'[1]Feb ext legal'!K72+'[1]Mar ext legal'!K72+'[1]Apr ext legal'!K72+'[1]May ext legal'!K72+'[1]Jun ext legal'!K72+'[1]Jul ext legal'!K72</f>
        <v>0</v>
      </c>
      <c r="K71" s="146">
        <f>+'[1]Jan ext legal'!L72+'[1]Feb ext legal'!L72+'[1]Mar ext legal'!L72+'[1]Apr ext legal'!L72+'[1]May ext legal'!L72+'[1]Jun ext legal'!L72+'[1]Jul ext legal'!L72</f>
        <v>0</v>
      </c>
      <c r="L71" s="146">
        <f>+'[1]Jan ext legal'!M72+'[1]Feb ext legal'!M72+'[1]Mar ext legal'!M72+'[1]Apr ext legal'!M72+'[1]May ext legal'!M72+'[1]Jun ext legal'!M72+'[1]Jul ext legal'!M72</f>
        <v>0</v>
      </c>
      <c r="M71" s="148">
        <f>+D71/D$73</f>
        <v>2.8570027529175194E-5</v>
      </c>
      <c r="N71" s="148">
        <f>+N$4*M71</f>
        <v>249.00706297163271</v>
      </c>
      <c r="O71" s="147"/>
      <c r="P71" s="148">
        <f>SUM(D71+N71)</f>
        <v>584.25706297163265</v>
      </c>
    </row>
    <row r="72" spans="1:18" s="143" customFormat="1" ht="12" thickBot="1" x14ac:dyDescent="0.25">
      <c r="A72" s="152">
        <v>150249</v>
      </c>
      <c r="B72" s="153" t="s">
        <v>205</v>
      </c>
      <c r="C72" s="137" t="s">
        <v>114</v>
      </c>
      <c r="D72" s="244">
        <v>142503.79999999999</v>
      </c>
      <c r="E72" s="139">
        <f>+'[1]Jan ext legal'!E73+'[1]Feb ext legal'!E73+'[1]Mar ext legal'!E73+'[1]Apr ext legal'!E73+'[1]May ext legal'!E73+'[1]Jun ext legal'!E73+'[1]Jul ext legal'!E73</f>
        <v>2990.73</v>
      </c>
      <c r="F72" s="140">
        <f>+'[1]Jan ext legal'!F73+'[1]Feb ext legal'!F73+'[1]Mar ext legal'!F73+'[1]Apr ext legal'!F73+'[1]May ext legal'!F73+'[1]Jun ext legal'!F73+'[1]Jul ext legal'!F73</f>
        <v>139513.07</v>
      </c>
      <c r="G72" s="139">
        <f>+'[1]Jan ext legal'!G73+'[1]Feb ext legal'!G73+'[1]Mar ext legal'!G73+'[1]Apr ext legal'!G73+'[1]May ext legal'!G73+'[1]Jun ext legal'!G73+'[1]Jul ext legal'!G73</f>
        <v>0</v>
      </c>
      <c r="H72" s="154">
        <f>+'[1]Jan ext legal'!H73+'[1]Feb ext legal'!H73+'[1]Mar ext legal'!H73+'[1]Apr ext legal'!H73+'[1]May ext legal'!H73+'[1]Jun ext legal'!H73+'[1]Jul ext legal'!H73</f>
        <v>0</v>
      </c>
      <c r="I72" s="139">
        <f>+'[1]Jan ext legal'!I73+'[1]Feb ext legal'!I73+'[1]Mar ext legal'!I73+'[1]Apr ext legal'!I73+'[1]May ext legal'!I73+'[1]Jun ext legal'!I73+'[1]Jul ext legal'!I73</f>
        <v>0</v>
      </c>
      <c r="J72" s="140">
        <f>+'[1]Jan ext legal'!K73+'[1]Feb ext legal'!K73+'[1]Mar ext legal'!K73+'[1]Apr ext legal'!K73+'[1]May ext legal'!K73+'[1]Jun ext legal'!K73+'[1]Jul ext legal'!K73</f>
        <v>0</v>
      </c>
      <c r="K72" s="154">
        <f>+'[1]Jan ext legal'!L73+'[1]Feb ext legal'!L73+'[1]Mar ext legal'!L73+'[1]Apr ext legal'!L73+'[1]May ext legal'!L73+'[1]Jun ext legal'!L73+'[1]Jul ext legal'!L73</f>
        <v>0</v>
      </c>
      <c r="L72" s="154">
        <f>+'[1]Jan ext legal'!M73+'[1]Feb ext legal'!M73+'[1]Mar ext legal'!M73+'[1]Apr ext legal'!M73+'[1]May ext legal'!M73+'[1]Jun ext legal'!M73+'[1]Jul ext legal'!M73</f>
        <v>0</v>
      </c>
      <c r="M72" s="141">
        <f>+D72/D$73</f>
        <v>1.2144183412414841E-2</v>
      </c>
      <c r="N72" s="141">
        <f>+N$4*M72</f>
        <v>105844.75078388352</v>
      </c>
      <c r="O72" s="142"/>
      <c r="P72" s="141">
        <f>SUM(D72+N72)</f>
        <v>248348.55078388349</v>
      </c>
    </row>
    <row r="73" spans="1:18" ht="13.5" thickBot="1" x14ac:dyDescent="0.25">
      <c r="B73" s="8"/>
      <c r="C73" s="8"/>
      <c r="D73" s="155">
        <f t="shared" ref="D73:N73" si="3">SUM(D6:D72)</f>
        <v>11734325.41</v>
      </c>
      <c r="E73" s="156">
        <f t="shared" si="3"/>
        <v>3003906.5899999989</v>
      </c>
      <c r="F73" s="157">
        <f t="shared" si="3"/>
        <v>2650347.8499999996</v>
      </c>
      <c r="G73" s="158">
        <f t="shared" si="3"/>
        <v>6149658.2800000003</v>
      </c>
      <c r="H73" s="157">
        <f t="shared" si="3"/>
        <v>282290.55</v>
      </c>
      <c r="I73" s="159">
        <f t="shared" si="3"/>
        <v>944280.11</v>
      </c>
      <c r="J73" s="157">
        <f t="shared" si="3"/>
        <v>48058.65</v>
      </c>
      <c r="K73" s="157">
        <f t="shared" si="3"/>
        <v>1128832.97</v>
      </c>
      <c r="L73" s="157">
        <f t="shared" si="3"/>
        <v>7792.82</v>
      </c>
      <c r="M73" s="155">
        <f>+D73/D$73</f>
        <v>1</v>
      </c>
      <c r="N73" s="155">
        <f t="shared" si="3"/>
        <v>8715674.5899999999</v>
      </c>
      <c r="O73" s="160"/>
      <c r="P73" s="155">
        <f>SUM(P6:P72)</f>
        <v>20450000</v>
      </c>
    </row>
    <row r="74" spans="1:18" s="143" customFormat="1" ht="11.25" x14ac:dyDescent="0.2">
      <c r="A74" s="136"/>
      <c r="B74" s="137" t="s">
        <v>223</v>
      </c>
      <c r="C74" s="137" t="s">
        <v>114</v>
      </c>
      <c r="D74" s="246">
        <f>5000000/12*7</f>
        <v>2916666.666666667</v>
      </c>
      <c r="E74" s="246">
        <v>0</v>
      </c>
      <c r="F74" s="247">
        <f>+'[1]Jan ext legal'!F76+'[1]Feb ext legal'!F76+'[1]Mar ext legal'!F76+'[1]Apr ext legal'!F76+'[1]May ext legal'!F76+'[1]Jun ext legal'!F76+'[1]Jul ext legal'!F76</f>
        <v>0</v>
      </c>
      <c r="G74" s="246">
        <f>+'[1]Jan ext legal'!G76+'[1]Feb ext legal'!G76+'[1]Mar ext legal'!G76+'[1]Apr ext legal'!G76+'[1]May ext legal'!G76+'[1]Jun ext legal'!G76+'[1]Jul ext legal'!G76</f>
        <v>0</v>
      </c>
      <c r="H74" s="247">
        <f>+'[1]Jan ext legal'!H76+'[1]Feb ext legal'!H76+'[1]Mar ext legal'!H76+'[1]Apr ext legal'!H76+'[1]May ext legal'!H76+'[1]Jun ext legal'!H76+'[1]Jul ext legal'!H76</f>
        <v>0</v>
      </c>
      <c r="I74" s="246">
        <f>+'[1]Jan ext legal'!I76+'[1]Feb ext legal'!I76+'[1]Mar ext legal'!I76+'[1]Apr ext legal'!I76+'[1]May ext legal'!I76+'[1]Jun ext legal'!I76+'[1]Jul ext legal'!I76</f>
        <v>0</v>
      </c>
      <c r="J74" s="247">
        <f>+'[1]Jan ext legal'!K76+'[1]Feb ext legal'!K76+'[1]Mar ext legal'!K76+'[1]Apr ext legal'!K76+'[1]May ext legal'!K76+'[1]Jun ext legal'!K76+'[1]Jul ext legal'!K76</f>
        <v>0</v>
      </c>
      <c r="K74" s="247">
        <f>+'[1]Jan ext legal'!L76+'[1]Feb ext legal'!L76+'[1]Mar ext legal'!L76+'[1]Apr ext legal'!L76+'[1]May ext legal'!L76+'[1]Jun ext legal'!L76+'[1]Jul ext legal'!L76</f>
        <v>0</v>
      </c>
      <c r="L74" s="247">
        <f>+'[1]Jan ext legal'!M76+'[1]Feb ext legal'!M76+'[1]Mar ext legal'!M76+'[1]Apr ext legal'!M76+'[1]May ext legal'!M76+'[1]Jun ext legal'!M76+'[1]Jul ext legal'!M76</f>
        <v>0</v>
      </c>
      <c r="M74" s="248"/>
      <c r="N74" s="246">
        <f>5000000/12*5</f>
        <v>2083333.3333333335</v>
      </c>
      <c r="O74" s="137"/>
      <c r="P74" s="139">
        <f>SUM(D74:N74)</f>
        <v>5000000</v>
      </c>
      <c r="Q74" s="143" t="s">
        <v>95</v>
      </c>
      <c r="R74" s="149" t="s">
        <v>221</v>
      </c>
    </row>
    <row r="75" spans="1:18" s="143" customFormat="1" ht="11.25" x14ac:dyDescent="0.2">
      <c r="A75" s="136">
        <v>104151</v>
      </c>
      <c r="B75" s="137" t="s">
        <v>118</v>
      </c>
      <c r="C75" s="137" t="s">
        <v>119</v>
      </c>
      <c r="D75" s="246">
        <f>5000000/12*7</f>
        <v>2916666.666666667</v>
      </c>
      <c r="E75" s="246">
        <f>+'[1]Jan ext legal'!E75+'[1]Feb ext legal'!E75+'[1]Mar ext legal'!E75+'[1]Apr ext legal'!E75+'[1]May ext legal'!E75+'[1]Jun ext legal'!E75+'[1]Jul ext legal'!E75</f>
        <v>0</v>
      </c>
      <c r="F75" s="247">
        <f>+'[1]Jan ext legal'!F75+'[1]Feb ext legal'!F75+'[1]Mar ext legal'!F75+'[1]Apr ext legal'!F75+'[1]May ext legal'!F75+'[1]Jun ext legal'!F75+'[1]Jul ext legal'!F75</f>
        <v>0</v>
      </c>
      <c r="G75" s="246">
        <f>+'[1]Jan ext legal'!G75+'[1]Feb ext legal'!G75+'[1]Mar ext legal'!G75+'[1]Apr ext legal'!G75+'[1]May ext legal'!G75+'[1]Jun ext legal'!G75+'[1]Jul ext legal'!G75</f>
        <v>0</v>
      </c>
      <c r="H75" s="247">
        <f>+'[1]Jan ext legal'!H75+'[1]Feb ext legal'!H75+'[1]Mar ext legal'!H75+'[1]Apr ext legal'!H75+'[1]May ext legal'!H75+'[1]Jun ext legal'!H75+'[1]Jul ext legal'!H75</f>
        <v>0</v>
      </c>
      <c r="I75" s="246">
        <f>+'[1]Jan ext legal'!I75+'[1]Feb ext legal'!I75+'[1]Mar ext legal'!I75+'[1]Apr ext legal'!I75+'[1]May ext legal'!I75+'[1]Jun ext legal'!I75+'[1]Jul ext legal'!I75</f>
        <v>0</v>
      </c>
      <c r="J75" s="247">
        <f>+'[1]Jan ext legal'!K75+'[1]Feb ext legal'!K75+'[1]Mar ext legal'!K75+'[1]Apr ext legal'!K75+'[1]May ext legal'!K75+'[1]Jun ext legal'!K75+'[1]Jul ext legal'!K75</f>
        <v>0</v>
      </c>
      <c r="K75" s="247">
        <f>+'[1]Jan ext legal'!L75+'[1]Feb ext legal'!L75+'[1]Mar ext legal'!L75+'[1]Apr ext legal'!L75+'[1]May ext legal'!L75+'[1]Jun ext legal'!L75+'[1]Jul ext legal'!L75</f>
        <v>0</v>
      </c>
      <c r="L75" s="247">
        <f>+'[1]Jan ext legal'!M75+'[1]Feb ext legal'!M75+'[1]Mar ext legal'!M75+'[1]Apr ext legal'!M75+'[1]May ext legal'!M75+'[1]Jun ext legal'!M75+'[1]Jul ext legal'!M75</f>
        <v>0</v>
      </c>
      <c r="M75" s="248"/>
      <c r="N75" s="246">
        <f>5000000/12*5</f>
        <v>2083333.3333333335</v>
      </c>
      <c r="O75" s="137"/>
      <c r="P75" s="139">
        <f>SUM(D75:N75)</f>
        <v>5000000</v>
      </c>
      <c r="Q75" s="143" t="s">
        <v>220</v>
      </c>
      <c r="R75" s="149" t="s">
        <v>221</v>
      </c>
    </row>
    <row r="76" spans="1:18" s="143" customFormat="1" ht="12" thickBot="1" x14ac:dyDescent="0.25">
      <c r="A76" s="136" t="s">
        <v>234</v>
      </c>
      <c r="B76" s="137" t="s">
        <v>235</v>
      </c>
      <c r="C76" s="137"/>
      <c r="D76" s="246">
        <f>650000/12*7</f>
        <v>379166.66666666663</v>
      </c>
      <c r="E76" s="246"/>
      <c r="F76" s="247"/>
      <c r="G76" s="246"/>
      <c r="H76" s="247"/>
      <c r="I76" s="246"/>
      <c r="J76" s="247"/>
      <c r="K76" s="247"/>
      <c r="L76" s="247"/>
      <c r="M76" s="248"/>
      <c r="N76" s="246">
        <f>650000/12*5</f>
        <v>270833.33333333331</v>
      </c>
      <c r="O76" s="137"/>
      <c r="P76" s="139">
        <f>SUM(D76:N76)</f>
        <v>650000</v>
      </c>
      <c r="Q76" s="143" t="s">
        <v>229</v>
      </c>
      <c r="R76" s="149"/>
    </row>
    <row r="77" spans="1:18" x14ac:dyDescent="0.2">
      <c r="B77" s="249" t="s">
        <v>207</v>
      </c>
      <c r="C77" s="250"/>
      <c r="D77" s="251">
        <f>+D6+D8+D9+D10+D11+D17+D18+D66+D67+D68+D69+D70+D72+D74+D75+D76</f>
        <v>9221739.5499999989</v>
      </c>
      <c r="E77" s="250"/>
      <c r="F77" s="250"/>
      <c r="G77" s="250"/>
      <c r="H77" s="250"/>
      <c r="I77" s="250"/>
      <c r="J77" s="250"/>
      <c r="K77" s="250"/>
      <c r="L77" s="250"/>
      <c r="M77" s="250"/>
      <c r="N77" s="251">
        <f>+N6+N8+N9+N10+N11+N17+N18+N66+N67+N68+N69+N70+N72+N74+N75+N76</f>
        <v>6672613.8020091811</v>
      </c>
      <c r="O77" s="250"/>
      <c r="P77" s="252">
        <f>+P6+P8+P9+P10+P11+P17+P18+P66+P67+P68+P69+P70+P72+P74+P75+P76</f>
        <v>15894353.352009181</v>
      </c>
    </row>
    <row r="78" spans="1:18" ht="13.5" thickBot="1" x14ac:dyDescent="0.25">
      <c r="B78" s="253" t="s">
        <v>208</v>
      </c>
      <c r="C78" s="254"/>
      <c r="D78" s="255">
        <f>D13+D14+D15+D16+SUM(D19:D65)+D71</f>
        <v>8725085.8600000031</v>
      </c>
      <c r="E78" s="254"/>
      <c r="F78" s="254"/>
      <c r="G78" s="254"/>
      <c r="H78" s="254"/>
      <c r="I78" s="254"/>
      <c r="J78" s="254"/>
      <c r="K78" s="254"/>
      <c r="L78" s="254"/>
      <c r="M78" s="254"/>
      <c r="N78" s="255">
        <f>N13+N14+N15+N16+SUM(N19:N65)+N71</f>
        <v>6480560.7879908206</v>
      </c>
      <c r="O78" s="256"/>
      <c r="P78" s="257">
        <f>+P7+P12+P13+P14+P15+P16+SUM(P19:P65)+P71</f>
        <v>15205646.647990823</v>
      </c>
    </row>
    <row r="79" spans="1:18" x14ac:dyDescent="0.2">
      <c r="B79" t="s">
        <v>75</v>
      </c>
      <c r="D79" s="258">
        <f>SUM(D77:D78)</f>
        <v>17946825.410000004</v>
      </c>
      <c r="E79" s="107"/>
      <c r="F79" s="107"/>
      <c r="G79" s="107"/>
      <c r="H79" s="107"/>
      <c r="I79" s="107"/>
      <c r="J79" s="107"/>
      <c r="K79" s="107"/>
      <c r="L79" s="107"/>
      <c r="M79" s="107"/>
      <c r="N79" s="258">
        <f>SUM(N77:N78)</f>
        <v>13153174.590000002</v>
      </c>
      <c r="P79" s="258">
        <f>SUM(P77:P78)</f>
        <v>31100000.000000004</v>
      </c>
    </row>
    <row r="80" spans="1:18" x14ac:dyDescent="0.2">
      <c r="A80" s="161" t="s">
        <v>222</v>
      </c>
      <c r="C80" s="8"/>
      <c r="E80" s="164"/>
      <c r="F80" s="164"/>
      <c r="H80" s="164"/>
      <c r="J80" s="164"/>
      <c r="M80" t="s">
        <v>75</v>
      </c>
      <c r="P80" s="126">
        <f>+P79-P73-P74-P75-P76</f>
        <v>3.7252902984619141E-9</v>
      </c>
    </row>
    <row r="81" spans="1:16" x14ac:dyDescent="0.2">
      <c r="A81" s="162">
        <f>D73</f>
        <v>11734325.41</v>
      </c>
      <c r="B81" s="163" t="s">
        <v>206</v>
      </c>
      <c r="C81" s="8"/>
      <c r="D81" s="165"/>
      <c r="E81" s="164"/>
      <c r="F81" s="164"/>
      <c r="H81" s="164"/>
      <c r="J81" s="164"/>
      <c r="N81" s="165"/>
      <c r="P81" s="165"/>
    </row>
    <row r="82" spans="1:16" x14ac:dyDescent="0.2">
      <c r="A82" s="143" t="s">
        <v>225</v>
      </c>
      <c r="C82" s="8"/>
      <c r="D82" s="166"/>
      <c r="E82" s="164"/>
      <c r="F82" s="164"/>
      <c r="H82" s="164"/>
      <c r="J82" s="164"/>
      <c r="N82" s="166"/>
      <c r="P82" s="166"/>
    </row>
    <row r="83" spans="1:16" x14ac:dyDescent="0.2">
      <c r="A83" s="143" t="s">
        <v>226</v>
      </c>
      <c r="B83" s="8"/>
      <c r="C83" s="8"/>
    </row>
    <row r="84" spans="1:16" x14ac:dyDescent="0.2">
      <c r="A84" s="143" t="s">
        <v>236</v>
      </c>
    </row>
    <row r="85" spans="1:16" x14ac:dyDescent="0.2">
      <c r="A85" s="143" t="str">
        <f ca="1">CELL("filename",A1)</f>
        <v>C:\Users\Felienne\Enron\EnronSpreadsheets\[mark_haedicke__24604__2002 Legal-9.20.xls]2002 Plan-external legal</v>
      </c>
    </row>
  </sheetData>
  <phoneticPr fontId="0" type="noConversion"/>
  <printOptions horizontalCentered="1"/>
  <pageMargins left="0.75" right="0" top="1" bottom="0" header="0.5" footer="0"/>
  <pageSetup scale="76" orientation="portrait" r:id="rId1"/>
  <headerFooter alignWithMargins="0">
    <oddFooter>&amp;L&amp;7&amp;D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Bill Out to ENA Commercial Team</vt:lpstr>
      <vt:lpstr>Legal</vt:lpstr>
      <vt:lpstr>LegalAlloc</vt:lpstr>
      <vt:lpstr>2002 Plan interna legal</vt:lpstr>
      <vt:lpstr>2002 Plan-external legal</vt:lpstr>
      <vt:lpstr>'2002 Plan interna legal'!Print_Area</vt:lpstr>
      <vt:lpstr>'2002 Plan-external legal'!Print_Area</vt:lpstr>
      <vt:lpstr>'Bill Out to ENA Commercial Team'!Print_Area</vt:lpstr>
      <vt:lpstr>Legal!Print_Area</vt:lpstr>
      <vt:lpstr>LegalAlloc!Print_Area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lguillia</dc:creator>
  <cp:lastModifiedBy>Felienne</cp:lastModifiedBy>
  <cp:lastPrinted>2001-09-20T20:13:54Z</cp:lastPrinted>
  <dcterms:created xsi:type="dcterms:W3CDTF">2001-09-08T20:24:35Z</dcterms:created>
  <dcterms:modified xsi:type="dcterms:W3CDTF">2014-09-05T09:58:24Z</dcterms:modified>
</cp:coreProperties>
</file>