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trlProps/ctrlProp3.xml" ContentType="application/vnd.ms-excel.controlproperties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05" yWindow="120" windowWidth="15405" windowHeight="4470" tabRatio="642"/>
  </bookViews>
  <sheets>
    <sheet name="Gas Average Basis" sheetId="4" r:id="rId1"/>
    <sheet name="CurveFetch" sheetId="5" r:id="rId2"/>
    <sheet name="BasisCurves" sheetId="6" r:id="rId3"/>
    <sheet name="PowerPrices" sheetId="514" r:id="rId4"/>
    <sheet name="Procedures" sheetId="513" r:id="rId5"/>
    <sheet name="Copy Price Macro" sheetId="512" state="veryHidden" r:id="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definedNames>
    <definedName name="_Order1" hidden="1">0</definedName>
    <definedName name="_Order2" hidden="1">0</definedName>
    <definedName name="ANR_LA">#REF!</definedName>
    <definedName name="ANR_OK">#REF!</definedName>
    <definedName name="ANR_SE_MKT">#REF!</definedName>
    <definedName name="BucketTable">#REF!</definedName>
    <definedName name="CARLTON_IM">#REF!</definedName>
    <definedName name="CHI_GATE">#REF!</definedName>
    <definedName name="CNSMR_POWER">#REF!</definedName>
    <definedName name="Count">#REF!</definedName>
    <definedName name="Count1" localSheetId="1">CurveFetch!$A$4</definedName>
    <definedName name="Count1">#REF!</definedName>
    <definedName name="crvDate">[3]Top!$C$3</definedName>
    <definedName name="CRYSTAL_IM">#REF!</definedName>
    <definedName name="CurveCode" localSheetId="1">CurveFetch!$B$4</definedName>
    <definedName name="CurveCode">#REF!</definedName>
    <definedName name="CurveRange">BasisCurves!$C$11</definedName>
    <definedName name="Curves">[1]Curves!$B$11:$X$157</definedName>
    <definedName name="CurveTable">#REF!</definedName>
    <definedName name="CurveTable1" localSheetId="1">CurveFetch!$E$1:$AH$7</definedName>
    <definedName name="CurveTable1">#REF!</definedName>
    <definedName name="CurveType" localSheetId="1">CurveFetch!$B$5</definedName>
    <definedName name="CurveType">#REF!</definedName>
    <definedName name="Dates">BasisCurves!$B$16:$B$32</definedName>
    <definedName name="DateTable">#REF!</definedName>
    <definedName name="DayOfTheMonth">#REF!</definedName>
    <definedName name="DaysinMonth">#REF!</definedName>
    <definedName name="Daysofthemonth">#REF!</definedName>
    <definedName name="Dbase">BasisCurves!$B$3</definedName>
    <definedName name="deals_inc">#REF!</definedName>
    <definedName name="Dump" localSheetId="1">CurveFetch!$B$7</definedName>
    <definedName name="Dump">#REF!</definedName>
    <definedName name="EffDt">BasisCurves!$B$5</definedName>
    <definedName name="EffectiveDate" localSheetId="1">CurveFetch!$B$2</definedName>
    <definedName name="EffectiveDate">#REF!</definedName>
    <definedName name="EMERSON_US">#REF!</definedName>
    <definedName name="EMERSON_US_IM">#REF!</definedName>
    <definedName name="EMERSON_USA">#REF!</definedName>
    <definedName name="EndLine">#REF!</definedName>
    <definedName name="EndLine2">#REF!</definedName>
    <definedName name="erv10sec1">'Gas Average Basis'!$B$9:$AI$49</definedName>
    <definedName name="FARWELL_IM">#REF!</definedName>
    <definedName name="FileName">#REF!</definedName>
    <definedName name="FileTable">#REF!</definedName>
    <definedName name="FileType">#REF!</definedName>
    <definedName name="FinishFile">#REF!</definedName>
    <definedName name="FinishFlag">#REF!</definedName>
    <definedName name="FTPConfig">#REF!</definedName>
    <definedName name="Gas_Trading">'Gas Average Basis'!$C$9:$AH$49</definedName>
    <definedName name="Holidays">[4]Holidays!$B$2:$B$61</definedName>
    <definedName name="IF_ANR_LA_MKT">#REF!</definedName>
    <definedName name="IF_MONCHY">#REF!</definedName>
    <definedName name="IF_NGPL_LA_MKT">#REF!</definedName>
    <definedName name="IF_NGPL_OK_NW">#REF!</definedName>
    <definedName name="LocalPath">#REF!</definedName>
    <definedName name="MICH_CONS">#REF!</definedName>
    <definedName name="MICH_ST.CLAI_IM">#REF!</definedName>
    <definedName name="MICH_ST.CLAIR">#REF!</definedName>
    <definedName name="MICH_STCLAI_IM">#REF!</definedName>
    <definedName name="MICHCON">#REF!</definedName>
    <definedName name="MICHCONGD">#REF!</definedName>
    <definedName name="ML3_CG">#REF!</definedName>
    <definedName name="ML7_CG">#REF!</definedName>
    <definedName name="MONCHY_IM">#REF!</definedName>
    <definedName name="Month" localSheetId="1">CurveFetch!$B$3</definedName>
    <definedName name="Month">#REF!</definedName>
    <definedName name="NGPL_AMARILLO">#REF!</definedName>
    <definedName name="NGPL_GCM_L">#REF!</definedName>
    <definedName name="NGPL_IOWA_ILL">#REF!</definedName>
    <definedName name="NGPL_LA">#REF!</definedName>
    <definedName name="NGPL_MIDCON">#REF!</definedName>
    <definedName name="NGPL_OK_NW">#REF!</definedName>
    <definedName name="NGPL_PERMIAN">#REF!</definedName>
    <definedName name="NGPL_TEX_OK">#REF!</definedName>
    <definedName name="NGPL_TEX_OK_E">#REF!</definedName>
    <definedName name="NGPL_TEX_OK_MKT">#REF!</definedName>
    <definedName name="NGPL_TEX_OK_W">#REF!</definedName>
    <definedName name="NGPL_TX">#REF!</definedName>
    <definedName name="NNG_BUSHTON">#REF!</definedName>
    <definedName name="NNG_CG">#REF!</definedName>
    <definedName name="NNG_DEMARC">#REF!</definedName>
    <definedName name="NNG_MID1_6">#REF!</definedName>
    <definedName name="NNG_MID10">#REF!</definedName>
    <definedName name="NNG_MID11">#REF!</definedName>
    <definedName name="NNG_MID13">#REF!</definedName>
    <definedName name="NNG_MID15">#REF!</definedName>
    <definedName name="NNG_TOK">#REF!</definedName>
    <definedName name="NNG_VENT">#REF!</definedName>
    <definedName name="NORAM_EAST">#REF!</definedName>
    <definedName name="NORAM_WEST">#REF!</definedName>
    <definedName name="nr_gas_avg_basis">'Gas Average Basis'!$C$9:$AI$49</definedName>
    <definedName name="_NX1">#REF!</definedName>
    <definedName name="_NXB2">#REF!</definedName>
    <definedName name="_NXB3">#REF!</definedName>
    <definedName name="NYMEXPrices">BasisCurves!$B$11:$C$32</definedName>
    <definedName name="ONG_OKLA">#REF!</definedName>
    <definedName name="PAN_TX_OK">#REF!</definedName>
    <definedName name="password">BasisCurves!$B$2</definedName>
    <definedName name="PEPL_MKT">#REF!</definedName>
    <definedName name="_xlnm.Print_Area" localSheetId="1">CurveFetch!$I$1:$I$14</definedName>
    <definedName name="_xlnm.Print_Area" localSheetId="0">'Gas Average Basis'!$C$3:$AI$63</definedName>
    <definedName name="_xlnm.Print_Titles" localSheetId="1">CurveFetch!$D:$D</definedName>
    <definedName name="PriorPostId">#REF!</definedName>
    <definedName name="PromptMonth">#REF!</definedName>
    <definedName name="PrReportDate">[4]Top!$C$3</definedName>
    <definedName name="PubCdLiquidations">#REF!</definedName>
    <definedName name="PutGet">#REF!</definedName>
    <definedName name="PW">#REF!</definedName>
    <definedName name="RangeName">#REF!</definedName>
    <definedName name="RemotePath">#REF!</definedName>
    <definedName name="RiskType" localSheetId="1">CurveFetch!$B$6</definedName>
    <definedName name="RiskType">#REF!</definedName>
    <definedName name="SkipLines">#REF!</definedName>
    <definedName name="SkipLines2">#REF!</definedName>
    <definedName name="ST.CLAIR_CENT">#REF!</definedName>
    <definedName name="Start_Data">#REF!</definedName>
    <definedName name="StartMonth">#REF!</definedName>
    <definedName name="StartRange">#REF!</definedName>
    <definedName name="SumMonths">#REF!</definedName>
    <definedName name="SumNumber">#REF!</definedName>
    <definedName name="TodaysDate">#REF!</definedName>
    <definedName name="TRANS_OK">#REF!</definedName>
    <definedName name="TRUNKL_ELA">#REF!</definedName>
    <definedName name="TRUNKL_FIELD">#REF!</definedName>
    <definedName name="TRUNKL_LA">#REF!</definedName>
    <definedName name="TRUNKL_NTX">#REF!</definedName>
    <definedName name="TRUNKL_STX">#REF!</definedName>
    <definedName name="TRUNKL_TX">#REF!</definedName>
    <definedName name="TRUNKL_WLA">#REF!</definedName>
    <definedName name="TRUNKL_ZA">#REF!</definedName>
    <definedName name="UID">#REF!</definedName>
    <definedName name="UpperLeftofCurveTable">BasisCurves!$B$11</definedName>
    <definedName name="username">BasisCurves!$B$1</definedName>
    <definedName name="WACOG_CENTRAL">#REF!</definedName>
    <definedName name="WILLIAMS">#REF!</definedName>
  </definedNames>
  <calcPr calcId="152511" fullCalcOnLoad="1"/>
  <webPublishObjects count="1">
    <webPublishObject id="32228" divId="erv10sec1" sourceObject="erv10sec1" destinationFile="c:\erp1.htm"/>
  </webPublishObjects>
</workbook>
</file>

<file path=xl/calcChain.xml><?xml version="1.0" encoding="utf-8"?>
<calcChain xmlns="http://schemas.openxmlformats.org/spreadsheetml/2006/main">
  <c r="B5" i="6" l="1"/>
  <c r="C11" i="6" s="1"/>
  <c r="I11" i="6"/>
  <c r="J11" i="6"/>
  <c r="Q11" i="6"/>
  <c r="D12" i="6"/>
  <c r="E12" i="6" s="1"/>
  <c r="F12" i="6" s="1"/>
  <c r="G12" i="6" s="1"/>
  <c r="H12" i="6" s="1"/>
  <c r="I12" i="6" s="1"/>
  <c r="J12" i="6" s="1"/>
  <c r="K12" i="6"/>
  <c r="L12" i="6" s="1"/>
  <c r="M12" i="6" s="1"/>
  <c r="N12" i="6" s="1"/>
  <c r="O12" i="6" s="1"/>
  <c r="P12" i="6" s="1"/>
  <c r="Q12" i="6" s="1"/>
  <c r="B17" i="6"/>
  <c r="B18" i="6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B50" i="6" s="1"/>
  <c r="B51" i="6" s="1"/>
  <c r="B52" i="6" s="1"/>
  <c r="B53" i="6" s="1"/>
  <c r="B54" i="6" s="1"/>
  <c r="B55" i="6" s="1"/>
  <c r="B56" i="6" s="1"/>
  <c r="B57" i="6" s="1"/>
  <c r="B58" i="6" s="1"/>
  <c r="B59" i="6" s="1"/>
  <c r="B60" i="6" s="1"/>
  <c r="B61" i="6" s="1"/>
  <c r="B62" i="6" s="1"/>
  <c r="B63" i="6" s="1"/>
  <c r="B64" i="6" s="1"/>
  <c r="B65" i="6" s="1"/>
  <c r="B66" i="6" s="1"/>
  <c r="B67" i="6" s="1"/>
  <c r="B68" i="6" s="1"/>
  <c r="B69" i="6" s="1"/>
  <c r="B70" i="6" s="1"/>
  <c r="B71" i="6" s="1"/>
  <c r="B72" i="6" s="1"/>
  <c r="B73" i="6" s="1"/>
  <c r="B74" i="6" s="1"/>
  <c r="B75" i="6" s="1"/>
  <c r="B76" i="6" s="1"/>
  <c r="B77" i="6" s="1"/>
  <c r="B78" i="6" s="1"/>
  <c r="B79" i="6" s="1"/>
  <c r="B80" i="6" s="1"/>
  <c r="B81" i="6" s="1"/>
  <c r="B82" i="6" s="1"/>
  <c r="B83" i="6" s="1"/>
  <c r="B84" i="6" s="1"/>
  <c r="B85" i="6" s="1"/>
  <c r="B86" i="6" s="1"/>
  <c r="B87" i="6" s="1"/>
  <c r="B88" i="6" s="1"/>
  <c r="B89" i="6" s="1"/>
  <c r="B90" i="6" s="1"/>
  <c r="B91" i="6" s="1"/>
  <c r="B92" i="6" s="1"/>
  <c r="B93" i="6" s="1"/>
  <c r="B94" i="6" s="1"/>
  <c r="B95" i="6" s="1"/>
  <c r="B96" i="6" s="1"/>
  <c r="B97" i="6" s="1"/>
  <c r="B98" i="6" s="1"/>
  <c r="B99" i="6" s="1"/>
  <c r="B100" i="6" s="1"/>
  <c r="B101" i="6" s="1"/>
  <c r="B102" i="6" s="1"/>
  <c r="B103" i="6" s="1"/>
  <c r="B104" i="6" s="1"/>
  <c r="B105" i="6" s="1"/>
  <c r="B106" i="6" s="1"/>
  <c r="B107" i="6" s="1"/>
  <c r="F1" i="5"/>
  <c r="G1" i="5" s="1"/>
  <c r="F2" i="5"/>
  <c r="G2" i="5" s="1"/>
  <c r="H2" i="5" s="1"/>
  <c r="I2" i="5"/>
  <c r="J2" i="5" s="1"/>
  <c r="K2" i="5" s="1"/>
  <c r="L2" i="5" s="1"/>
  <c r="M2" i="5" s="1"/>
  <c r="N2" i="5" s="1"/>
  <c r="O2" i="5" s="1"/>
  <c r="P2" i="5" s="1"/>
  <c r="Q2" i="5" s="1"/>
  <c r="R2" i="5" s="1"/>
  <c r="S2" i="5" s="1"/>
  <c r="T2" i="5" s="1"/>
  <c r="U2" i="5" s="1"/>
  <c r="V2" i="5" s="1"/>
  <c r="W2" i="5" s="1"/>
  <c r="X2" i="5" s="1"/>
  <c r="Y2" i="5" s="1"/>
  <c r="Z2" i="5" s="1"/>
  <c r="AA2" i="5" s="1"/>
  <c r="AB2" i="5" s="1"/>
  <c r="AC2" i="5" s="1"/>
  <c r="AD2" i="5" s="1"/>
  <c r="AE2" i="5" s="1"/>
  <c r="F3" i="5"/>
  <c r="G3" i="5" s="1"/>
  <c r="H3" i="5" s="1"/>
  <c r="I3" i="5"/>
  <c r="J3" i="5" s="1"/>
  <c r="K3" i="5" s="1"/>
  <c r="L3" i="5" s="1"/>
  <c r="M3" i="5" s="1"/>
  <c r="N3" i="5" s="1"/>
  <c r="O3" i="5" s="1"/>
  <c r="P3" i="5" s="1"/>
  <c r="Q3" i="5" s="1"/>
  <c r="R3" i="5" s="1"/>
  <c r="S3" i="5" s="1"/>
  <c r="T3" i="5" s="1"/>
  <c r="U3" i="5" s="1"/>
  <c r="V3" i="5" s="1"/>
  <c r="W3" i="5" s="1"/>
  <c r="X3" i="5" s="1"/>
  <c r="Y3" i="5" s="1"/>
  <c r="Z3" i="5" s="1"/>
  <c r="AA3" i="5" s="1"/>
  <c r="AB3" i="5" s="1"/>
  <c r="AC3" i="5" s="1"/>
  <c r="AD3" i="5" s="1"/>
  <c r="AE3" i="5" s="1"/>
  <c r="C10" i="4"/>
  <c r="R12" i="4"/>
  <c r="K15" i="4"/>
  <c r="L35" i="4" s="1"/>
  <c r="R22" i="4"/>
  <c r="T22" i="4"/>
  <c r="V22" i="4"/>
  <c r="X22" i="4"/>
  <c r="Z22" i="4"/>
  <c r="AB22" i="4"/>
  <c r="AD22" i="4"/>
  <c r="AF22" i="4"/>
  <c r="AH22" i="4"/>
  <c r="P25" i="4"/>
  <c r="P22" i="4" s="1"/>
  <c r="P26" i="4"/>
  <c r="R26" i="4"/>
  <c r="O30" i="4"/>
  <c r="L31" i="4"/>
  <c r="K35" i="4"/>
  <c r="AL37" i="4"/>
  <c r="AJ38" i="4"/>
  <c r="AL38" i="4"/>
  <c r="O40" i="4"/>
  <c r="L41" i="4"/>
  <c r="AL44" i="4"/>
  <c r="AJ45" i="4"/>
  <c r="AL45" i="4"/>
  <c r="AJ46" i="4"/>
  <c r="AL46" i="4"/>
  <c r="AJ47" i="4"/>
  <c r="AL47" i="4"/>
  <c r="AL48" i="4"/>
  <c r="J49" i="4"/>
  <c r="K49" i="4"/>
  <c r="R58" i="4"/>
  <c r="A2" i="514"/>
  <c r="A6" i="514"/>
  <c r="H8" i="514"/>
  <c r="I8" i="514"/>
  <c r="K8" i="514"/>
  <c r="L8" i="514"/>
  <c r="M8" i="514"/>
  <c r="N8" i="514"/>
  <c r="P8" i="514"/>
  <c r="Q8" i="514"/>
  <c r="R8" i="514"/>
  <c r="T8" i="514"/>
  <c r="U8" i="514"/>
  <c r="V8" i="514"/>
  <c r="C9" i="514"/>
  <c r="D9" i="514"/>
  <c r="E9" i="514"/>
  <c r="H9" i="514"/>
  <c r="G9" i="514" s="1"/>
  <c r="I9" i="514"/>
  <c r="K9" i="514"/>
  <c r="J9" i="514" s="1"/>
  <c r="L9" i="514"/>
  <c r="M9" i="514"/>
  <c r="Q9" i="514"/>
  <c r="T9" i="514"/>
  <c r="AG9" i="514"/>
  <c r="AH9" i="514"/>
  <c r="AI9" i="514"/>
  <c r="AJ9" i="514"/>
  <c r="AK9" i="514"/>
  <c r="AL9" i="514"/>
  <c r="N9" i="514" s="1"/>
  <c r="AM9" i="514"/>
  <c r="P9" i="514" s="1"/>
  <c r="O9" i="514" s="1"/>
  <c r="AN9" i="514"/>
  <c r="AO9" i="514"/>
  <c r="R9" i="514" s="1"/>
  <c r="AP9" i="514"/>
  <c r="AQ9" i="514"/>
  <c r="U9" i="514" s="1"/>
  <c r="S9" i="514" s="1"/>
  <c r="S28" i="514" s="1"/>
  <c r="AR9" i="514"/>
  <c r="V9" i="514" s="1"/>
  <c r="AS9" i="514"/>
  <c r="AT9" i="514"/>
  <c r="AU9" i="514"/>
  <c r="AV9" i="514"/>
  <c r="AW9" i="514"/>
  <c r="AX9" i="514"/>
  <c r="AY9" i="514"/>
  <c r="AZ9" i="514"/>
  <c r="BA9" i="514"/>
  <c r="BB9" i="514"/>
  <c r="BC9" i="514"/>
  <c r="BD9" i="514"/>
  <c r="BE9" i="514"/>
  <c r="BF9" i="514"/>
  <c r="BG9" i="514"/>
  <c r="BH9" i="514"/>
  <c r="BI9" i="514"/>
  <c r="BJ9" i="514"/>
  <c r="BK9" i="514"/>
  <c r="BL9" i="514"/>
  <c r="BM9" i="514"/>
  <c r="BN9" i="514"/>
  <c r="BO9" i="514"/>
  <c r="BP9" i="514"/>
  <c r="BQ9" i="514"/>
  <c r="BR9" i="514"/>
  <c r="BS9" i="514"/>
  <c r="BT9" i="514"/>
  <c r="BU9" i="514"/>
  <c r="BV9" i="514"/>
  <c r="BW9" i="514"/>
  <c r="BX9" i="514"/>
  <c r="BY9" i="514"/>
  <c r="BZ9" i="514"/>
  <c r="CA9" i="514"/>
  <c r="CB9" i="514"/>
  <c r="CC9" i="514"/>
  <c r="CD9" i="514"/>
  <c r="CE9" i="514"/>
  <c r="CF9" i="514"/>
  <c r="CG9" i="514"/>
  <c r="CH9" i="514"/>
  <c r="CI9" i="514"/>
  <c r="CJ9" i="514"/>
  <c r="CK9" i="514"/>
  <c r="CL9" i="514"/>
  <c r="CM9" i="514"/>
  <c r="CN9" i="514"/>
  <c r="CO9" i="514"/>
  <c r="CP9" i="514"/>
  <c r="CQ9" i="514"/>
  <c r="CR9" i="514"/>
  <c r="CS9" i="514"/>
  <c r="CT9" i="514"/>
  <c r="CU9" i="514"/>
  <c r="CV9" i="514"/>
  <c r="CW9" i="514"/>
  <c r="CX9" i="514"/>
  <c r="CY9" i="514"/>
  <c r="CZ9" i="514"/>
  <c r="DA9" i="514"/>
  <c r="DB9" i="514"/>
  <c r="DC9" i="514"/>
  <c r="DD9" i="514"/>
  <c r="DE9" i="514"/>
  <c r="DF9" i="514"/>
  <c r="DG9" i="514"/>
  <c r="DH9" i="514"/>
  <c r="DI9" i="514"/>
  <c r="DJ9" i="514"/>
  <c r="DK9" i="514"/>
  <c r="DL9" i="514"/>
  <c r="DM9" i="514"/>
  <c r="DN9" i="514"/>
  <c r="DO9" i="514"/>
  <c r="DP9" i="514"/>
  <c r="DQ9" i="514"/>
  <c r="DR9" i="514"/>
  <c r="DS9" i="514"/>
  <c r="DT9" i="514"/>
  <c r="DU9" i="514"/>
  <c r="DV9" i="514"/>
  <c r="DW9" i="514"/>
  <c r="DX9" i="514"/>
  <c r="DY9" i="514"/>
  <c r="DZ9" i="514"/>
  <c r="EA9" i="514"/>
  <c r="EB9" i="514"/>
  <c r="EC9" i="514"/>
  <c r="ED9" i="514"/>
  <c r="EE9" i="514"/>
  <c r="EF9" i="514"/>
  <c r="EG9" i="514"/>
  <c r="EH9" i="514"/>
  <c r="EI9" i="514"/>
  <c r="EJ9" i="514"/>
  <c r="C10" i="514"/>
  <c r="D10" i="514"/>
  <c r="E10" i="514"/>
  <c r="I10" i="514"/>
  <c r="Q10" i="514"/>
  <c r="R10" i="514"/>
  <c r="T10" i="514"/>
  <c r="U10" i="514"/>
  <c r="AG10" i="514"/>
  <c r="H10" i="514" s="1"/>
  <c r="AH10" i="514"/>
  <c r="AI10" i="514"/>
  <c r="K10" i="514" s="1"/>
  <c r="AJ10" i="514"/>
  <c r="L10" i="514" s="1"/>
  <c r="AK10" i="514"/>
  <c r="M10" i="514" s="1"/>
  <c r="AL10" i="514"/>
  <c r="N10" i="514" s="1"/>
  <c r="AM10" i="514"/>
  <c r="P10" i="514" s="1"/>
  <c r="AN10" i="514"/>
  <c r="AO10" i="514"/>
  <c r="AP10" i="514"/>
  <c r="AQ10" i="514"/>
  <c r="AR10" i="514"/>
  <c r="V10" i="514" s="1"/>
  <c r="AS10" i="514"/>
  <c r="AT10" i="514"/>
  <c r="AU10" i="514"/>
  <c r="AV10" i="514"/>
  <c r="AW10" i="514"/>
  <c r="AX10" i="514"/>
  <c r="AY10" i="514"/>
  <c r="AZ10" i="514"/>
  <c r="BA10" i="514"/>
  <c r="BB10" i="514"/>
  <c r="BC10" i="514"/>
  <c r="BD10" i="514"/>
  <c r="BE10" i="514"/>
  <c r="BF10" i="514"/>
  <c r="BG10" i="514"/>
  <c r="BH10" i="514"/>
  <c r="BI10" i="514"/>
  <c r="BJ10" i="514"/>
  <c r="BK10" i="514"/>
  <c r="BL10" i="514"/>
  <c r="BM10" i="514"/>
  <c r="BN10" i="514"/>
  <c r="BO10" i="514"/>
  <c r="BP10" i="514"/>
  <c r="BQ10" i="514"/>
  <c r="BR10" i="514"/>
  <c r="BS10" i="514"/>
  <c r="BT10" i="514"/>
  <c r="BU10" i="514"/>
  <c r="BV10" i="514"/>
  <c r="BW10" i="514"/>
  <c r="BX10" i="514"/>
  <c r="BY10" i="514"/>
  <c r="BZ10" i="514"/>
  <c r="CA10" i="514"/>
  <c r="CB10" i="514"/>
  <c r="CC10" i="514"/>
  <c r="CD10" i="514"/>
  <c r="CE10" i="514"/>
  <c r="CF10" i="514"/>
  <c r="CG10" i="514"/>
  <c r="CH10" i="514"/>
  <c r="CI10" i="514"/>
  <c r="CJ10" i="514"/>
  <c r="CK10" i="514"/>
  <c r="CL10" i="514"/>
  <c r="CM10" i="514"/>
  <c r="CN10" i="514"/>
  <c r="CO10" i="514"/>
  <c r="CP10" i="514"/>
  <c r="CQ10" i="514"/>
  <c r="CR10" i="514"/>
  <c r="CS10" i="514"/>
  <c r="CT10" i="514"/>
  <c r="CU10" i="514"/>
  <c r="CV10" i="514"/>
  <c r="CW10" i="514"/>
  <c r="CX10" i="514"/>
  <c r="CY10" i="514"/>
  <c r="CZ10" i="514"/>
  <c r="DA10" i="514"/>
  <c r="DB10" i="514"/>
  <c r="DC10" i="514"/>
  <c r="DD10" i="514"/>
  <c r="DE10" i="514"/>
  <c r="DF10" i="514"/>
  <c r="DG10" i="514"/>
  <c r="DH10" i="514"/>
  <c r="DI10" i="514"/>
  <c r="DJ10" i="514"/>
  <c r="DK10" i="514"/>
  <c r="DL10" i="514"/>
  <c r="DM10" i="514"/>
  <c r="DN10" i="514"/>
  <c r="DO10" i="514"/>
  <c r="DP10" i="514"/>
  <c r="DQ10" i="514"/>
  <c r="DR10" i="514"/>
  <c r="DS10" i="514"/>
  <c r="DT10" i="514"/>
  <c r="DU10" i="514"/>
  <c r="DV10" i="514"/>
  <c r="DW10" i="514"/>
  <c r="DX10" i="514"/>
  <c r="DY10" i="514"/>
  <c r="DZ10" i="514"/>
  <c r="EA10" i="514"/>
  <c r="EB10" i="514"/>
  <c r="EC10" i="514"/>
  <c r="ED10" i="514"/>
  <c r="EE10" i="514"/>
  <c r="EF10" i="514"/>
  <c r="EG10" i="514"/>
  <c r="EH10" i="514"/>
  <c r="EI10" i="514"/>
  <c r="EJ10" i="514"/>
  <c r="C11" i="514"/>
  <c r="D11" i="514"/>
  <c r="E11" i="514"/>
  <c r="F11" i="514"/>
  <c r="I11" i="514"/>
  <c r="I30" i="514" s="1"/>
  <c r="K11" i="514"/>
  <c r="J11" i="514" s="1"/>
  <c r="L11" i="514"/>
  <c r="N11" i="514"/>
  <c r="R11" i="514"/>
  <c r="T11" i="514"/>
  <c r="S11" i="514" s="1"/>
  <c r="V11" i="514"/>
  <c r="AG11" i="514"/>
  <c r="H11" i="514" s="1"/>
  <c r="G11" i="514" s="1"/>
  <c r="AH11" i="514"/>
  <c r="AI11" i="514"/>
  <c r="AJ11" i="514"/>
  <c r="AK11" i="514"/>
  <c r="M11" i="514" s="1"/>
  <c r="AL11" i="514"/>
  <c r="AM11" i="514"/>
  <c r="P11" i="514" s="1"/>
  <c r="O11" i="514" s="1"/>
  <c r="O30" i="514" s="1"/>
  <c r="AN11" i="514"/>
  <c r="Q11" i="514" s="1"/>
  <c r="Q30" i="514" s="1"/>
  <c r="AO11" i="514"/>
  <c r="AP11" i="514"/>
  <c r="AQ11" i="514"/>
  <c r="U11" i="514" s="1"/>
  <c r="AR11" i="514"/>
  <c r="AS11" i="514"/>
  <c r="AT11" i="514"/>
  <c r="AU11" i="514"/>
  <c r="AV11" i="514"/>
  <c r="AW11" i="514"/>
  <c r="AX11" i="514"/>
  <c r="AY11" i="514"/>
  <c r="AZ11" i="514"/>
  <c r="BA11" i="514"/>
  <c r="BB11" i="514"/>
  <c r="BC11" i="514"/>
  <c r="BD11" i="514"/>
  <c r="BE11" i="514"/>
  <c r="BF11" i="514"/>
  <c r="BG11" i="514"/>
  <c r="BH11" i="514"/>
  <c r="BI11" i="514"/>
  <c r="BJ11" i="514"/>
  <c r="BK11" i="514"/>
  <c r="BL11" i="514"/>
  <c r="BM11" i="514"/>
  <c r="BN11" i="514"/>
  <c r="BO11" i="514"/>
  <c r="BP11" i="514"/>
  <c r="BQ11" i="514"/>
  <c r="BR11" i="514"/>
  <c r="BS11" i="514"/>
  <c r="BT11" i="514"/>
  <c r="BU11" i="514"/>
  <c r="BV11" i="514"/>
  <c r="BW11" i="514"/>
  <c r="BX11" i="514"/>
  <c r="BY11" i="514"/>
  <c r="BZ11" i="514"/>
  <c r="CA11" i="514"/>
  <c r="CB11" i="514"/>
  <c r="CC11" i="514"/>
  <c r="CD11" i="514"/>
  <c r="CE11" i="514"/>
  <c r="CF11" i="514"/>
  <c r="CG11" i="514"/>
  <c r="CH11" i="514"/>
  <c r="CI11" i="514"/>
  <c r="CJ11" i="514"/>
  <c r="CK11" i="514"/>
  <c r="CL11" i="514"/>
  <c r="CM11" i="514"/>
  <c r="CN11" i="514"/>
  <c r="CO11" i="514"/>
  <c r="CP11" i="514"/>
  <c r="CQ11" i="514"/>
  <c r="CR11" i="514"/>
  <c r="CS11" i="514"/>
  <c r="CT11" i="514"/>
  <c r="CU11" i="514"/>
  <c r="CV11" i="514"/>
  <c r="CW11" i="514"/>
  <c r="CX11" i="514"/>
  <c r="CY11" i="514"/>
  <c r="CZ11" i="514"/>
  <c r="DA11" i="514"/>
  <c r="DB11" i="514"/>
  <c r="DC11" i="514"/>
  <c r="DD11" i="514"/>
  <c r="DE11" i="514"/>
  <c r="DF11" i="514"/>
  <c r="DG11" i="514"/>
  <c r="DH11" i="514"/>
  <c r="DI11" i="514"/>
  <c r="DJ11" i="514"/>
  <c r="DK11" i="514"/>
  <c r="DL11" i="514"/>
  <c r="DM11" i="514"/>
  <c r="DN11" i="514"/>
  <c r="DO11" i="514"/>
  <c r="DP11" i="514"/>
  <c r="DQ11" i="514"/>
  <c r="DR11" i="514"/>
  <c r="DS11" i="514"/>
  <c r="DT11" i="514"/>
  <c r="DU11" i="514"/>
  <c r="DV11" i="514"/>
  <c r="DW11" i="514"/>
  <c r="DX11" i="514"/>
  <c r="DY11" i="514"/>
  <c r="DZ11" i="514"/>
  <c r="EA11" i="514"/>
  <c r="EB11" i="514"/>
  <c r="EC11" i="514"/>
  <c r="ED11" i="514"/>
  <c r="EE11" i="514"/>
  <c r="EF11" i="514"/>
  <c r="EG11" i="514"/>
  <c r="EH11" i="514"/>
  <c r="EI11" i="514"/>
  <c r="EJ11" i="514"/>
  <c r="C12" i="514"/>
  <c r="D12" i="514"/>
  <c r="E12" i="514"/>
  <c r="H12" i="514"/>
  <c r="I12" i="514"/>
  <c r="G12" i="514" s="1"/>
  <c r="K12" i="514"/>
  <c r="M12" i="514"/>
  <c r="P12" i="514"/>
  <c r="S12" i="514"/>
  <c r="U12" i="514"/>
  <c r="AA12" i="514"/>
  <c r="AA31" i="514" s="1"/>
  <c r="AG12" i="514"/>
  <c r="AH12" i="514"/>
  <c r="AI12" i="514"/>
  <c r="AJ12" i="514"/>
  <c r="L12" i="514" s="1"/>
  <c r="AK12" i="514"/>
  <c r="AL12" i="514"/>
  <c r="N12" i="514" s="1"/>
  <c r="AM12" i="514"/>
  <c r="AN12" i="514"/>
  <c r="Q12" i="514" s="1"/>
  <c r="O12" i="514" s="1"/>
  <c r="O31" i="514" s="1"/>
  <c r="AO12" i="514"/>
  <c r="R12" i="514" s="1"/>
  <c r="R31" i="514" s="1"/>
  <c r="AP12" i="514"/>
  <c r="T12" i="514" s="1"/>
  <c r="AQ12" i="514"/>
  <c r="AR12" i="514"/>
  <c r="V12" i="514" s="1"/>
  <c r="AS12" i="514"/>
  <c r="AT12" i="514"/>
  <c r="AU12" i="514"/>
  <c r="AV12" i="514"/>
  <c r="AW12" i="514"/>
  <c r="AX12" i="514"/>
  <c r="AY12" i="514"/>
  <c r="AZ12" i="514"/>
  <c r="BA12" i="514"/>
  <c r="BB12" i="514"/>
  <c r="BC12" i="514"/>
  <c r="BD12" i="514"/>
  <c r="BE12" i="514"/>
  <c r="BF12" i="514"/>
  <c r="BG12" i="514"/>
  <c r="BH12" i="514"/>
  <c r="BI12" i="514"/>
  <c r="BJ12" i="514"/>
  <c r="BK12" i="514"/>
  <c r="BL12" i="514"/>
  <c r="BM12" i="514"/>
  <c r="BN12" i="514"/>
  <c r="BO12" i="514"/>
  <c r="BP12" i="514"/>
  <c r="BQ12" i="514"/>
  <c r="BR12" i="514"/>
  <c r="BS12" i="514"/>
  <c r="BT12" i="514"/>
  <c r="BU12" i="514"/>
  <c r="BV12" i="514"/>
  <c r="BW12" i="514"/>
  <c r="BX12" i="514"/>
  <c r="BY12" i="514"/>
  <c r="BZ12" i="514"/>
  <c r="CA12" i="514"/>
  <c r="CB12" i="514"/>
  <c r="CC12" i="514"/>
  <c r="CD12" i="514"/>
  <c r="CE12" i="514"/>
  <c r="CF12" i="514"/>
  <c r="CG12" i="514"/>
  <c r="CH12" i="514"/>
  <c r="CI12" i="514"/>
  <c r="CJ12" i="514"/>
  <c r="CK12" i="514"/>
  <c r="CL12" i="514"/>
  <c r="CM12" i="514"/>
  <c r="CN12" i="514"/>
  <c r="CO12" i="514"/>
  <c r="CP12" i="514"/>
  <c r="CQ12" i="514"/>
  <c r="CR12" i="514"/>
  <c r="CS12" i="514"/>
  <c r="CT12" i="514"/>
  <c r="CU12" i="514"/>
  <c r="CV12" i="514"/>
  <c r="CW12" i="514"/>
  <c r="CX12" i="514"/>
  <c r="CY12" i="514"/>
  <c r="CZ12" i="514"/>
  <c r="DA12" i="514"/>
  <c r="DB12" i="514"/>
  <c r="DC12" i="514"/>
  <c r="DD12" i="514"/>
  <c r="DE12" i="514"/>
  <c r="DF12" i="514"/>
  <c r="DG12" i="514"/>
  <c r="DH12" i="514"/>
  <c r="DI12" i="514"/>
  <c r="DJ12" i="514"/>
  <c r="DK12" i="514"/>
  <c r="DL12" i="514"/>
  <c r="DM12" i="514"/>
  <c r="DN12" i="514"/>
  <c r="DO12" i="514"/>
  <c r="DP12" i="514"/>
  <c r="DQ12" i="514"/>
  <c r="DR12" i="514"/>
  <c r="DS12" i="514"/>
  <c r="DT12" i="514"/>
  <c r="DU12" i="514"/>
  <c r="DV12" i="514"/>
  <c r="DW12" i="514"/>
  <c r="DX12" i="514"/>
  <c r="DY12" i="514"/>
  <c r="DZ12" i="514"/>
  <c r="EA12" i="514"/>
  <c r="EB12" i="514"/>
  <c r="EC12" i="514"/>
  <c r="ED12" i="514"/>
  <c r="EE12" i="514"/>
  <c r="EF12" i="514"/>
  <c r="EG12" i="514"/>
  <c r="EH12" i="514"/>
  <c r="EI12" i="514"/>
  <c r="EJ12" i="514"/>
  <c r="C13" i="514"/>
  <c r="D13" i="514"/>
  <c r="E13" i="514"/>
  <c r="I13" i="514"/>
  <c r="L13" i="514"/>
  <c r="N13" i="514"/>
  <c r="Q13" i="514"/>
  <c r="T13" i="514"/>
  <c r="AG13" i="514"/>
  <c r="H13" i="514" s="1"/>
  <c r="G13" i="514" s="1"/>
  <c r="AH13" i="514"/>
  <c r="AI13" i="514"/>
  <c r="K13" i="514" s="1"/>
  <c r="K71" i="514" s="1"/>
  <c r="AJ13" i="514"/>
  <c r="AK13" i="514"/>
  <c r="M13" i="514" s="1"/>
  <c r="AL13" i="514"/>
  <c r="AM13" i="514"/>
  <c r="P13" i="514" s="1"/>
  <c r="O13" i="514" s="1"/>
  <c r="AN13" i="514"/>
  <c r="AO13" i="514"/>
  <c r="R13" i="514" s="1"/>
  <c r="R71" i="514" s="1"/>
  <c r="AP13" i="514"/>
  <c r="AQ13" i="514"/>
  <c r="U13" i="514" s="1"/>
  <c r="AR13" i="514"/>
  <c r="V13" i="514" s="1"/>
  <c r="AS13" i="514"/>
  <c r="AT13" i="514"/>
  <c r="AU13" i="514"/>
  <c r="AV13" i="514"/>
  <c r="AW13" i="514"/>
  <c r="AX13" i="514"/>
  <c r="AY13" i="514"/>
  <c r="AZ13" i="514"/>
  <c r="BA13" i="514"/>
  <c r="BB13" i="514"/>
  <c r="BC13" i="514"/>
  <c r="BD13" i="514"/>
  <c r="BE13" i="514"/>
  <c r="BF13" i="514"/>
  <c r="BG13" i="514"/>
  <c r="BH13" i="514"/>
  <c r="BI13" i="514"/>
  <c r="BJ13" i="514"/>
  <c r="BK13" i="514"/>
  <c r="BL13" i="514"/>
  <c r="BM13" i="514"/>
  <c r="BN13" i="514"/>
  <c r="BO13" i="514"/>
  <c r="BP13" i="514"/>
  <c r="BQ13" i="514"/>
  <c r="BR13" i="514"/>
  <c r="BS13" i="514"/>
  <c r="BT13" i="514"/>
  <c r="BU13" i="514"/>
  <c r="BV13" i="514"/>
  <c r="BW13" i="514"/>
  <c r="BX13" i="514"/>
  <c r="BY13" i="514"/>
  <c r="BZ13" i="514"/>
  <c r="CA13" i="514"/>
  <c r="CB13" i="514"/>
  <c r="CC13" i="514"/>
  <c r="CD13" i="514"/>
  <c r="CE13" i="514"/>
  <c r="CF13" i="514"/>
  <c r="CG13" i="514"/>
  <c r="CH13" i="514"/>
  <c r="CI13" i="514"/>
  <c r="CJ13" i="514"/>
  <c r="CK13" i="514"/>
  <c r="CL13" i="514"/>
  <c r="CM13" i="514"/>
  <c r="CN13" i="514"/>
  <c r="CO13" i="514"/>
  <c r="CP13" i="514"/>
  <c r="CQ13" i="514"/>
  <c r="CR13" i="514"/>
  <c r="CS13" i="514"/>
  <c r="CT13" i="514"/>
  <c r="CU13" i="514"/>
  <c r="CV13" i="514"/>
  <c r="CW13" i="514"/>
  <c r="CX13" i="514"/>
  <c r="CY13" i="514"/>
  <c r="CZ13" i="514"/>
  <c r="DA13" i="514"/>
  <c r="DB13" i="514"/>
  <c r="DC13" i="514"/>
  <c r="DD13" i="514"/>
  <c r="DE13" i="514"/>
  <c r="DF13" i="514"/>
  <c r="DG13" i="514"/>
  <c r="DH13" i="514"/>
  <c r="DI13" i="514"/>
  <c r="DJ13" i="514"/>
  <c r="DK13" i="514"/>
  <c r="DL13" i="514"/>
  <c r="DM13" i="514"/>
  <c r="DN13" i="514"/>
  <c r="DO13" i="514"/>
  <c r="DP13" i="514"/>
  <c r="DQ13" i="514"/>
  <c r="DR13" i="514"/>
  <c r="DS13" i="514"/>
  <c r="DT13" i="514"/>
  <c r="DU13" i="514"/>
  <c r="DV13" i="514"/>
  <c r="DW13" i="514"/>
  <c r="DX13" i="514"/>
  <c r="DY13" i="514"/>
  <c r="DZ13" i="514"/>
  <c r="EA13" i="514"/>
  <c r="EB13" i="514"/>
  <c r="EC13" i="514"/>
  <c r="ED13" i="514"/>
  <c r="EE13" i="514"/>
  <c r="EF13" i="514"/>
  <c r="EG13" i="514"/>
  <c r="EH13" i="514"/>
  <c r="EI13" i="514"/>
  <c r="EJ13" i="514"/>
  <c r="C14" i="514"/>
  <c r="D14" i="514"/>
  <c r="E14" i="514"/>
  <c r="H14" i="514"/>
  <c r="J14" i="514"/>
  <c r="J33" i="514" s="1"/>
  <c r="K14" i="514"/>
  <c r="M14" i="514"/>
  <c r="M72" i="514" s="1"/>
  <c r="M92" i="514" s="1"/>
  <c r="P14" i="514"/>
  <c r="R14" i="514"/>
  <c r="U14" i="514"/>
  <c r="AG14" i="514"/>
  <c r="AH14" i="514"/>
  <c r="I14" i="514" s="1"/>
  <c r="G14" i="514" s="1"/>
  <c r="AI14" i="514"/>
  <c r="AJ14" i="514"/>
  <c r="L14" i="514" s="1"/>
  <c r="L33" i="514" s="1"/>
  <c r="AK14" i="514"/>
  <c r="AL14" i="514"/>
  <c r="N14" i="514" s="1"/>
  <c r="AM14" i="514"/>
  <c r="AN14" i="514"/>
  <c r="Q14" i="514" s="1"/>
  <c r="O14" i="514" s="1"/>
  <c r="AO14" i="514"/>
  <c r="AP14" i="514"/>
  <c r="T14" i="514" s="1"/>
  <c r="AQ14" i="514"/>
  <c r="AR14" i="514"/>
  <c r="V14" i="514" s="1"/>
  <c r="AS14" i="514"/>
  <c r="AT14" i="514"/>
  <c r="AU14" i="514"/>
  <c r="AV14" i="514"/>
  <c r="AW14" i="514"/>
  <c r="AX14" i="514"/>
  <c r="AY14" i="514"/>
  <c r="AZ14" i="514"/>
  <c r="BA14" i="514"/>
  <c r="BB14" i="514"/>
  <c r="BC14" i="514"/>
  <c r="BD14" i="514"/>
  <c r="BE14" i="514"/>
  <c r="BF14" i="514"/>
  <c r="BG14" i="514"/>
  <c r="BH14" i="514"/>
  <c r="BI14" i="514"/>
  <c r="BJ14" i="514"/>
  <c r="BK14" i="514"/>
  <c r="BL14" i="514"/>
  <c r="BM14" i="514"/>
  <c r="BN14" i="514"/>
  <c r="BO14" i="514"/>
  <c r="BP14" i="514"/>
  <c r="BQ14" i="514"/>
  <c r="BR14" i="514"/>
  <c r="BS14" i="514"/>
  <c r="BT14" i="514"/>
  <c r="BU14" i="514"/>
  <c r="BV14" i="514"/>
  <c r="BW14" i="514"/>
  <c r="BX14" i="514"/>
  <c r="BY14" i="514"/>
  <c r="BZ14" i="514"/>
  <c r="CA14" i="514"/>
  <c r="CB14" i="514"/>
  <c r="CC14" i="514"/>
  <c r="CD14" i="514"/>
  <c r="CE14" i="514"/>
  <c r="CF14" i="514"/>
  <c r="CG14" i="514"/>
  <c r="CH14" i="514"/>
  <c r="CI14" i="514"/>
  <c r="CJ14" i="514"/>
  <c r="CK14" i="514"/>
  <c r="CL14" i="514"/>
  <c r="CM14" i="514"/>
  <c r="CN14" i="514"/>
  <c r="CO14" i="514"/>
  <c r="CP14" i="514"/>
  <c r="CQ14" i="514"/>
  <c r="CR14" i="514"/>
  <c r="CS14" i="514"/>
  <c r="CT14" i="514"/>
  <c r="CU14" i="514"/>
  <c r="CV14" i="514"/>
  <c r="CW14" i="514"/>
  <c r="CX14" i="514"/>
  <c r="CY14" i="514"/>
  <c r="CZ14" i="514"/>
  <c r="DA14" i="514"/>
  <c r="DB14" i="514"/>
  <c r="DC14" i="514"/>
  <c r="DD14" i="514"/>
  <c r="DE14" i="514"/>
  <c r="DF14" i="514"/>
  <c r="DG14" i="514"/>
  <c r="DH14" i="514"/>
  <c r="DI14" i="514"/>
  <c r="DJ14" i="514"/>
  <c r="DK14" i="514"/>
  <c r="DL14" i="514"/>
  <c r="DM14" i="514"/>
  <c r="DN14" i="514"/>
  <c r="DO14" i="514"/>
  <c r="DP14" i="514"/>
  <c r="DQ14" i="514"/>
  <c r="DR14" i="514"/>
  <c r="DS14" i="514"/>
  <c r="DT14" i="514"/>
  <c r="DU14" i="514"/>
  <c r="DV14" i="514"/>
  <c r="DW14" i="514"/>
  <c r="DX14" i="514"/>
  <c r="DY14" i="514"/>
  <c r="DZ14" i="514"/>
  <c r="EA14" i="514"/>
  <c r="EB14" i="514"/>
  <c r="EC14" i="514"/>
  <c r="ED14" i="514"/>
  <c r="EE14" i="514"/>
  <c r="EF14" i="514"/>
  <c r="EF33" i="514" s="1"/>
  <c r="EG14" i="514"/>
  <c r="EH14" i="514"/>
  <c r="EI14" i="514"/>
  <c r="EJ14" i="514"/>
  <c r="C15" i="514"/>
  <c r="F15" i="514" s="1"/>
  <c r="F34" i="514" s="1"/>
  <c r="D15" i="514"/>
  <c r="D73" i="514" s="1"/>
  <c r="E15" i="514"/>
  <c r="I15" i="514"/>
  <c r="L15" i="514"/>
  <c r="L73" i="514" s="1"/>
  <c r="Q15" i="514"/>
  <c r="T15" i="514"/>
  <c r="T73" i="514" s="1"/>
  <c r="V15" i="514"/>
  <c r="AG15" i="514"/>
  <c r="H15" i="514" s="1"/>
  <c r="AH15" i="514"/>
  <c r="AI15" i="514"/>
  <c r="K15" i="514" s="1"/>
  <c r="AJ15" i="514"/>
  <c r="AK15" i="514"/>
  <c r="M15" i="514" s="1"/>
  <c r="M34" i="514" s="1"/>
  <c r="AL15" i="514"/>
  <c r="N15" i="514" s="1"/>
  <c r="AM15" i="514"/>
  <c r="P15" i="514" s="1"/>
  <c r="AN15" i="514"/>
  <c r="AO15" i="514"/>
  <c r="R15" i="514" s="1"/>
  <c r="AP15" i="514"/>
  <c r="AQ15" i="514"/>
  <c r="U15" i="514" s="1"/>
  <c r="U34" i="514" s="1"/>
  <c r="AR15" i="514"/>
  <c r="AS15" i="514"/>
  <c r="AT15" i="514"/>
  <c r="AU15" i="514"/>
  <c r="AV15" i="514"/>
  <c r="AW15" i="514"/>
  <c r="AX15" i="514"/>
  <c r="AY15" i="514"/>
  <c r="AY34" i="514" s="1"/>
  <c r="AZ15" i="514"/>
  <c r="BA15" i="514"/>
  <c r="BB15" i="514"/>
  <c r="BC15" i="514"/>
  <c r="BD15" i="514"/>
  <c r="BE15" i="514"/>
  <c r="BF15" i="514"/>
  <c r="BG15" i="514"/>
  <c r="BG34" i="514" s="1"/>
  <c r="BH15" i="514"/>
  <c r="BI15" i="514"/>
  <c r="BJ15" i="514"/>
  <c r="BK15" i="514"/>
  <c r="BL15" i="514"/>
  <c r="BM15" i="514"/>
  <c r="BN15" i="514"/>
  <c r="BO15" i="514"/>
  <c r="BO34" i="514" s="1"/>
  <c r="BP15" i="514"/>
  <c r="BQ15" i="514"/>
  <c r="BR15" i="514"/>
  <c r="BS15" i="514"/>
  <c r="BT15" i="514"/>
  <c r="BU15" i="514"/>
  <c r="BV15" i="514"/>
  <c r="BW15" i="514"/>
  <c r="BW34" i="514" s="1"/>
  <c r="BX15" i="514"/>
  <c r="BY15" i="514"/>
  <c r="BZ15" i="514"/>
  <c r="CA15" i="514"/>
  <c r="CB15" i="514"/>
  <c r="CC15" i="514"/>
  <c r="CD15" i="514"/>
  <c r="CE15" i="514"/>
  <c r="CE34" i="514" s="1"/>
  <c r="CF15" i="514"/>
  <c r="CG15" i="514"/>
  <c r="CH15" i="514"/>
  <c r="CI15" i="514"/>
  <c r="CJ15" i="514"/>
  <c r="CK15" i="514"/>
  <c r="CL15" i="514"/>
  <c r="CM15" i="514"/>
  <c r="CM34" i="514" s="1"/>
  <c r="CN15" i="514"/>
  <c r="CO15" i="514"/>
  <c r="CP15" i="514"/>
  <c r="CQ15" i="514"/>
  <c r="CR15" i="514"/>
  <c r="CS15" i="514"/>
  <c r="CT15" i="514"/>
  <c r="CU15" i="514"/>
  <c r="CU34" i="514" s="1"/>
  <c r="CV15" i="514"/>
  <c r="CW15" i="514"/>
  <c r="CX15" i="514"/>
  <c r="CY15" i="514"/>
  <c r="CZ15" i="514"/>
  <c r="DA15" i="514"/>
  <c r="DB15" i="514"/>
  <c r="DC15" i="514"/>
  <c r="DC34" i="514" s="1"/>
  <c r="DD15" i="514"/>
  <c r="DE15" i="514"/>
  <c r="DF15" i="514"/>
  <c r="DG15" i="514"/>
  <c r="DH15" i="514"/>
  <c r="DI15" i="514"/>
  <c r="DJ15" i="514"/>
  <c r="DK15" i="514"/>
  <c r="DK34" i="514" s="1"/>
  <c r="DL15" i="514"/>
  <c r="DM15" i="514"/>
  <c r="DN15" i="514"/>
  <c r="DO15" i="514"/>
  <c r="DP15" i="514"/>
  <c r="DQ15" i="514"/>
  <c r="DR15" i="514"/>
  <c r="DS15" i="514"/>
  <c r="DS34" i="514" s="1"/>
  <c r="DT15" i="514"/>
  <c r="DU15" i="514"/>
  <c r="DV15" i="514"/>
  <c r="DW15" i="514"/>
  <c r="DX15" i="514"/>
  <c r="DY15" i="514"/>
  <c r="DZ15" i="514"/>
  <c r="EA15" i="514"/>
  <c r="EA34" i="514" s="1"/>
  <c r="EB15" i="514"/>
  <c r="EC15" i="514"/>
  <c r="ED15" i="514"/>
  <c r="EE15" i="514"/>
  <c r="EF15" i="514"/>
  <c r="EG15" i="514"/>
  <c r="EH15" i="514"/>
  <c r="EI15" i="514"/>
  <c r="EI34" i="514" s="1"/>
  <c r="EJ15" i="514"/>
  <c r="C18" i="514"/>
  <c r="F18" i="514" s="1"/>
  <c r="F37" i="514" s="1"/>
  <c r="D18" i="514"/>
  <c r="E18" i="514"/>
  <c r="H18" i="514"/>
  <c r="J18" i="514"/>
  <c r="J37" i="514" s="1"/>
  <c r="K18" i="514"/>
  <c r="L18" i="514"/>
  <c r="Q18" i="514"/>
  <c r="R18" i="514"/>
  <c r="R37" i="514" s="1"/>
  <c r="T18" i="514"/>
  <c r="T37" i="514" s="1"/>
  <c r="U18" i="514"/>
  <c r="AG18" i="514"/>
  <c r="AH18" i="514"/>
  <c r="I18" i="514" s="1"/>
  <c r="AI18" i="514"/>
  <c r="AJ18" i="514"/>
  <c r="AK18" i="514"/>
  <c r="M18" i="514" s="1"/>
  <c r="M37" i="514" s="1"/>
  <c r="AL18" i="514"/>
  <c r="N18" i="514" s="1"/>
  <c r="N37" i="514" s="1"/>
  <c r="AM18" i="514"/>
  <c r="P18" i="514" s="1"/>
  <c r="O18" i="514" s="1"/>
  <c r="O37" i="514" s="1"/>
  <c r="AN18" i="514"/>
  <c r="AO18" i="514"/>
  <c r="AP18" i="514"/>
  <c r="AQ18" i="514"/>
  <c r="AR18" i="514"/>
  <c r="V18" i="514" s="1"/>
  <c r="V37" i="514" s="1"/>
  <c r="AS18" i="514"/>
  <c r="AT18" i="514"/>
  <c r="AU18" i="514"/>
  <c r="AV18" i="514"/>
  <c r="AW18" i="514"/>
  <c r="AX18" i="514"/>
  <c r="AY18" i="514"/>
  <c r="AZ18" i="514"/>
  <c r="BA18" i="514"/>
  <c r="BB18" i="514"/>
  <c r="BC18" i="514"/>
  <c r="BD18" i="514"/>
  <c r="BE18" i="514"/>
  <c r="BF18" i="514"/>
  <c r="BG18" i="514"/>
  <c r="BH18" i="514"/>
  <c r="BI18" i="514"/>
  <c r="BJ18" i="514"/>
  <c r="BK18" i="514"/>
  <c r="BL18" i="514"/>
  <c r="BM18" i="514"/>
  <c r="BN18" i="514"/>
  <c r="BO18" i="514"/>
  <c r="BP18" i="514"/>
  <c r="BQ18" i="514"/>
  <c r="BR18" i="514"/>
  <c r="BS18" i="514"/>
  <c r="BT18" i="514"/>
  <c r="BU18" i="514"/>
  <c r="BV18" i="514"/>
  <c r="BW18" i="514"/>
  <c r="BX18" i="514"/>
  <c r="BY18" i="514"/>
  <c r="BZ18" i="514"/>
  <c r="CA18" i="514"/>
  <c r="CB18" i="514"/>
  <c r="CC18" i="514"/>
  <c r="CD18" i="514"/>
  <c r="CE18" i="514"/>
  <c r="CF18" i="514"/>
  <c r="CG18" i="514"/>
  <c r="CH18" i="514"/>
  <c r="CI18" i="514"/>
  <c r="CJ18" i="514"/>
  <c r="CK18" i="514"/>
  <c r="CL18" i="514"/>
  <c r="CM18" i="514"/>
  <c r="CN18" i="514"/>
  <c r="CO18" i="514"/>
  <c r="CP18" i="514"/>
  <c r="CQ18" i="514"/>
  <c r="CR18" i="514"/>
  <c r="CS18" i="514"/>
  <c r="CT18" i="514"/>
  <c r="CU18" i="514"/>
  <c r="CV18" i="514"/>
  <c r="CW18" i="514"/>
  <c r="CX18" i="514"/>
  <c r="CY18" i="514"/>
  <c r="CZ18" i="514"/>
  <c r="DA18" i="514"/>
  <c r="DB18" i="514"/>
  <c r="DC18" i="514"/>
  <c r="DD18" i="514"/>
  <c r="DE18" i="514"/>
  <c r="DF18" i="514"/>
  <c r="DG18" i="514"/>
  <c r="DH18" i="514"/>
  <c r="DI18" i="514"/>
  <c r="DJ18" i="514"/>
  <c r="DK18" i="514"/>
  <c r="DL18" i="514"/>
  <c r="DM18" i="514"/>
  <c r="DN18" i="514"/>
  <c r="DO18" i="514"/>
  <c r="DP18" i="514"/>
  <c r="DQ18" i="514"/>
  <c r="DR18" i="514"/>
  <c r="DS18" i="514"/>
  <c r="DT18" i="514"/>
  <c r="DU18" i="514"/>
  <c r="DV18" i="514"/>
  <c r="DW18" i="514"/>
  <c r="DX18" i="514"/>
  <c r="DY18" i="514"/>
  <c r="DZ18" i="514"/>
  <c r="EA18" i="514"/>
  <c r="EB18" i="514"/>
  <c r="EC18" i="514"/>
  <c r="ED18" i="514"/>
  <c r="EE18" i="514"/>
  <c r="EF18" i="514"/>
  <c r="EG18" i="514"/>
  <c r="EH18" i="514"/>
  <c r="EI18" i="514"/>
  <c r="EJ18" i="514"/>
  <c r="C28" i="514"/>
  <c r="D28" i="514"/>
  <c r="E28" i="514"/>
  <c r="G28" i="514"/>
  <c r="H28" i="514"/>
  <c r="I28" i="514"/>
  <c r="J28" i="514"/>
  <c r="K28" i="514"/>
  <c r="L28" i="514"/>
  <c r="M28" i="514"/>
  <c r="N28" i="514"/>
  <c r="O28" i="514"/>
  <c r="P28" i="514"/>
  <c r="Q28" i="514"/>
  <c r="R28" i="514"/>
  <c r="T28" i="514"/>
  <c r="V28" i="514"/>
  <c r="AG28" i="514"/>
  <c r="AH28" i="514"/>
  <c r="AI28" i="514"/>
  <c r="AJ28" i="514"/>
  <c r="AK28" i="514"/>
  <c r="AL28" i="514"/>
  <c r="AM28" i="514"/>
  <c r="AN28" i="514"/>
  <c r="AO28" i="514"/>
  <c r="AP28" i="514"/>
  <c r="AQ28" i="514"/>
  <c r="AR28" i="514"/>
  <c r="AS28" i="514"/>
  <c r="AT28" i="514"/>
  <c r="AU28" i="514"/>
  <c r="AV28" i="514"/>
  <c r="AW28" i="514"/>
  <c r="AX28" i="514"/>
  <c r="AY28" i="514"/>
  <c r="AZ28" i="514"/>
  <c r="BA28" i="514"/>
  <c r="BB28" i="514"/>
  <c r="BC28" i="514"/>
  <c r="BD28" i="514"/>
  <c r="BE28" i="514"/>
  <c r="BF28" i="514"/>
  <c r="BG28" i="514"/>
  <c r="BH28" i="514"/>
  <c r="BI28" i="514"/>
  <c r="BJ28" i="514"/>
  <c r="BK28" i="514"/>
  <c r="BL28" i="514"/>
  <c r="BM28" i="514"/>
  <c r="BN28" i="514"/>
  <c r="BO28" i="514"/>
  <c r="BP28" i="514"/>
  <c r="BQ28" i="514"/>
  <c r="BR28" i="514"/>
  <c r="BS28" i="514"/>
  <c r="BT28" i="514"/>
  <c r="BU28" i="514"/>
  <c r="BV28" i="514"/>
  <c r="BW28" i="514"/>
  <c r="BX28" i="514"/>
  <c r="BY28" i="514"/>
  <c r="BZ28" i="514"/>
  <c r="CA28" i="514"/>
  <c r="CB28" i="514"/>
  <c r="CC28" i="514"/>
  <c r="CD28" i="514"/>
  <c r="CE28" i="514"/>
  <c r="CF28" i="514"/>
  <c r="CG28" i="514"/>
  <c r="CH28" i="514"/>
  <c r="CI28" i="514"/>
  <c r="CJ28" i="514"/>
  <c r="CK28" i="514"/>
  <c r="CL28" i="514"/>
  <c r="CM28" i="514"/>
  <c r="CN28" i="514"/>
  <c r="CO28" i="514"/>
  <c r="CP28" i="514"/>
  <c r="CQ28" i="514"/>
  <c r="CR28" i="514"/>
  <c r="CS28" i="514"/>
  <c r="CT28" i="514"/>
  <c r="CU28" i="514"/>
  <c r="CV28" i="514"/>
  <c r="CW28" i="514"/>
  <c r="CX28" i="514"/>
  <c r="CY28" i="514"/>
  <c r="CZ28" i="514"/>
  <c r="DA28" i="514"/>
  <c r="DB28" i="514"/>
  <c r="DC28" i="514"/>
  <c r="DD28" i="514"/>
  <c r="DE28" i="514"/>
  <c r="DF28" i="514"/>
  <c r="DG28" i="514"/>
  <c r="DH28" i="514"/>
  <c r="DI28" i="514"/>
  <c r="DJ28" i="514"/>
  <c r="DK28" i="514"/>
  <c r="DL28" i="514"/>
  <c r="DM28" i="514"/>
  <c r="DN28" i="514"/>
  <c r="DO28" i="514"/>
  <c r="DP28" i="514"/>
  <c r="DQ28" i="514"/>
  <c r="DR28" i="514"/>
  <c r="DS28" i="514"/>
  <c r="DT28" i="514"/>
  <c r="DU28" i="514"/>
  <c r="DV28" i="514"/>
  <c r="DW28" i="514"/>
  <c r="DX28" i="514"/>
  <c r="DY28" i="514"/>
  <c r="DZ28" i="514"/>
  <c r="EA28" i="514"/>
  <c r="EB28" i="514"/>
  <c r="EC28" i="514"/>
  <c r="ED28" i="514"/>
  <c r="EE28" i="514"/>
  <c r="EF28" i="514"/>
  <c r="EG28" i="514"/>
  <c r="EH28" i="514"/>
  <c r="EI28" i="514"/>
  <c r="EJ28" i="514"/>
  <c r="C29" i="514"/>
  <c r="D29" i="514"/>
  <c r="E29" i="514"/>
  <c r="H29" i="514"/>
  <c r="I29" i="514"/>
  <c r="K29" i="514"/>
  <c r="L29" i="514"/>
  <c r="M29" i="514"/>
  <c r="N29" i="514"/>
  <c r="P29" i="514"/>
  <c r="Q29" i="514"/>
  <c r="R29" i="514"/>
  <c r="T29" i="514"/>
  <c r="U29" i="514"/>
  <c r="V29" i="514"/>
  <c r="AG29" i="514"/>
  <c r="AH29" i="514"/>
  <c r="AI29" i="514"/>
  <c r="AJ29" i="514"/>
  <c r="AK29" i="514"/>
  <c r="AL29" i="514"/>
  <c r="AM29" i="514"/>
  <c r="AN29" i="514"/>
  <c r="AO29" i="514"/>
  <c r="AP29" i="514"/>
  <c r="AQ29" i="514"/>
  <c r="AR29" i="514"/>
  <c r="AS29" i="514"/>
  <c r="X10" i="514" s="1"/>
  <c r="X29" i="514" s="1"/>
  <c r="AT29" i="514"/>
  <c r="AU29" i="514"/>
  <c r="AV29" i="514"/>
  <c r="AW29" i="514"/>
  <c r="AX29" i="514"/>
  <c r="AY29" i="514"/>
  <c r="AZ29" i="514"/>
  <c r="BA29" i="514"/>
  <c r="BB29" i="514"/>
  <c r="BC29" i="514"/>
  <c r="BD29" i="514"/>
  <c r="BE29" i="514"/>
  <c r="BF29" i="514"/>
  <c r="BG29" i="514"/>
  <c r="BH29" i="514"/>
  <c r="BI29" i="514"/>
  <c r="BJ29" i="514"/>
  <c r="BK29" i="514"/>
  <c r="BL29" i="514"/>
  <c r="BM29" i="514"/>
  <c r="BN29" i="514"/>
  <c r="BO29" i="514"/>
  <c r="BP29" i="514"/>
  <c r="BQ29" i="514"/>
  <c r="BR29" i="514"/>
  <c r="BS29" i="514"/>
  <c r="BT29" i="514"/>
  <c r="BU29" i="514"/>
  <c r="BV29" i="514"/>
  <c r="BW29" i="514"/>
  <c r="BX29" i="514"/>
  <c r="BY29" i="514"/>
  <c r="BZ29" i="514"/>
  <c r="CA29" i="514"/>
  <c r="CB29" i="514"/>
  <c r="CC29" i="514"/>
  <c r="CD29" i="514"/>
  <c r="CE29" i="514"/>
  <c r="CF29" i="514"/>
  <c r="CG29" i="514"/>
  <c r="CH29" i="514"/>
  <c r="CI29" i="514"/>
  <c r="CJ29" i="514"/>
  <c r="CK29" i="514"/>
  <c r="CL29" i="514"/>
  <c r="CM29" i="514"/>
  <c r="CN29" i="514"/>
  <c r="CO29" i="514"/>
  <c r="CP29" i="514"/>
  <c r="CQ29" i="514"/>
  <c r="CR29" i="514"/>
  <c r="CS29" i="514"/>
  <c r="CT29" i="514"/>
  <c r="CU29" i="514"/>
  <c r="CV29" i="514"/>
  <c r="CW29" i="514"/>
  <c r="CX29" i="514"/>
  <c r="CY29" i="514"/>
  <c r="CZ29" i="514"/>
  <c r="DA29" i="514"/>
  <c r="DB29" i="514"/>
  <c r="DC29" i="514"/>
  <c r="DD29" i="514"/>
  <c r="DE29" i="514"/>
  <c r="DF29" i="514"/>
  <c r="DG29" i="514"/>
  <c r="DH29" i="514"/>
  <c r="DI29" i="514"/>
  <c r="DJ29" i="514"/>
  <c r="DK29" i="514"/>
  <c r="DL29" i="514"/>
  <c r="DM29" i="514"/>
  <c r="DN29" i="514"/>
  <c r="DO29" i="514"/>
  <c r="DP29" i="514"/>
  <c r="DQ29" i="514"/>
  <c r="DR29" i="514"/>
  <c r="DS29" i="514"/>
  <c r="DT29" i="514"/>
  <c r="DU29" i="514"/>
  <c r="DV29" i="514"/>
  <c r="DW29" i="514"/>
  <c r="DX29" i="514"/>
  <c r="DY29" i="514"/>
  <c r="DZ29" i="514"/>
  <c r="EA29" i="514"/>
  <c r="EB29" i="514"/>
  <c r="EC29" i="514"/>
  <c r="ED29" i="514"/>
  <c r="EE29" i="514"/>
  <c r="EF29" i="514"/>
  <c r="EG29" i="514"/>
  <c r="EH29" i="514"/>
  <c r="EI29" i="514"/>
  <c r="EJ29" i="514"/>
  <c r="C30" i="514"/>
  <c r="D30" i="514"/>
  <c r="E30" i="514"/>
  <c r="F30" i="514"/>
  <c r="G30" i="514"/>
  <c r="H30" i="514"/>
  <c r="J30" i="514"/>
  <c r="K30" i="514"/>
  <c r="L30" i="514"/>
  <c r="M30" i="514"/>
  <c r="N30" i="514"/>
  <c r="P30" i="514"/>
  <c r="R30" i="514"/>
  <c r="S30" i="514"/>
  <c r="T30" i="514"/>
  <c r="U30" i="514"/>
  <c r="V30" i="514"/>
  <c r="AG30" i="514"/>
  <c r="AH30" i="514"/>
  <c r="AI30" i="514"/>
  <c r="AJ30" i="514"/>
  <c r="AK30" i="514"/>
  <c r="AL30" i="514"/>
  <c r="AM30" i="514"/>
  <c r="AN30" i="514"/>
  <c r="AO30" i="514"/>
  <c r="AP30" i="514"/>
  <c r="AQ30" i="514"/>
  <c r="AR30" i="514"/>
  <c r="AS30" i="514"/>
  <c r="AT30" i="514"/>
  <c r="AU30" i="514"/>
  <c r="AV30" i="514"/>
  <c r="AW30" i="514"/>
  <c r="AX30" i="514"/>
  <c r="AY30" i="514"/>
  <c r="AZ30" i="514"/>
  <c r="BA30" i="514"/>
  <c r="BB30" i="514"/>
  <c r="BC30" i="514"/>
  <c r="BD30" i="514"/>
  <c r="BE30" i="514"/>
  <c r="Y11" i="514" s="1"/>
  <c r="Y30" i="514" s="1"/>
  <c r="BF30" i="514"/>
  <c r="BG30" i="514"/>
  <c r="BH30" i="514"/>
  <c r="BI30" i="514"/>
  <c r="BJ30" i="514"/>
  <c r="BK30" i="514"/>
  <c r="BL30" i="514"/>
  <c r="BM30" i="514"/>
  <c r="BN30" i="514"/>
  <c r="BO30" i="514"/>
  <c r="BP30" i="514"/>
  <c r="BQ30" i="514"/>
  <c r="Z11" i="514" s="1"/>
  <c r="BR30" i="514"/>
  <c r="BS30" i="514"/>
  <c r="BT30" i="514"/>
  <c r="BU30" i="514"/>
  <c r="BV30" i="514"/>
  <c r="BW30" i="514"/>
  <c r="BX30" i="514"/>
  <c r="BY30" i="514"/>
  <c r="BZ30" i="514"/>
  <c r="CA30" i="514"/>
  <c r="CB30" i="514"/>
  <c r="CC30" i="514"/>
  <c r="CD30" i="514"/>
  <c r="CE30" i="514"/>
  <c r="CF30" i="514"/>
  <c r="CG30" i="514"/>
  <c r="CH30" i="514"/>
  <c r="CI30" i="514"/>
  <c r="CJ30" i="514"/>
  <c r="CK30" i="514"/>
  <c r="CL30" i="514"/>
  <c r="CM30" i="514"/>
  <c r="CN30" i="514"/>
  <c r="CO30" i="514"/>
  <c r="CP30" i="514"/>
  <c r="CQ30" i="514"/>
  <c r="CR30" i="514"/>
  <c r="CS30" i="514"/>
  <c r="CT30" i="514"/>
  <c r="CU30" i="514"/>
  <c r="CV30" i="514"/>
  <c r="CW30" i="514"/>
  <c r="CX30" i="514"/>
  <c r="CY30" i="514"/>
  <c r="CZ30" i="514"/>
  <c r="DA30" i="514"/>
  <c r="DB30" i="514"/>
  <c r="DC30" i="514"/>
  <c r="DD30" i="514"/>
  <c r="DE30" i="514"/>
  <c r="DF30" i="514"/>
  <c r="DG30" i="514"/>
  <c r="DH30" i="514"/>
  <c r="DI30" i="514"/>
  <c r="DJ30" i="514"/>
  <c r="DK30" i="514"/>
  <c r="DL30" i="514"/>
  <c r="DM30" i="514"/>
  <c r="DN30" i="514"/>
  <c r="DO30" i="514"/>
  <c r="DP30" i="514"/>
  <c r="DQ30" i="514"/>
  <c r="DR30" i="514"/>
  <c r="DS30" i="514"/>
  <c r="DT30" i="514"/>
  <c r="DU30" i="514"/>
  <c r="DV30" i="514"/>
  <c r="DW30" i="514"/>
  <c r="DX30" i="514"/>
  <c r="DY30" i="514"/>
  <c r="AB11" i="514" s="1"/>
  <c r="AB69" i="514" s="1"/>
  <c r="AB89" i="514" s="1"/>
  <c r="DZ30" i="514"/>
  <c r="EA30" i="514"/>
  <c r="EB30" i="514"/>
  <c r="EC30" i="514"/>
  <c r="ED30" i="514"/>
  <c r="EE30" i="514"/>
  <c r="EF30" i="514"/>
  <c r="EG30" i="514"/>
  <c r="EH30" i="514"/>
  <c r="EI30" i="514"/>
  <c r="EJ30" i="514"/>
  <c r="C31" i="514"/>
  <c r="D31" i="514"/>
  <c r="E31" i="514"/>
  <c r="G31" i="514"/>
  <c r="H31" i="514"/>
  <c r="I31" i="514"/>
  <c r="K31" i="514"/>
  <c r="L31" i="514"/>
  <c r="M31" i="514"/>
  <c r="N31" i="514"/>
  <c r="P31" i="514"/>
  <c r="S31" i="514"/>
  <c r="T31" i="514"/>
  <c r="U31" i="514"/>
  <c r="V31" i="514"/>
  <c r="AG31" i="514"/>
  <c r="AH31" i="514"/>
  <c r="AI31" i="514"/>
  <c r="AJ31" i="514"/>
  <c r="AK31" i="514"/>
  <c r="AL31" i="514"/>
  <c r="AM31" i="514"/>
  <c r="AN31" i="514"/>
  <c r="AO31" i="514"/>
  <c r="AP31" i="514"/>
  <c r="AQ31" i="514"/>
  <c r="AR31" i="514"/>
  <c r="AS31" i="514"/>
  <c r="X12" i="514" s="1"/>
  <c r="X70" i="514" s="1"/>
  <c r="X90" i="514" s="1"/>
  <c r="AT31" i="514"/>
  <c r="AU31" i="514"/>
  <c r="AV31" i="514"/>
  <c r="AW31" i="514"/>
  <c r="AX31" i="514"/>
  <c r="AY31" i="514"/>
  <c r="AZ31" i="514"/>
  <c r="BA31" i="514"/>
  <c r="BB31" i="514"/>
  <c r="BC31" i="514"/>
  <c r="BD31" i="514"/>
  <c r="BE31" i="514"/>
  <c r="BF31" i="514"/>
  <c r="BG31" i="514"/>
  <c r="BH31" i="514"/>
  <c r="BI31" i="514"/>
  <c r="BJ31" i="514"/>
  <c r="BK31" i="514"/>
  <c r="BL31" i="514"/>
  <c r="BM31" i="514"/>
  <c r="BN31" i="514"/>
  <c r="BO31" i="514"/>
  <c r="BP31" i="514"/>
  <c r="BQ31" i="514"/>
  <c r="Z12" i="514" s="1"/>
  <c r="Z31" i="514" s="1"/>
  <c r="BR31" i="514"/>
  <c r="BS31" i="514"/>
  <c r="BT31" i="514"/>
  <c r="BU31" i="514"/>
  <c r="BV31" i="514"/>
  <c r="BW31" i="514"/>
  <c r="BX31" i="514"/>
  <c r="BY31" i="514"/>
  <c r="BZ31" i="514"/>
  <c r="CA31" i="514"/>
  <c r="CB31" i="514"/>
  <c r="CC31" i="514"/>
  <c r="CD31" i="514"/>
  <c r="CE31" i="514"/>
  <c r="CF31" i="514"/>
  <c r="CG31" i="514"/>
  <c r="CH31" i="514"/>
  <c r="CI31" i="514"/>
  <c r="CJ31" i="514"/>
  <c r="CK31" i="514"/>
  <c r="CL31" i="514"/>
  <c r="CM31" i="514"/>
  <c r="CN31" i="514"/>
  <c r="CO31" i="514"/>
  <c r="CP31" i="514"/>
  <c r="CQ31" i="514"/>
  <c r="CR31" i="514"/>
  <c r="CS31" i="514"/>
  <c r="CT31" i="514"/>
  <c r="CU31" i="514"/>
  <c r="CV31" i="514"/>
  <c r="CW31" i="514"/>
  <c r="CX31" i="514"/>
  <c r="CY31" i="514"/>
  <c r="CZ31" i="514"/>
  <c r="DA31" i="514"/>
  <c r="DB31" i="514"/>
  <c r="DC31" i="514"/>
  <c r="DD31" i="514"/>
  <c r="DE31" i="514"/>
  <c r="DF31" i="514"/>
  <c r="DG31" i="514"/>
  <c r="DH31" i="514"/>
  <c r="DI31" i="514"/>
  <c r="DJ31" i="514"/>
  <c r="DK31" i="514"/>
  <c r="DL31" i="514"/>
  <c r="DM31" i="514"/>
  <c r="DN31" i="514"/>
  <c r="DO31" i="514"/>
  <c r="DP31" i="514"/>
  <c r="DQ31" i="514"/>
  <c r="DR31" i="514"/>
  <c r="DS31" i="514"/>
  <c r="DT31" i="514"/>
  <c r="DU31" i="514"/>
  <c r="DV31" i="514"/>
  <c r="DW31" i="514"/>
  <c r="DX31" i="514"/>
  <c r="DY31" i="514"/>
  <c r="DZ31" i="514"/>
  <c r="EA31" i="514"/>
  <c r="EB31" i="514"/>
  <c r="EC31" i="514"/>
  <c r="ED31" i="514"/>
  <c r="EE31" i="514"/>
  <c r="EF31" i="514"/>
  <c r="EG31" i="514"/>
  <c r="EH31" i="514"/>
  <c r="EI31" i="514"/>
  <c r="EJ31" i="514"/>
  <c r="C32" i="514"/>
  <c r="D32" i="514"/>
  <c r="E32" i="514"/>
  <c r="G32" i="514"/>
  <c r="H32" i="514"/>
  <c r="I32" i="514"/>
  <c r="L32" i="514"/>
  <c r="M32" i="514"/>
  <c r="N32" i="514"/>
  <c r="O32" i="514"/>
  <c r="P32" i="514"/>
  <c r="Q32" i="514"/>
  <c r="R32" i="514"/>
  <c r="T32" i="514"/>
  <c r="U32" i="514"/>
  <c r="V32" i="514"/>
  <c r="AG32" i="514"/>
  <c r="W13" i="514" s="1"/>
  <c r="W71" i="514" s="1"/>
  <c r="W91" i="514" s="1"/>
  <c r="AH32" i="514"/>
  <c r="AI32" i="514"/>
  <c r="AJ32" i="514"/>
  <c r="AK32" i="514"/>
  <c r="AL32" i="514"/>
  <c r="AM32" i="514"/>
  <c r="AN32" i="514"/>
  <c r="AO32" i="514"/>
  <c r="AP32" i="514"/>
  <c r="AQ32" i="514"/>
  <c r="AR32" i="514"/>
  <c r="AS32" i="514"/>
  <c r="AT32" i="514"/>
  <c r="AU32" i="514"/>
  <c r="AV32" i="514"/>
  <c r="AW32" i="514"/>
  <c r="AX32" i="514"/>
  <c r="AY32" i="514"/>
  <c r="AZ32" i="514"/>
  <c r="BA32" i="514"/>
  <c r="BB32" i="514"/>
  <c r="BC32" i="514"/>
  <c r="BD32" i="514"/>
  <c r="BE32" i="514"/>
  <c r="BF32" i="514"/>
  <c r="BG32" i="514"/>
  <c r="BH32" i="514"/>
  <c r="BI32" i="514"/>
  <c r="BJ32" i="514"/>
  <c r="BK32" i="514"/>
  <c r="BL32" i="514"/>
  <c r="BM32" i="514"/>
  <c r="BN32" i="514"/>
  <c r="BO32" i="514"/>
  <c r="BP32" i="514"/>
  <c r="BQ32" i="514"/>
  <c r="BR32" i="514"/>
  <c r="BS32" i="514"/>
  <c r="BT32" i="514"/>
  <c r="BU32" i="514"/>
  <c r="BV32" i="514"/>
  <c r="BW32" i="514"/>
  <c r="BX32" i="514"/>
  <c r="BY32" i="514"/>
  <c r="BZ32" i="514"/>
  <c r="CA32" i="514"/>
  <c r="CB32" i="514"/>
  <c r="CC32" i="514"/>
  <c r="CD32" i="514"/>
  <c r="CE32" i="514"/>
  <c r="CF32" i="514"/>
  <c r="CG32" i="514"/>
  <c r="CH32" i="514"/>
  <c r="CI32" i="514"/>
  <c r="CJ32" i="514"/>
  <c r="CK32" i="514"/>
  <c r="CL32" i="514"/>
  <c r="CM32" i="514"/>
  <c r="CN32" i="514"/>
  <c r="CO32" i="514"/>
  <c r="CP32" i="514"/>
  <c r="CQ32" i="514"/>
  <c r="CR32" i="514"/>
  <c r="CS32" i="514"/>
  <c r="CT32" i="514"/>
  <c r="CU32" i="514"/>
  <c r="CV32" i="514"/>
  <c r="CW32" i="514"/>
  <c r="CX32" i="514"/>
  <c r="CY32" i="514"/>
  <c r="CZ32" i="514"/>
  <c r="DA32" i="514"/>
  <c r="DB32" i="514"/>
  <c r="DC32" i="514"/>
  <c r="DD32" i="514"/>
  <c r="DE32" i="514"/>
  <c r="DF32" i="514"/>
  <c r="DG32" i="514"/>
  <c r="DH32" i="514"/>
  <c r="DI32" i="514"/>
  <c r="DJ32" i="514"/>
  <c r="DK32" i="514"/>
  <c r="DL32" i="514"/>
  <c r="DM32" i="514"/>
  <c r="DN32" i="514"/>
  <c r="DO32" i="514"/>
  <c r="DP32" i="514"/>
  <c r="DQ32" i="514"/>
  <c r="DR32" i="514"/>
  <c r="DS32" i="514"/>
  <c r="DT32" i="514"/>
  <c r="DU32" i="514"/>
  <c r="DV32" i="514"/>
  <c r="DW32" i="514"/>
  <c r="DX32" i="514"/>
  <c r="DY32" i="514"/>
  <c r="AB13" i="514" s="1"/>
  <c r="DZ32" i="514"/>
  <c r="EA32" i="514"/>
  <c r="EB32" i="514"/>
  <c r="EC32" i="514"/>
  <c r="ED32" i="514"/>
  <c r="EE32" i="514"/>
  <c r="EF32" i="514"/>
  <c r="EG32" i="514"/>
  <c r="EH32" i="514"/>
  <c r="EI32" i="514"/>
  <c r="EJ32" i="514"/>
  <c r="C33" i="514"/>
  <c r="D33" i="514"/>
  <c r="E33" i="514"/>
  <c r="G33" i="514"/>
  <c r="H33" i="514"/>
  <c r="I33" i="514"/>
  <c r="K33" i="514"/>
  <c r="N33" i="514"/>
  <c r="O33" i="514"/>
  <c r="P33" i="514"/>
  <c r="Q33" i="514"/>
  <c r="R33" i="514"/>
  <c r="U33" i="514"/>
  <c r="V33" i="514"/>
  <c r="AG33" i="514"/>
  <c r="AC14" i="514" s="1"/>
  <c r="AH33" i="514"/>
  <c r="AI33" i="514"/>
  <c r="AJ33" i="514"/>
  <c r="AK33" i="514"/>
  <c r="AL33" i="514"/>
  <c r="AM33" i="514"/>
  <c r="AN33" i="514"/>
  <c r="AO33" i="514"/>
  <c r="AP33" i="514"/>
  <c r="AQ33" i="514"/>
  <c r="AR33" i="514"/>
  <c r="AS33" i="514"/>
  <c r="AT33" i="514"/>
  <c r="AU33" i="514"/>
  <c r="AV33" i="514"/>
  <c r="AW33" i="514"/>
  <c r="AX33" i="514"/>
  <c r="AY33" i="514"/>
  <c r="AZ33" i="514"/>
  <c r="BA33" i="514"/>
  <c r="BB33" i="514"/>
  <c r="BC33" i="514"/>
  <c r="BD33" i="514"/>
  <c r="BE33" i="514"/>
  <c r="BF33" i="514"/>
  <c r="BG33" i="514"/>
  <c r="BH33" i="514"/>
  <c r="BI33" i="514"/>
  <c r="BJ33" i="514"/>
  <c r="BK33" i="514"/>
  <c r="BL33" i="514"/>
  <c r="BM33" i="514"/>
  <c r="BN33" i="514"/>
  <c r="BO33" i="514"/>
  <c r="BP33" i="514"/>
  <c r="BQ33" i="514"/>
  <c r="Z14" i="514" s="1"/>
  <c r="BR33" i="514"/>
  <c r="BS33" i="514"/>
  <c r="BT33" i="514"/>
  <c r="BU33" i="514"/>
  <c r="BV33" i="514"/>
  <c r="BW33" i="514"/>
  <c r="BX33" i="514"/>
  <c r="BY33" i="514"/>
  <c r="BZ33" i="514"/>
  <c r="CA33" i="514"/>
  <c r="CB33" i="514"/>
  <c r="CC33" i="514"/>
  <c r="CD33" i="514"/>
  <c r="CE33" i="514"/>
  <c r="CF33" i="514"/>
  <c r="CG33" i="514"/>
  <c r="CH33" i="514"/>
  <c r="CI33" i="514"/>
  <c r="CJ33" i="514"/>
  <c r="CK33" i="514"/>
  <c r="CL33" i="514"/>
  <c r="CM33" i="514"/>
  <c r="CN33" i="514"/>
  <c r="CO33" i="514"/>
  <c r="CP33" i="514"/>
  <c r="CQ33" i="514"/>
  <c r="CR33" i="514"/>
  <c r="CS33" i="514"/>
  <c r="CT33" i="514"/>
  <c r="CU33" i="514"/>
  <c r="CV33" i="514"/>
  <c r="CW33" i="514"/>
  <c r="CX33" i="514"/>
  <c r="CY33" i="514"/>
  <c r="CZ33" i="514"/>
  <c r="DA33" i="514"/>
  <c r="DB33" i="514"/>
  <c r="DC33" i="514"/>
  <c r="DD33" i="514"/>
  <c r="DE33" i="514"/>
  <c r="DF33" i="514"/>
  <c r="DG33" i="514"/>
  <c r="DH33" i="514"/>
  <c r="DI33" i="514"/>
  <c r="DJ33" i="514"/>
  <c r="DK33" i="514"/>
  <c r="DL33" i="514"/>
  <c r="DM33" i="514"/>
  <c r="DN33" i="514"/>
  <c r="DO33" i="514"/>
  <c r="DP33" i="514"/>
  <c r="DQ33" i="514"/>
  <c r="DR33" i="514"/>
  <c r="DS33" i="514"/>
  <c r="DT33" i="514"/>
  <c r="DU33" i="514"/>
  <c r="DV33" i="514"/>
  <c r="DW33" i="514"/>
  <c r="DX33" i="514"/>
  <c r="DY33" i="514"/>
  <c r="DZ33" i="514"/>
  <c r="EA33" i="514"/>
  <c r="EB33" i="514"/>
  <c r="EC33" i="514"/>
  <c r="ED33" i="514"/>
  <c r="EE33" i="514"/>
  <c r="EG33" i="514"/>
  <c r="EH33" i="514"/>
  <c r="EI33" i="514"/>
  <c r="EJ33" i="514"/>
  <c r="C34" i="514"/>
  <c r="D34" i="514"/>
  <c r="E34" i="514"/>
  <c r="I34" i="514"/>
  <c r="L34" i="514"/>
  <c r="Q34" i="514"/>
  <c r="T34" i="514"/>
  <c r="V34" i="514"/>
  <c r="AG34" i="514"/>
  <c r="AH34" i="514"/>
  <c r="AJ34" i="514"/>
  <c r="AK34" i="514"/>
  <c r="AL34" i="514"/>
  <c r="AM34" i="514"/>
  <c r="AN34" i="514"/>
  <c r="AO34" i="514"/>
  <c r="AP34" i="514"/>
  <c r="AR34" i="514"/>
  <c r="AS34" i="514"/>
  <c r="X15" i="514" s="1"/>
  <c r="AT34" i="514"/>
  <c r="AU34" i="514"/>
  <c r="AV34" i="514"/>
  <c r="AW34" i="514"/>
  <c r="AX34" i="514"/>
  <c r="AZ34" i="514"/>
  <c r="BA34" i="514"/>
  <c r="BB34" i="514"/>
  <c r="BC34" i="514"/>
  <c r="BD34" i="514"/>
  <c r="BE34" i="514"/>
  <c r="BF34" i="514"/>
  <c r="BH34" i="514"/>
  <c r="BI34" i="514"/>
  <c r="BJ34" i="514"/>
  <c r="BK34" i="514"/>
  <c r="BL34" i="514"/>
  <c r="BM34" i="514"/>
  <c r="BN34" i="514"/>
  <c r="BP34" i="514"/>
  <c r="BQ34" i="514"/>
  <c r="BR34" i="514"/>
  <c r="BS34" i="514"/>
  <c r="BT34" i="514"/>
  <c r="BU34" i="514"/>
  <c r="BV34" i="514"/>
  <c r="BX34" i="514"/>
  <c r="BY34" i="514"/>
  <c r="BZ34" i="514"/>
  <c r="CA34" i="514"/>
  <c r="CB34" i="514"/>
  <c r="CC34" i="514"/>
  <c r="AA15" i="514" s="1"/>
  <c r="CD34" i="514"/>
  <c r="CF34" i="514"/>
  <c r="CG34" i="514"/>
  <c r="CH34" i="514"/>
  <c r="CI34" i="514"/>
  <c r="CJ34" i="514"/>
  <c r="CK34" i="514"/>
  <c r="CL34" i="514"/>
  <c r="CN34" i="514"/>
  <c r="CO34" i="514"/>
  <c r="CP34" i="514"/>
  <c r="CQ34" i="514"/>
  <c r="CR34" i="514"/>
  <c r="CS34" i="514"/>
  <c r="CT34" i="514"/>
  <c r="CV34" i="514"/>
  <c r="CW34" i="514"/>
  <c r="CX34" i="514"/>
  <c r="CY34" i="514"/>
  <c r="CZ34" i="514"/>
  <c r="DA34" i="514"/>
  <c r="DB34" i="514"/>
  <c r="DD34" i="514"/>
  <c r="DE34" i="514"/>
  <c r="DF34" i="514"/>
  <c r="DG34" i="514"/>
  <c r="DH34" i="514"/>
  <c r="DI34" i="514"/>
  <c r="DJ34" i="514"/>
  <c r="DL34" i="514"/>
  <c r="DM34" i="514"/>
  <c r="DN34" i="514"/>
  <c r="DO34" i="514"/>
  <c r="DP34" i="514"/>
  <c r="DQ34" i="514"/>
  <c r="DR34" i="514"/>
  <c r="DT34" i="514"/>
  <c r="DU34" i="514"/>
  <c r="DV34" i="514"/>
  <c r="DW34" i="514"/>
  <c r="DX34" i="514"/>
  <c r="DY34" i="514"/>
  <c r="DZ34" i="514"/>
  <c r="EB34" i="514"/>
  <c r="EC34" i="514"/>
  <c r="ED34" i="514"/>
  <c r="EE34" i="514"/>
  <c r="EF34" i="514"/>
  <c r="EG34" i="514"/>
  <c r="EH34" i="514"/>
  <c r="EJ34" i="514"/>
  <c r="C37" i="514"/>
  <c r="D37" i="514"/>
  <c r="E37" i="514"/>
  <c r="H37" i="514"/>
  <c r="K37" i="514"/>
  <c r="L37" i="514"/>
  <c r="Q37" i="514"/>
  <c r="U37" i="514"/>
  <c r="AG37" i="514"/>
  <c r="AH37" i="514"/>
  <c r="W18" i="514" s="1"/>
  <c r="W37" i="514" s="1"/>
  <c r="AI37" i="514"/>
  <c r="AJ37" i="514"/>
  <c r="AK37" i="514"/>
  <c r="AL37" i="514"/>
  <c r="AM37" i="514"/>
  <c r="AN37" i="514"/>
  <c r="AO37" i="514"/>
  <c r="AP37" i="514"/>
  <c r="AQ37" i="514"/>
  <c r="AR37" i="514"/>
  <c r="AS37" i="514"/>
  <c r="X18" i="514" s="1"/>
  <c r="X37" i="514" s="1"/>
  <c r="AT37" i="514"/>
  <c r="AU37" i="514"/>
  <c r="AV37" i="514"/>
  <c r="AW37" i="514"/>
  <c r="AX37" i="514"/>
  <c r="AY37" i="514"/>
  <c r="AZ37" i="514"/>
  <c r="BA37" i="514"/>
  <c r="BB37" i="514"/>
  <c r="BC37" i="514"/>
  <c r="BD37" i="514"/>
  <c r="BE37" i="514"/>
  <c r="BF37" i="514"/>
  <c r="Y18" i="514" s="1"/>
  <c r="Y37" i="514" s="1"/>
  <c r="BG37" i="514"/>
  <c r="BH37" i="514"/>
  <c r="BI37" i="514"/>
  <c r="BJ37" i="514"/>
  <c r="BK37" i="514"/>
  <c r="BL37" i="514"/>
  <c r="BM37" i="514"/>
  <c r="BN37" i="514"/>
  <c r="BO37" i="514"/>
  <c r="BP37" i="514"/>
  <c r="BQ37" i="514"/>
  <c r="Z18" i="514" s="1"/>
  <c r="Z37" i="514" s="1"/>
  <c r="BR37" i="514"/>
  <c r="BS37" i="514"/>
  <c r="BT37" i="514"/>
  <c r="BU37" i="514"/>
  <c r="BV37" i="514"/>
  <c r="BW37" i="514"/>
  <c r="BX37" i="514"/>
  <c r="BY37" i="514"/>
  <c r="BZ37" i="514"/>
  <c r="CA37" i="514"/>
  <c r="CB37" i="514"/>
  <c r="CC37" i="514"/>
  <c r="CD37" i="514"/>
  <c r="AA18" i="514" s="1"/>
  <c r="AA37" i="514" s="1"/>
  <c r="CE37" i="514"/>
  <c r="CF37" i="514"/>
  <c r="CG37" i="514"/>
  <c r="CH37" i="514"/>
  <c r="CI37" i="514"/>
  <c r="CJ37" i="514"/>
  <c r="CK37" i="514"/>
  <c r="CL37" i="514"/>
  <c r="CM37" i="514"/>
  <c r="CN37" i="514"/>
  <c r="CO37" i="514"/>
  <c r="CP37" i="514"/>
  <c r="CQ37" i="514"/>
  <c r="CR37" i="514"/>
  <c r="CS37" i="514"/>
  <c r="CT37" i="514"/>
  <c r="CU37" i="514"/>
  <c r="CV37" i="514"/>
  <c r="CW37" i="514"/>
  <c r="CX37" i="514"/>
  <c r="CY37" i="514"/>
  <c r="CZ37" i="514"/>
  <c r="DA37" i="514"/>
  <c r="DB37" i="514"/>
  <c r="DC37" i="514"/>
  <c r="DD37" i="514"/>
  <c r="DE37" i="514"/>
  <c r="DF37" i="514"/>
  <c r="DG37" i="514"/>
  <c r="DH37" i="514"/>
  <c r="DI37" i="514"/>
  <c r="DJ37" i="514"/>
  <c r="DK37" i="514"/>
  <c r="DL37" i="514"/>
  <c r="DM37" i="514"/>
  <c r="DN37" i="514"/>
  <c r="DO37" i="514"/>
  <c r="DP37" i="514"/>
  <c r="DQ37" i="514"/>
  <c r="DR37" i="514"/>
  <c r="DS37" i="514"/>
  <c r="DT37" i="514"/>
  <c r="DU37" i="514"/>
  <c r="DV37" i="514"/>
  <c r="DW37" i="514"/>
  <c r="DX37" i="514"/>
  <c r="DY37" i="514"/>
  <c r="DZ37" i="514"/>
  <c r="AB18" i="514" s="1"/>
  <c r="AB37" i="514" s="1"/>
  <c r="EA37" i="514"/>
  <c r="EB37" i="514"/>
  <c r="EC37" i="514"/>
  <c r="ED37" i="514"/>
  <c r="EE37" i="514"/>
  <c r="EF37" i="514"/>
  <c r="EG37" i="514"/>
  <c r="EH37" i="514"/>
  <c r="EI37" i="514"/>
  <c r="EJ37" i="514"/>
  <c r="AG38" i="514"/>
  <c r="AG39" i="514"/>
  <c r="AG40" i="514"/>
  <c r="AG41" i="514"/>
  <c r="AG42" i="514"/>
  <c r="AG43" i="514"/>
  <c r="A46" i="514"/>
  <c r="A106" i="514" s="1"/>
  <c r="C66" i="514"/>
  <c r="D66" i="514"/>
  <c r="E66" i="514"/>
  <c r="F66" i="514"/>
  <c r="G66" i="514"/>
  <c r="H66" i="514"/>
  <c r="I66" i="514"/>
  <c r="J66" i="514"/>
  <c r="K66" i="514"/>
  <c r="L66" i="514"/>
  <c r="M66" i="514"/>
  <c r="N66" i="514"/>
  <c r="O66" i="514"/>
  <c r="P66" i="514"/>
  <c r="Q66" i="514"/>
  <c r="R66" i="514"/>
  <c r="S66" i="514"/>
  <c r="T66" i="514"/>
  <c r="U66" i="514"/>
  <c r="V66" i="514"/>
  <c r="W66" i="514"/>
  <c r="X66" i="514"/>
  <c r="Y66" i="514"/>
  <c r="Z66" i="514"/>
  <c r="AA66" i="514"/>
  <c r="AB66" i="514"/>
  <c r="C67" i="514"/>
  <c r="C87" i="514" s="1"/>
  <c r="D67" i="514"/>
  <c r="E67" i="514"/>
  <c r="H67" i="514"/>
  <c r="G67" i="514" s="1"/>
  <c r="G87" i="514" s="1"/>
  <c r="I67" i="514"/>
  <c r="I87" i="514" s="1"/>
  <c r="K67" i="514"/>
  <c r="K87" i="514" s="1"/>
  <c r="L67" i="514"/>
  <c r="L87" i="514" s="1"/>
  <c r="M67" i="514"/>
  <c r="N67" i="514"/>
  <c r="P67" i="514"/>
  <c r="P87" i="514" s="1"/>
  <c r="Q67" i="514"/>
  <c r="Q87" i="514" s="1"/>
  <c r="R67" i="514"/>
  <c r="T67" i="514"/>
  <c r="V67" i="514"/>
  <c r="C68" i="514"/>
  <c r="D68" i="514"/>
  <c r="E68" i="514"/>
  <c r="E88" i="514" s="1"/>
  <c r="F68" i="514"/>
  <c r="F88" i="514" s="1"/>
  <c r="H68" i="514"/>
  <c r="H88" i="514" s="1"/>
  <c r="I68" i="514"/>
  <c r="I88" i="514" s="1"/>
  <c r="J68" i="514"/>
  <c r="J88" i="514" s="1"/>
  <c r="K68" i="514"/>
  <c r="L68" i="514"/>
  <c r="L88" i="514" s="1"/>
  <c r="M68" i="514"/>
  <c r="N68" i="514"/>
  <c r="N88" i="514" s="1"/>
  <c r="P68" i="514"/>
  <c r="P88" i="514" s="1"/>
  <c r="Q68" i="514"/>
  <c r="Q88" i="514" s="1"/>
  <c r="R68" i="514"/>
  <c r="R88" i="514" s="1"/>
  <c r="T68" i="514"/>
  <c r="U68" i="514"/>
  <c r="U88" i="514" s="1"/>
  <c r="V68" i="514"/>
  <c r="V88" i="514" s="1"/>
  <c r="C69" i="514"/>
  <c r="C89" i="514" s="1"/>
  <c r="D69" i="514"/>
  <c r="D89" i="514" s="1"/>
  <c r="E69" i="514"/>
  <c r="G69" i="514"/>
  <c r="G89" i="514" s="1"/>
  <c r="H69" i="514"/>
  <c r="I69" i="514"/>
  <c r="I89" i="514" s="1"/>
  <c r="K69" i="514"/>
  <c r="K89" i="514" s="1"/>
  <c r="L69" i="514"/>
  <c r="M69" i="514"/>
  <c r="M89" i="514" s="1"/>
  <c r="N69" i="514"/>
  <c r="O69" i="514"/>
  <c r="O89" i="514" s="1"/>
  <c r="P69" i="514"/>
  <c r="Q69" i="514"/>
  <c r="Q89" i="514" s="1"/>
  <c r="R69" i="514"/>
  <c r="T69" i="514"/>
  <c r="S69" i="514" s="1"/>
  <c r="S89" i="514" s="1"/>
  <c r="U69" i="514"/>
  <c r="V69" i="514"/>
  <c r="C70" i="514"/>
  <c r="F70" i="514" s="1"/>
  <c r="F90" i="514" s="1"/>
  <c r="D70" i="514"/>
  <c r="E70" i="514"/>
  <c r="G70" i="514"/>
  <c r="H70" i="514"/>
  <c r="H90" i="514" s="1"/>
  <c r="I70" i="514"/>
  <c r="I90" i="514" s="1"/>
  <c r="K70" i="514"/>
  <c r="J70" i="514" s="1"/>
  <c r="J90" i="514" s="1"/>
  <c r="L70" i="514"/>
  <c r="M70" i="514"/>
  <c r="N70" i="514"/>
  <c r="P70" i="514"/>
  <c r="R70" i="514"/>
  <c r="R90" i="514" s="1"/>
  <c r="S70" i="514"/>
  <c r="S90" i="514" s="1"/>
  <c r="T70" i="514"/>
  <c r="U70" i="514"/>
  <c r="V70" i="514"/>
  <c r="C71" i="514"/>
  <c r="F71" i="514" s="1"/>
  <c r="F91" i="514" s="1"/>
  <c r="D71" i="514"/>
  <c r="E71" i="514"/>
  <c r="H71" i="514"/>
  <c r="G71" i="514" s="1"/>
  <c r="G91" i="514" s="1"/>
  <c r="I71" i="514"/>
  <c r="L71" i="514"/>
  <c r="L91" i="514" s="1"/>
  <c r="M71" i="514"/>
  <c r="N71" i="514"/>
  <c r="N91" i="514" s="1"/>
  <c r="P71" i="514"/>
  <c r="O71" i="514" s="1"/>
  <c r="O91" i="514" s="1"/>
  <c r="Q71" i="514"/>
  <c r="T71" i="514"/>
  <c r="U71" i="514"/>
  <c r="U91" i="514" s="1"/>
  <c r="V71" i="514"/>
  <c r="V91" i="514" s="1"/>
  <c r="C72" i="514"/>
  <c r="F72" i="514" s="1"/>
  <c r="F92" i="514" s="1"/>
  <c r="D72" i="514"/>
  <c r="D92" i="514" s="1"/>
  <c r="E72" i="514"/>
  <c r="E92" i="514" s="1"/>
  <c r="H72" i="514"/>
  <c r="I72" i="514"/>
  <c r="K72" i="514"/>
  <c r="K92" i="514" s="1"/>
  <c r="L72" i="514"/>
  <c r="J72" i="514" s="1"/>
  <c r="J92" i="514" s="1"/>
  <c r="N72" i="514"/>
  <c r="P72" i="514"/>
  <c r="Q72" i="514"/>
  <c r="R72" i="514"/>
  <c r="T72" i="514"/>
  <c r="U72" i="514"/>
  <c r="U92" i="514" s="1"/>
  <c r="V72" i="514"/>
  <c r="C73" i="514"/>
  <c r="F73" i="514" s="1"/>
  <c r="F93" i="514" s="1"/>
  <c r="E73" i="514"/>
  <c r="I73" i="514"/>
  <c r="I93" i="514" s="1"/>
  <c r="M73" i="514"/>
  <c r="Q73" i="514"/>
  <c r="V73" i="514"/>
  <c r="V93" i="514" s="1"/>
  <c r="D87" i="514"/>
  <c r="E87" i="514"/>
  <c r="M87" i="514"/>
  <c r="N87" i="514"/>
  <c r="R87" i="514"/>
  <c r="T87" i="514"/>
  <c r="V87" i="514"/>
  <c r="C88" i="514"/>
  <c r="D88" i="514"/>
  <c r="K88" i="514"/>
  <c r="M88" i="514"/>
  <c r="T88" i="514"/>
  <c r="E89" i="514"/>
  <c r="H89" i="514"/>
  <c r="L89" i="514"/>
  <c r="N89" i="514"/>
  <c r="P89" i="514"/>
  <c r="R89" i="514"/>
  <c r="T89" i="514"/>
  <c r="U89" i="514"/>
  <c r="V89" i="514"/>
  <c r="C90" i="514"/>
  <c r="D90" i="514"/>
  <c r="E90" i="514"/>
  <c r="G90" i="514"/>
  <c r="L90" i="514"/>
  <c r="M90" i="514"/>
  <c r="N90" i="514"/>
  <c r="P90" i="514"/>
  <c r="T90" i="514"/>
  <c r="U90" i="514"/>
  <c r="V90" i="514"/>
  <c r="C91" i="514"/>
  <c r="D91" i="514"/>
  <c r="E91" i="514"/>
  <c r="H91" i="514"/>
  <c r="I91" i="514"/>
  <c r="M91" i="514"/>
  <c r="P91" i="514"/>
  <c r="Q91" i="514"/>
  <c r="R91" i="514"/>
  <c r="T91" i="514"/>
  <c r="H92" i="514"/>
  <c r="I92" i="514"/>
  <c r="N92" i="514"/>
  <c r="P92" i="514"/>
  <c r="Q92" i="514"/>
  <c r="R92" i="514"/>
  <c r="T92" i="514"/>
  <c r="V92" i="514"/>
  <c r="D93" i="514"/>
  <c r="E93" i="514"/>
  <c r="L93" i="514"/>
  <c r="M93" i="514"/>
  <c r="Q93" i="514"/>
  <c r="AB23" i="4"/>
  <c r="R28" i="4"/>
  <c r="T29" i="4"/>
  <c r="AB29" i="4"/>
  <c r="V31" i="4"/>
  <c r="AL35" i="4"/>
  <c r="R36" i="4"/>
  <c r="AH36" i="4"/>
  <c r="T39" i="4"/>
  <c r="AB39" i="4"/>
  <c r="V41" i="4"/>
  <c r="AL29" i="4"/>
  <c r="R30" i="4"/>
  <c r="AH30" i="4"/>
  <c r="T33" i="4"/>
  <c r="AB33" i="4"/>
  <c r="V35" i="4"/>
  <c r="AL39" i="4"/>
  <c r="R40" i="4"/>
  <c r="AH40" i="4"/>
  <c r="T42" i="4"/>
  <c r="AB42" i="4"/>
  <c r="AB24" i="4"/>
  <c r="T28" i="4"/>
  <c r="V29" i="4"/>
  <c r="AL33" i="4"/>
  <c r="R34" i="4"/>
  <c r="AH34" i="4"/>
  <c r="T36" i="4"/>
  <c r="AB36" i="4"/>
  <c r="V39" i="4"/>
  <c r="AL42" i="4"/>
  <c r="R43" i="4"/>
  <c r="AH43" i="4"/>
  <c r="AL49" i="4"/>
  <c r="R23" i="4"/>
  <c r="AH23" i="4"/>
  <c r="V28" i="4"/>
  <c r="AH28" i="4"/>
  <c r="T30" i="4"/>
  <c r="AB30" i="4"/>
  <c r="V33" i="4"/>
  <c r="X35" i="4"/>
  <c r="AL36" i="4"/>
  <c r="T40" i="4"/>
  <c r="AB40" i="4"/>
  <c r="V42" i="4"/>
  <c r="AB49" i="4"/>
  <c r="T23" i="4"/>
  <c r="AL30" i="4"/>
  <c r="R31" i="4"/>
  <c r="Z31" i="4"/>
  <c r="AH31" i="4"/>
  <c r="T34" i="4"/>
  <c r="AB34" i="4"/>
  <c r="V36" i="4"/>
  <c r="X39" i="4"/>
  <c r="AL40" i="4"/>
  <c r="R41" i="4"/>
  <c r="Z41" i="4"/>
  <c r="AH41" i="4"/>
  <c r="T43" i="4"/>
  <c r="AB43" i="4"/>
  <c r="R49" i="4"/>
  <c r="V30" i="4"/>
  <c r="AL34" i="4"/>
  <c r="R35" i="4"/>
  <c r="AH35" i="4"/>
  <c r="V40" i="4"/>
  <c r="AL43" i="4"/>
  <c r="Z33" i="4"/>
  <c r="R42" i="4"/>
  <c r="AH49" i="4"/>
  <c r="R29" i="4"/>
  <c r="AB31" i="4"/>
  <c r="T41" i="4"/>
  <c r="AD43" i="4"/>
  <c r="X30" i="4"/>
  <c r="AH33" i="4"/>
  <c r="Z42" i="4"/>
  <c r="R24" i="4"/>
  <c r="AH24" i="4"/>
  <c r="Z29" i="4"/>
  <c r="X36" i="4"/>
  <c r="R39" i="4"/>
  <c r="AB41" i="4"/>
  <c r="X23" i="4"/>
  <c r="AF30" i="4"/>
  <c r="AL31" i="4"/>
  <c r="T35" i="4"/>
  <c r="X40" i="4"/>
  <c r="AH42" i="4"/>
  <c r="V23" i="4"/>
  <c r="Z23" i="4"/>
  <c r="Z28" i="4"/>
  <c r="AH29" i="4"/>
  <c r="V34" i="4"/>
  <c r="AF36" i="4"/>
  <c r="Z39" i="4"/>
  <c r="T49" i="4"/>
  <c r="X24" i="4"/>
  <c r="T24" i="4"/>
  <c r="AB28" i="4"/>
  <c r="R33" i="4"/>
  <c r="AB35" i="4"/>
  <c r="AF40" i="4"/>
  <c r="AL41" i="4"/>
  <c r="V49" i="4"/>
  <c r="AF49" i="4"/>
  <c r="T31" i="4"/>
  <c r="AH39" i="4"/>
  <c r="V24" i="4"/>
  <c r="AD34" i="4"/>
  <c r="AL28" i="4"/>
  <c r="Z36" i="4"/>
  <c r="V43" i="4"/>
  <c r="W43" i="4" l="1"/>
  <c r="AA36" i="4"/>
  <c r="AE34" i="4"/>
  <c r="AI39" i="4"/>
  <c r="U31" i="4"/>
  <c r="W49" i="4"/>
  <c r="V61" i="4"/>
  <c r="W61" i="4" s="1"/>
  <c r="V60" i="4"/>
  <c r="W60" i="4" s="1"/>
  <c r="V62" i="4"/>
  <c r="W62" i="4" s="1"/>
  <c r="V63" i="4"/>
  <c r="W63" i="4" s="1"/>
  <c r="AG40" i="4"/>
  <c r="AC35" i="4"/>
  <c r="S33" i="4"/>
  <c r="AC28" i="4"/>
  <c r="AA39" i="4"/>
  <c r="AG36" i="4"/>
  <c r="W34" i="4"/>
  <c r="AI29" i="4"/>
  <c r="AI42" i="4"/>
  <c r="Y40" i="4"/>
  <c r="U35" i="4"/>
  <c r="AG30" i="4"/>
  <c r="AC41" i="4"/>
  <c r="S39" i="4"/>
  <c r="Y36" i="4"/>
  <c r="AA29" i="4"/>
  <c r="AA42" i="4"/>
  <c r="AI33" i="4"/>
  <c r="Y30" i="4"/>
  <c r="AE43" i="4"/>
  <c r="U41" i="4"/>
  <c r="AC31" i="4"/>
  <c r="S29" i="4"/>
  <c r="AI49" i="4"/>
  <c r="AH61" i="4"/>
  <c r="AI61" i="4" s="1"/>
  <c r="AH60" i="4"/>
  <c r="AI60" i="4" s="1"/>
  <c r="AH63" i="4"/>
  <c r="AI63" i="4" s="1"/>
  <c r="AH62" i="4"/>
  <c r="AI62" i="4" s="1"/>
  <c r="S42" i="4"/>
  <c r="AA33" i="4"/>
  <c r="W40" i="4"/>
  <c r="AI35" i="4"/>
  <c r="S35" i="4"/>
  <c r="W30" i="4"/>
  <c r="S49" i="4"/>
  <c r="AC43" i="4"/>
  <c r="U43" i="4"/>
  <c r="AI41" i="4"/>
  <c r="AA41" i="4"/>
  <c r="S41" i="4"/>
  <c r="Y39" i="4"/>
  <c r="W36" i="4"/>
  <c r="AC34" i="4"/>
  <c r="U34" i="4"/>
  <c r="AI31" i="4"/>
  <c r="AA31" i="4"/>
  <c r="S31" i="4"/>
  <c r="AB63" i="4"/>
  <c r="AC63" i="4" s="1"/>
  <c r="AB62" i="4"/>
  <c r="AC62" i="4" s="1"/>
  <c r="AC49" i="4"/>
  <c r="AB61" i="4"/>
  <c r="AC61" i="4" s="1"/>
  <c r="AB60" i="4"/>
  <c r="AC60" i="4" s="1"/>
  <c r="W42" i="4"/>
  <c r="AC40" i="4"/>
  <c r="U40" i="4"/>
  <c r="Y35" i="4"/>
  <c r="W33" i="4"/>
  <c r="AC30" i="4"/>
  <c r="U30" i="4"/>
  <c r="AI28" i="4"/>
  <c r="W28" i="4"/>
  <c r="AI43" i="4"/>
  <c r="S43" i="4"/>
  <c r="W39" i="4"/>
  <c r="AC36" i="4"/>
  <c r="U36" i="4"/>
  <c r="AI34" i="4"/>
  <c r="S34" i="4"/>
  <c r="W29" i="4"/>
  <c r="AC42" i="4"/>
  <c r="U42" i="4"/>
  <c r="AI40" i="4"/>
  <c r="S40" i="4"/>
  <c r="W35" i="4"/>
  <c r="AC33" i="4"/>
  <c r="U33" i="4"/>
  <c r="AI30" i="4"/>
  <c r="S30" i="4"/>
  <c r="W41" i="4"/>
  <c r="AC39" i="4"/>
  <c r="U39" i="4"/>
  <c r="AI36" i="4"/>
  <c r="S36" i="4"/>
  <c r="W31" i="4"/>
  <c r="AC29" i="4"/>
  <c r="U29" i="4"/>
  <c r="S28" i="4"/>
  <c r="Z15" i="514"/>
  <c r="J71" i="514"/>
  <c r="J91" i="514" s="1"/>
  <c r="K91" i="514"/>
  <c r="O15" i="514"/>
  <c r="O34" i="514" s="1"/>
  <c r="P73" i="514"/>
  <c r="P34" i="514"/>
  <c r="S73" i="514"/>
  <c r="S93" i="514" s="1"/>
  <c r="I37" i="514"/>
  <c r="G18" i="514"/>
  <c r="G37" i="514" s="1"/>
  <c r="AC33" i="514"/>
  <c r="AC72" i="514"/>
  <c r="AC92" i="514" s="1"/>
  <c r="N73" i="514"/>
  <c r="N93" i="514" s="1"/>
  <c r="N34" i="514"/>
  <c r="AB15" i="514"/>
  <c r="AB71" i="514"/>
  <c r="AB91" i="514" s="1"/>
  <c r="AB32" i="514"/>
  <c r="Z69" i="514"/>
  <c r="Z89" i="514" s="1"/>
  <c r="Z30" i="514"/>
  <c r="R73" i="514"/>
  <c r="R93" i="514" s="1"/>
  <c r="R34" i="514"/>
  <c r="AA73" i="514"/>
  <c r="AA93" i="514" s="1"/>
  <c r="AA34" i="514"/>
  <c r="X73" i="514"/>
  <c r="X93" i="514" s="1"/>
  <c r="X34" i="514"/>
  <c r="K34" i="514"/>
  <c r="J15" i="514"/>
  <c r="J34" i="514" s="1"/>
  <c r="K73" i="514"/>
  <c r="G15" i="514"/>
  <c r="G34" i="514" s="1"/>
  <c r="H73" i="514"/>
  <c r="H34" i="514"/>
  <c r="Z33" i="514"/>
  <c r="Z72" i="514"/>
  <c r="Z92" i="514" s="1"/>
  <c r="T93" i="514"/>
  <c r="U73" i="514"/>
  <c r="U93" i="514" s="1"/>
  <c r="F69" i="514"/>
  <c r="F89" i="514" s="1"/>
  <c r="X68" i="514"/>
  <c r="X88" i="514" s="1"/>
  <c r="O68" i="514"/>
  <c r="O88" i="514" s="1"/>
  <c r="G68" i="514"/>
  <c r="G88" i="514" s="1"/>
  <c r="J67" i="514"/>
  <c r="J87" i="514" s="1"/>
  <c r="P37" i="514"/>
  <c r="X31" i="514"/>
  <c r="AC18" i="514"/>
  <c r="AC37" i="514" s="1"/>
  <c r="S18" i="514"/>
  <c r="S37" i="514" s="1"/>
  <c r="S15" i="514"/>
  <c r="S34" i="514" s="1"/>
  <c r="S14" i="514"/>
  <c r="T33" i="514"/>
  <c r="AC11" i="514"/>
  <c r="AF3" i="5"/>
  <c r="AH3" i="5" s="1"/>
  <c r="AG3" i="5"/>
  <c r="AB30" i="514"/>
  <c r="AB9" i="514"/>
  <c r="AA9" i="514"/>
  <c r="Y9" i="514"/>
  <c r="W9" i="514"/>
  <c r="U28" i="514"/>
  <c r="R62" i="4"/>
  <c r="S62" i="4" s="1"/>
  <c r="AC13" i="514"/>
  <c r="F13" i="514"/>
  <c r="F32" i="514" s="1"/>
  <c r="AC12" i="514"/>
  <c r="F12" i="514"/>
  <c r="F31" i="514" s="1"/>
  <c r="S71" i="514"/>
  <c r="S91" i="514" s="1"/>
  <c r="Z70" i="514"/>
  <c r="Z90" i="514" s="1"/>
  <c r="M33" i="514"/>
  <c r="R60" i="4"/>
  <c r="S60" i="4" s="1"/>
  <c r="AF2" i="5"/>
  <c r="AH2" i="5" s="1"/>
  <c r="AI2" i="5" s="1"/>
  <c r="AG2" i="5"/>
  <c r="S72" i="514"/>
  <c r="S92" i="514" s="1"/>
  <c r="K90" i="514"/>
  <c r="L92" i="514"/>
  <c r="O67" i="514"/>
  <c r="O87" i="514" s="1"/>
  <c r="AA14" i="514"/>
  <c r="Z13" i="514"/>
  <c r="Y12" i="514"/>
  <c r="X11" i="514"/>
  <c r="AB10" i="514"/>
  <c r="AA10" i="514"/>
  <c r="Y10" i="514"/>
  <c r="W10" i="514"/>
  <c r="S13" i="514"/>
  <c r="AC10" i="514"/>
  <c r="X14" i="514"/>
  <c r="Y13" i="514"/>
  <c r="AA11" i="514"/>
  <c r="W11" i="514"/>
  <c r="Z10" i="514"/>
  <c r="J13" i="514"/>
  <c r="J32" i="514" s="1"/>
  <c r="K32" i="514"/>
  <c r="C93" i="514"/>
  <c r="AA70" i="514"/>
  <c r="AA90" i="514" s="1"/>
  <c r="H87" i="514"/>
  <c r="G72" i="514"/>
  <c r="G92" i="514" s="1"/>
  <c r="Q70" i="514"/>
  <c r="AB14" i="514"/>
  <c r="Y14" i="514"/>
  <c r="W14" i="514"/>
  <c r="X13" i="514"/>
  <c r="AB12" i="514"/>
  <c r="W12" i="514"/>
  <c r="C92" i="514"/>
  <c r="O72" i="514"/>
  <c r="O92" i="514" s="1"/>
  <c r="J69" i="514"/>
  <c r="J89" i="514" s="1"/>
  <c r="S68" i="514"/>
  <c r="S88" i="514" s="1"/>
  <c r="J12" i="514"/>
  <c r="J31" i="514" s="1"/>
  <c r="Y15" i="514"/>
  <c r="AA13" i="514"/>
  <c r="AQ34" i="514"/>
  <c r="W32" i="514"/>
  <c r="Z9" i="514"/>
  <c r="X9" i="514"/>
  <c r="M31" i="4"/>
  <c r="N31" i="4" s="1"/>
  <c r="AF60" i="4"/>
  <c r="U67" i="514"/>
  <c r="AI34" i="514"/>
  <c r="AC15" i="514" s="1"/>
  <c r="Y69" i="514"/>
  <c r="Y89" i="514" s="1"/>
  <c r="F67" i="514"/>
  <c r="F87" i="514" s="1"/>
  <c r="Q31" i="514"/>
  <c r="R63" i="4"/>
  <c r="S63" i="4" s="1"/>
  <c r="G10" i="514"/>
  <c r="G29" i="514" s="1"/>
  <c r="R61" i="4"/>
  <c r="S61" i="4" s="1"/>
  <c r="O43" i="4"/>
  <c r="O10" i="514"/>
  <c r="O29" i="514" s="1"/>
  <c r="O34" i="4"/>
  <c r="O63" i="4" s="1"/>
  <c r="Q63" i="4" s="1"/>
  <c r="F10" i="514"/>
  <c r="F29" i="514" s="1"/>
  <c r="K39" i="4"/>
  <c r="B4" i="5"/>
  <c r="B5" i="5"/>
  <c r="H1" i="5"/>
  <c r="I1" i="5" s="1"/>
  <c r="J1" i="5" s="1"/>
  <c r="K1" i="5" s="1"/>
  <c r="L1" i="5" s="1"/>
  <c r="M1" i="5" s="1"/>
  <c r="N1" i="5" s="1"/>
  <c r="O1" i="5" s="1"/>
  <c r="P1" i="5" s="1"/>
  <c r="B3" i="5"/>
  <c r="B6" i="5"/>
  <c r="B2" i="5"/>
  <c r="S10" i="514"/>
  <c r="S29" i="514" s="1"/>
  <c r="L29" i="4"/>
  <c r="K33" i="4"/>
  <c r="L39" i="4"/>
  <c r="M39" i="4" s="1"/>
  <c r="N39" i="4" s="1"/>
  <c r="K42" i="4"/>
  <c r="L49" i="4"/>
  <c r="N49" i="4" s="1"/>
  <c r="K28" i="4"/>
  <c r="O31" i="4"/>
  <c r="O62" i="4" s="1"/>
  <c r="Q62" i="4" s="1"/>
  <c r="L33" i="4"/>
  <c r="M33" i="4" s="1"/>
  <c r="N33" i="4" s="1"/>
  <c r="K36" i="4"/>
  <c r="O41" i="4"/>
  <c r="L42" i="4"/>
  <c r="M42" i="4" s="1"/>
  <c r="N42" i="4" s="1"/>
  <c r="K63" i="4"/>
  <c r="L28" i="4"/>
  <c r="M28" i="4" s="1"/>
  <c r="N28" i="4" s="1"/>
  <c r="K30" i="4"/>
  <c r="O35" i="4"/>
  <c r="L36" i="4"/>
  <c r="M36" i="4" s="1"/>
  <c r="N36" i="4" s="1"/>
  <c r="K40" i="4"/>
  <c r="O49" i="4"/>
  <c r="Q49" i="4" s="1"/>
  <c r="K62" i="4"/>
  <c r="O29" i="4"/>
  <c r="L30" i="4"/>
  <c r="M30" i="4" s="1"/>
  <c r="N30" i="4" s="1"/>
  <c r="K34" i="4"/>
  <c r="O39" i="4"/>
  <c r="L40" i="4"/>
  <c r="M40" i="4" s="1"/>
  <c r="N40" i="4" s="1"/>
  <c r="K43" i="4"/>
  <c r="K61" i="4"/>
  <c r="O33" i="4"/>
  <c r="L34" i="4"/>
  <c r="M34" i="4" s="1"/>
  <c r="N34" i="4" s="1"/>
  <c r="O42" i="4"/>
  <c r="L43" i="4"/>
  <c r="M43" i="4" s="1"/>
  <c r="N43" i="4" s="1"/>
  <c r="K60" i="4"/>
  <c r="O28" i="4"/>
  <c r="O61" i="4" s="1"/>
  <c r="Q61" i="4" s="1"/>
  <c r="K31" i="4"/>
  <c r="O36" i="4"/>
  <c r="K41" i="4"/>
  <c r="F14" i="514"/>
  <c r="F33" i="514" s="1"/>
  <c r="J10" i="514"/>
  <c r="J29" i="514" s="1"/>
  <c r="AC9" i="514"/>
  <c r="F9" i="514"/>
  <c r="F28" i="514" s="1"/>
  <c r="O60" i="4"/>
  <c r="Q60" i="4" s="1"/>
  <c r="K29" i="4"/>
  <c r="P11" i="6"/>
  <c r="H11" i="6"/>
  <c r="O11" i="6"/>
  <c r="G11" i="6"/>
  <c r="N11" i="6"/>
  <c r="F11" i="6"/>
  <c r="M11" i="6"/>
  <c r="E11" i="6"/>
  <c r="L11" i="6"/>
  <c r="D11" i="6"/>
  <c r="K11" i="6"/>
  <c r="AF31" i="4"/>
  <c r="AJ41" i="4"/>
  <c r="AJ31" i="4"/>
  <c r="AJ35" i="4"/>
  <c r="AJ28" i="4"/>
  <c r="AJ43" i="4"/>
  <c r="AJ34" i="4"/>
  <c r="AJ40" i="4"/>
  <c r="AJ30" i="4"/>
  <c r="AJ36" i="4"/>
  <c r="AJ49" i="4"/>
  <c r="AJ42" i="4"/>
  <c r="AJ33" i="4"/>
  <c r="G23" i="4"/>
  <c r="AJ39" i="4"/>
  <c r="AJ29" i="4"/>
  <c r="AD31" i="4"/>
  <c r="AD33" i="4"/>
  <c r="P24" i="4"/>
  <c r="AF41" i="4"/>
  <c r="AD41" i="4"/>
  <c r="AD42" i="4"/>
  <c r="AF35" i="4"/>
  <c r="AD23" i="4"/>
  <c r="AD36" i="4"/>
  <c r="X28" i="4"/>
  <c r="Z49" i="4"/>
  <c r="Z40" i="4"/>
  <c r="Z43" i="4"/>
  <c r="Z35" i="4"/>
  <c r="X33" i="4"/>
  <c r="AF24" i="4"/>
  <c r="AD28" i="4"/>
  <c r="AD30" i="4"/>
  <c r="Z30" i="4"/>
  <c r="X41" i="4"/>
  <c r="AF34" i="4"/>
  <c r="AF29" i="4"/>
  <c r="AD35" i="4"/>
  <c r="AD40" i="4"/>
  <c r="Z24" i="4"/>
  <c r="X29" i="4"/>
  <c r="Z34" i="4"/>
  <c r="X42" i="4"/>
  <c r="X43" i="4"/>
  <c r="X34" i="4"/>
  <c r="X49" i="4"/>
  <c r="P23" i="4"/>
  <c r="P42" i="4"/>
  <c r="AF43" i="4"/>
  <c r="AF39" i="4"/>
  <c r="AD29" i="4"/>
  <c r="AD49" i="4"/>
  <c r="P31" i="4"/>
  <c r="P30" i="4"/>
  <c r="AF23" i="4"/>
  <c r="AF33" i="4"/>
  <c r="AD39" i="4"/>
  <c r="X31" i="4"/>
  <c r="P41" i="4"/>
  <c r="P36" i="4"/>
  <c r="AF28" i="4"/>
  <c r="AF42" i="4"/>
  <c r="AD24" i="4"/>
  <c r="P33" i="4"/>
  <c r="P43" i="4"/>
  <c r="P39" i="4"/>
  <c r="P34" i="4"/>
  <c r="P29" i="4"/>
  <c r="P28" i="4"/>
  <c r="P40" i="4"/>
  <c r="P35" i="4"/>
  <c r="Q35" i="4" l="1"/>
  <c r="Q40" i="4"/>
  <c r="Q28" i="4"/>
  <c r="Q29" i="4"/>
  <c r="Q34" i="4"/>
  <c r="Q39" i="4"/>
  <c r="Q43" i="4"/>
  <c r="Q33" i="4"/>
  <c r="AG42" i="4"/>
  <c r="AF61" i="4"/>
  <c r="Q36" i="4"/>
  <c r="Q41" i="4"/>
  <c r="Y31" i="4"/>
  <c r="AE39" i="4"/>
  <c r="AG33" i="4"/>
  <c r="Q30" i="4"/>
  <c r="Q31" i="4"/>
  <c r="AD63" i="4"/>
  <c r="AD62" i="4"/>
  <c r="AD61" i="4"/>
  <c r="AD60" i="4"/>
  <c r="AE29" i="4"/>
  <c r="AG39" i="4"/>
  <c r="AG43" i="4"/>
  <c r="Q42" i="4"/>
  <c r="X63" i="4"/>
  <c r="X62" i="4"/>
  <c r="X61" i="4"/>
  <c r="X60" i="4"/>
  <c r="Y34" i="4"/>
  <c r="Y43" i="4"/>
  <c r="Y42" i="4"/>
  <c r="AA34" i="4"/>
  <c r="Y29" i="4"/>
  <c r="AE40" i="4"/>
  <c r="AE35" i="4"/>
  <c r="AG29" i="4"/>
  <c r="AG34" i="4"/>
  <c r="Y41" i="4"/>
  <c r="AA30" i="4"/>
  <c r="AE30" i="4"/>
  <c r="Y33" i="4"/>
  <c r="AA35" i="4"/>
  <c r="AA43" i="4"/>
  <c r="AA40" i="4"/>
  <c r="Z63" i="4"/>
  <c r="Z62" i="4"/>
  <c r="Z61" i="4"/>
  <c r="Z60" i="4"/>
  <c r="AE36" i="4"/>
  <c r="AG35" i="4"/>
  <c r="AE42" i="4"/>
  <c r="AE41" i="4"/>
  <c r="AG41" i="4"/>
  <c r="AE33" i="4"/>
  <c r="AE31" i="4"/>
  <c r="AG31" i="4"/>
  <c r="AC34" i="514"/>
  <c r="AC73" i="514"/>
  <c r="AC93" i="514" s="1"/>
  <c r="X28" i="514"/>
  <c r="X67" i="514"/>
  <c r="X87" i="514" s="1"/>
  <c r="AB33" i="514"/>
  <c r="AB72" i="514"/>
  <c r="AB92" i="514" s="1"/>
  <c r="Z68" i="514"/>
  <c r="Z88" i="514" s="1"/>
  <c r="Z29" i="514"/>
  <c r="W68" i="514"/>
  <c r="W88" i="514" s="1"/>
  <c r="W29" i="514"/>
  <c r="W28" i="514"/>
  <c r="W67" i="514"/>
  <c r="W87" i="514" s="1"/>
  <c r="M29" i="4"/>
  <c r="N29" i="4" s="1"/>
  <c r="B7" i="5"/>
  <c r="Z28" i="514"/>
  <c r="Z67" i="514"/>
  <c r="Z87" i="514" s="1"/>
  <c r="O70" i="514"/>
  <c r="O90" i="514" s="1"/>
  <c r="Q90" i="514"/>
  <c r="W30" i="514"/>
  <c r="W69" i="514"/>
  <c r="W89" i="514" s="1"/>
  <c r="Y68" i="514"/>
  <c r="Y88" i="514" s="1"/>
  <c r="Y29" i="514"/>
  <c r="Y28" i="514"/>
  <c r="Y67" i="514"/>
  <c r="Y87" i="514" s="1"/>
  <c r="AB73" i="514"/>
  <c r="AB93" i="514" s="1"/>
  <c r="AB34" i="514"/>
  <c r="AA69" i="514"/>
  <c r="AA89" i="514" s="1"/>
  <c r="AA30" i="514"/>
  <c r="AA68" i="514"/>
  <c r="AA88" i="514" s="1"/>
  <c r="AA29" i="514"/>
  <c r="AA28" i="514"/>
  <c r="AA67" i="514"/>
  <c r="AA87" i="514" s="1"/>
  <c r="AF63" i="4"/>
  <c r="S33" i="514"/>
  <c r="G73" i="514"/>
  <c r="G93" i="514" s="1"/>
  <c r="H93" i="514"/>
  <c r="O73" i="514"/>
  <c r="O93" i="514" s="1"/>
  <c r="P93" i="514"/>
  <c r="S67" i="514"/>
  <c r="S87" i="514" s="1"/>
  <c r="U87" i="514"/>
  <c r="W70" i="514"/>
  <c r="W90" i="514" s="1"/>
  <c r="W31" i="514"/>
  <c r="Y32" i="514"/>
  <c r="Y71" i="514"/>
  <c r="Y91" i="514" s="1"/>
  <c r="AB68" i="514"/>
  <c r="AB88" i="514" s="1"/>
  <c r="AB29" i="514"/>
  <c r="AC70" i="514"/>
  <c r="AC90" i="514" s="1"/>
  <c r="AC31" i="514"/>
  <c r="AB67" i="514"/>
  <c r="AB87" i="514" s="1"/>
  <c r="AB28" i="514"/>
  <c r="AA32" i="514"/>
  <c r="AA71" i="514"/>
  <c r="AA91" i="514" s="1"/>
  <c r="AB31" i="514"/>
  <c r="AB70" i="514"/>
  <c r="AB90" i="514" s="1"/>
  <c r="X72" i="514"/>
  <c r="X92" i="514" s="1"/>
  <c r="X33" i="514"/>
  <c r="X69" i="514"/>
  <c r="X89" i="514" s="1"/>
  <c r="X30" i="514"/>
  <c r="J73" i="514"/>
  <c r="J93" i="514" s="1"/>
  <c r="K93" i="514"/>
  <c r="AC67" i="514"/>
  <c r="AC87" i="514" s="1"/>
  <c r="AC28" i="514"/>
  <c r="M35" i="4"/>
  <c r="N35" i="4" s="1"/>
  <c r="Y73" i="514"/>
  <c r="Y93" i="514" s="1"/>
  <c r="Y34" i="514"/>
  <c r="X32" i="514"/>
  <c r="X71" i="514"/>
  <c r="X91" i="514" s="1"/>
  <c r="W15" i="514"/>
  <c r="Y31" i="514"/>
  <c r="Y70" i="514"/>
  <c r="Y90" i="514" s="1"/>
  <c r="M41" i="4"/>
  <c r="N41" i="4" s="1"/>
  <c r="AC32" i="514"/>
  <c r="AC71" i="514"/>
  <c r="AC91" i="514" s="1"/>
  <c r="W72" i="514"/>
  <c r="W92" i="514" s="1"/>
  <c r="W33" i="514"/>
  <c r="AC29" i="514"/>
  <c r="AC68" i="514"/>
  <c r="AC88" i="514" s="1"/>
  <c r="Z71" i="514"/>
  <c r="Z91" i="514" s="1"/>
  <c r="Z32" i="514"/>
  <c r="Z73" i="514"/>
  <c r="Z93" i="514" s="1"/>
  <c r="Z34" i="514"/>
  <c r="Y72" i="514"/>
  <c r="Y92" i="514" s="1"/>
  <c r="Y33" i="514"/>
  <c r="AF62" i="4"/>
  <c r="S32" i="514"/>
  <c r="AA33" i="514"/>
  <c r="AA72" i="514"/>
  <c r="AA92" i="514" s="1"/>
  <c r="AC69" i="514"/>
  <c r="AC89" i="514" s="1"/>
  <c r="AC30" i="514"/>
  <c r="W73" i="514" l="1"/>
  <c r="W93" i="514" s="1"/>
  <c r="W34" i="514"/>
</calcChain>
</file>

<file path=xl/comments1.xml><?xml version="1.0" encoding="utf-8"?>
<comments xmlns="http://schemas.openxmlformats.org/spreadsheetml/2006/main">
  <authors>
    <author>gmonroy</author>
  </authors>
  <commentList>
    <comment ref="E2" authorId="0" shapeId="0">
      <text>
        <r>
          <rPr>
            <b/>
            <sz val="8"/>
            <color indexed="81"/>
            <rFont val="Tahoma"/>
          </rPr>
          <t>gmonroy:</t>
        </r>
        <r>
          <rPr>
            <sz val="8"/>
            <color indexed="81"/>
            <rFont val="Tahoma"/>
          </rPr>
          <t xml:space="preserve">
Change this everyday</t>
        </r>
      </text>
    </comment>
  </commentList>
</comments>
</file>

<file path=xl/comments2.xml><?xml version="1.0" encoding="utf-8"?>
<comments xmlns="http://schemas.openxmlformats.org/spreadsheetml/2006/main">
  <authors>
    <author>gmonroy</author>
    <author>rrodri2</author>
  </authors>
  <commentList>
    <comment ref="B5" authorId="0" shapeId="0">
      <text>
        <r>
          <rPr>
            <b/>
            <sz val="8"/>
            <color indexed="81"/>
            <rFont val="Tahoma"/>
          </rPr>
          <t>gmonroy:</t>
        </r>
        <r>
          <rPr>
            <sz val="8"/>
            <color indexed="81"/>
            <rFont val="Tahoma"/>
          </rPr>
          <t xml:space="preserve">
Change this everyday</t>
        </r>
      </text>
    </comment>
    <comment ref="E33" authorId="1" shapeId="0">
      <text>
        <r>
          <rPr>
            <b/>
            <sz val="8"/>
            <color indexed="81"/>
            <rFont val="Tahoma"/>
          </rPr>
          <t>rrodri2:</t>
        </r>
        <r>
          <rPr>
            <sz val="8"/>
            <color indexed="81"/>
            <rFont val="Tahoma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<sst xmlns="http://schemas.openxmlformats.org/spreadsheetml/2006/main" count="434" uniqueCount="183">
  <si>
    <t>IF-NGPL/MIDCON</t>
  </si>
  <si>
    <t>Basis</t>
  </si>
  <si>
    <t>Effective Date</t>
  </si>
  <si>
    <t>Prompt Month</t>
  </si>
  <si>
    <t>Curve Code</t>
  </si>
  <si>
    <t>Curve Type</t>
  </si>
  <si>
    <t>PR</t>
  </si>
  <si>
    <t>Book Code 1</t>
  </si>
  <si>
    <t>M</t>
  </si>
  <si>
    <t>D</t>
  </si>
  <si>
    <t>Cell Location</t>
  </si>
  <si>
    <t>d8</t>
  </si>
  <si>
    <t>f8</t>
  </si>
  <si>
    <t>g8</t>
  </si>
  <si>
    <t>h8</t>
  </si>
  <si>
    <t>i8</t>
  </si>
  <si>
    <t>j8</t>
  </si>
  <si>
    <t>k8</t>
  </si>
  <si>
    <t>l8</t>
  </si>
  <si>
    <t>m8</t>
  </si>
  <si>
    <t>n8</t>
  </si>
  <si>
    <t>o8</t>
  </si>
  <si>
    <t>p8</t>
  </si>
  <si>
    <t>q8</t>
  </si>
  <si>
    <t>r8</t>
  </si>
  <si>
    <t>s8</t>
  </si>
  <si>
    <t>t8</t>
  </si>
  <si>
    <t>u8</t>
  </si>
  <si>
    <t>v8</t>
  </si>
  <si>
    <t>w8</t>
  </si>
  <si>
    <t>x8</t>
  </si>
  <si>
    <t>y8</t>
  </si>
  <si>
    <t>User ID:</t>
  </si>
  <si>
    <t>mbennet_pc</t>
  </si>
  <si>
    <t>Please enter a valid User ID for ERMS/RUNM</t>
  </si>
  <si>
    <t>Password:</t>
  </si>
  <si>
    <t>Please enter the Password for the User ID</t>
  </si>
  <si>
    <t>Database:</t>
  </si>
  <si>
    <t>egsprod</t>
  </si>
  <si>
    <t>Database into which the curves will be loaded (ex: egsprod = ERMS Prod, egstest = ERMS Test, etc.)</t>
  </si>
  <si>
    <t>Effective Dt:</t>
  </si>
  <si>
    <t>Enter today's Effective Dt</t>
  </si>
  <si>
    <t>NG</t>
  </si>
  <si>
    <t>P</t>
  </si>
  <si>
    <t>NGI-PGE/CG</t>
  </si>
  <si>
    <t>NGI-MALIN</t>
  </si>
  <si>
    <t>NGI-SOCAL</t>
  </si>
  <si>
    <t>IF-ELPO/SJ</t>
  </si>
  <si>
    <t>IF-HEHUB</t>
  </si>
  <si>
    <t>Intra-Month</t>
  </si>
  <si>
    <t>SAN JUAN</t>
  </si>
  <si>
    <t>SUMAS</t>
  </si>
  <si>
    <t>z8</t>
  </si>
  <si>
    <t>aa8</t>
  </si>
  <si>
    <t>CGPR-AECO/BASIS</t>
  </si>
  <si>
    <t>IF-NWPL_ROCKY_M</t>
  </si>
  <si>
    <t>IF-NTHWST/CANBR</t>
  </si>
  <si>
    <t>Date Start</t>
  </si>
  <si>
    <t>Date End</t>
  </si>
  <si>
    <t>BasisCurves</t>
  </si>
  <si>
    <t>CurveFetch</t>
  </si>
  <si>
    <t>IntraMonth Month</t>
  </si>
  <si>
    <t>Sheet Name</t>
  </si>
  <si>
    <t>B</t>
  </si>
  <si>
    <t>IntraMonth</t>
  </si>
  <si>
    <t>Row Num for CurveName</t>
  </si>
  <si>
    <t>Column Letter for Date</t>
  </si>
  <si>
    <t>IntraMonth Match</t>
  </si>
  <si>
    <t>Basis Match</t>
  </si>
  <si>
    <t>IntraMonth Hub Curve</t>
  </si>
  <si>
    <t>WEST REGION BASIS NOTIONAL</t>
  </si>
  <si>
    <t>ab8</t>
  </si>
  <si>
    <t>ac8</t>
  </si>
  <si>
    <t>ad8</t>
  </si>
  <si>
    <t>ae8</t>
  </si>
  <si>
    <t>Gas Trading</t>
  </si>
  <si>
    <t>Ontario Region Notional</t>
  </si>
  <si>
    <t>Central Region Notional</t>
  </si>
  <si>
    <t>East &amp; Texas Region Notional</t>
  </si>
  <si>
    <t>Basis Curves</t>
  </si>
  <si>
    <t>AECO</t>
  </si>
  <si>
    <t>Nymex</t>
  </si>
  <si>
    <t>AS OF</t>
  </si>
  <si>
    <t>Spread</t>
  </si>
  <si>
    <t>Last-Day</t>
  </si>
  <si>
    <t>Cash Settle</t>
  </si>
  <si>
    <t>Cash</t>
  </si>
  <si>
    <t>Nov-01/Mar-02</t>
  </si>
  <si>
    <t>Change</t>
  </si>
  <si>
    <t>WAHA</t>
  </si>
  <si>
    <t>IF-WAHA-TX</t>
  </si>
  <si>
    <t>aF8</t>
  </si>
  <si>
    <t>aG8</t>
  </si>
  <si>
    <t>Summer 2002</t>
  </si>
  <si>
    <t>Apr-02/Oct-02</t>
  </si>
  <si>
    <t>aH8</t>
  </si>
  <si>
    <t>F</t>
  </si>
  <si>
    <t>FX</t>
  </si>
  <si>
    <t>aI8</t>
  </si>
  <si>
    <t>NGPL/MIDCON</t>
  </si>
  <si>
    <t>CIG</t>
  </si>
  <si>
    <t>OPAL</t>
  </si>
  <si>
    <t>STANFIELD</t>
  </si>
  <si>
    <t>NW-STANFIELD</t>
  </si>
  <si>
    <t>IF-NWPL/CNBR-US</t>
  </si>
  <si>
    <t>NGI-PGE/TOPOCK</t>
  </si>
  <si>
    <t>ELPO/PERMIAN</t>
  </si>
  <si>
    <t>IF-ELPO/PERMIAN</t>
  </si>
  <si>
    <t>CGPR-AECO/USIM</t>
  </si>
  <si>
    <t>Northwest Region Notional</t>
  </si>
  <si>
    <t>Southwest Region Notional</t>
  </si>
  <si>
    <t>Daily Procedures</t>
  </si>
  <si>
    <t>1. Save the file with today's date.</t>
  </si>
  <si>
    <t xml:space="preserve">2. Replace the link to yesterday's file.  </t>
  </si>
  <si>
    <t>( Edit - Links.. - Highlight "West Prices xxxx" - Click Change Source… - Highlight "West Prices" with yesterday's date)</t>
  </si>
  <si>
    <t>3. Change date on the "Curve Fetch" tab in the green cell</t>
  </si>
  <si>
    <t>4. Fetch curves on "CurveFetch" and "BasisCurves"</t>
  </si>
  <si>
    <t>5. Tie out prices and price changes</t>
  </si>
  <si>
    <t>EOM Procedures</t>
  </si>
  <si>
    <t>1. On last trading day of the month, the file must be rolled for next month.</t>
  </si>
  <si>
    <t>3. Unhide all rows and columns on the "Gas Avg Basis" tab.</t>
  </si>
  <si>
    <t>4. Change cells F24 and F25 to reflect the first and last day of the current Intramonth.</t>
  </si>
  <si>
    <t>2. Save the 2nd to last day file, and name it "west prices xxxROLL"</t>
  </si>
  <si>
    <t>Winter 2001-02</t>
  </si>
  <si>
    <t>Nov-02/Mar-03</t>
  </si>
  <si>
    <t>Winter 2002-03</t>
  </si>
  <si>
    <t>6. Unmerge all cells on the page.</t>
  </si>
  <si>
    <t>5. Change cell Q25 to show the prompt month date.</t>
  </si>
  <si>
    <t>8. Remerge cells.</t>
  </si>
  <si>
    <t>7. Rehide rows and columns.</t>
  </si>
  <si>
    <t>9. Do daily roll procedure from "West Prices xxxxROLL"</t>
  </si>
  <si>
    <t>Price</t>
  </si>
  <si>
    <t>BOM</t>
  </si>
  <si>
    <t>Q4</t>
  </si>
  <si>
    <t>Q1</t>
  </si>
  <si>
    <t>Q2</t>
  </si>
  <si>
    <t>Q3</t>
  </si>
  <si>
    <t>MID-COLUMBIA</t>
  </si>
  <si>
    <t>COB</t>
  </si>
  <si>
    <t>NP15</t>
  </si>
  <si>
    <t>ZP26</t>
  </si>
  <si>
    <t>SP15</t>
  </si>
  <si>
    <t>Palo Verde</t>
  </si>
  <si>
    <t>Mead</t>
  </si>
  <si>
    <t>PALO VERDE</t>
  </si>
  <si>
    <t>California Region Notional</t>
  </si>
  <si>
    <t>WEST NATURAL GAS PRICES</t>
  </si>
  <si>
    <t>IF-CIG/RKYMTN</t>
  </si>
  <si>
    <t>Report Date</t>
  </si>
  <si>
    <t>Peak Prices</t>
  </si>
  <si>
    <t>M:\Genco\Position\spread position 16 hr.xls</t>
  </si>
  <si>
    <t>M:\common\power\riskmgmt\lcra\lcra_newexotica.xls</t>
  </si>
  <si>
    <t>West Peak Prices</t>
  </si>
  <si>
    <t>Oct 01</t>
  </si>
  <si>
    <t>Nov 01</t>
  </si>
  <si>
    <t>Dec 01</t>
  </si>
  <si>
    <t>2001 Total</t>
  </si>
  <si>
    <t>Jan-Feb '02</t>
  </si>
  <si>
    <t>Mar-Apr '02</t>
  </si>
  <si>
    <t>Jul-Aug '02</t>
  </si>
  <si>
    <t>Oct-Dec '02</t>
  </si>
  <si>
    <t>2002</t>
  </si>
  <si>
    <t>2003</t>
  </si>
  <si>
    <t>2004</t>
  </si>
  <si>
    <t>2005</t>
  </si>
  <si>
    <t>2006-2009</t>
  </si>
  <si>
    <t>&gt; =2010</t>
  </si>
  <si>
    <t>Total Avg Peak</t>
  </si>
  <si>
    <t>TenMinSpin</t>
  </si>
  <si>
    <t>OpRes</t>
  </si>
  <si>
    <t>NEPOOLU</t>
  </si>
  <si>
    <t>NEPOOL</t>
  </si>
  <si>
    <t>Alberta Peak Prices</t>
  </si>
  <si>
    <t>ALBERTA</t>
  </si>
  <si>
    <t>NYPP</t>
  </si>
  <si>
    <t>West Heat Rates</t>
  </si>
  <si>
    <t xml:space="preserve"> </t>
  </si>
  <si>
    <t>SPARK SPREADS*</t>
  </si>
  <si>
    <t>* Calculated according to power prices from 'PowerPrices' tab (usually only as current as prior day) less O &amp; M expense of $2.00.  Gas prices are as follows:</t>
  </si>
  <si>
    <t>SP= Socal plus .33</t>
  </si>
  <si>
    <t>PV= Permian plus .12</t>
  </si>
  <si>
    <t>NP= PGE plus .20</t>
  </si>
  <si>
    <t>Mid-C= Malin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</si>
</sst>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4">
    <numFmt numFmtId="43" formatCode="_(* #,##0.00_);_(* \(#,##0.00\);_(* &quot;-&quot;??_);_(@_)"/>
    <numFmt numFmtId="164" formatCode="0.000"/>
    <numFmt numFmtId="165" formatCode="m/d/yyyy\ h:mm:ss"/>
    <numFmt numFmtId="166" formatCode="0.0000"/>
    <numFmt numFmtId="167" formatCode="mmm\-dd\-yy"/>
    <numFmt numFmtId="168" formatCode="0.0000_);[Red]\(0.0000\)"/>
    <numFmt numFmtId="169" formatCode="mm\-dd\-yyyy"/>
    <numFmt numFmtId="170" formatCode="#,##0.0000_);[Red]\(#,##0.0000\)"/>
    <numFmt numFmtId="171" formatCode="&quot;$&quot;#,##0.0000;[Red]\-&quot;$&quot;#,##0.0000"/>
    <numFmt numFmtId="172" formatCode="#,##0.00000000000000000000_);[Red]\(#,##0.00000000000000000000\)"/>
    <numFmt numFmtId="178" formatCode="#,##0.0000"/>
    <numFmt numFmtId="179" formatCode="dd\-mmm\-yyyy"/>
    <numFmt numFmtId="180" formatCode="&quot;Effective Date: &quot;\ dd\-mmm\-yyyy"/>
    <numFmt numFmtId="181" formatCode="_(* #,##0_);_(* \(#,##0\);_(* &quot;-&quot;??_);_(@_)"/>
  </numFmts>
  <fonts count="26" x14ac:knownFonts="1">
    <font>
      <sz val="10"/>
      <name val="Arial"/>
    </font>
    <font>
      <sz val="10"/>
      <name val="Arial"/>
    </font>
    <font>
      <sz val="10"/>
      <name val="Times New Roman"/>
      <family val="1"/>
    </font>
    <font>
      <sz val="10"/>
      <name val="MS Sans Serif"/>
    </font>
    <font>
      <sz val="10"/>
      <name val="Arial"/>
    </font>
    <font>
      <sz val="10"/>
      <name val="Arial"/>
    </font>
    <font>
      <sz val="9"/>
      <name val="Times New Roman"/>
      <family val="1"/>
    </font>
    <font>
      <b/>
      <sz val="9"/>
      <name val="Times New Roman"/>
      <family val="1"/>
    </font>
    <font>
      <sz val="10"/>
      <name val="Arial"/>
      <family val="2"/>
    </font>
    <font>
      <sz val="8"/>
      <name val="Arial Narrow"/>
      <family val="2"/>
    </font>
    <font>
      <sz val="8"/>
      <color indexed="55"/>
      <name val="Arial Narrow"/>
      <family val="2"/>
    </font>
    <font>
      <b/>
      <sz val="8"/>
      <name val="Arial Narrow"/>
      <family val="2"/>
    </font>
    <font>
      <sz val="8"/>
      <color indexed="12"/>
      <name val="Arial Narrow"/>
      <family val="2"/>
    </font>
    <font>
      <b/>
      <sz val="8"/>
      <color indexed="55"/>
      <name val="Arial Narrow"/>
      <family val="2"/>
    </font>
    <font>
      <sz val="8"/>
      <color indexed="22"/>
      <name val="Arial Narrow"/>
      <family val="2"/>
    </font>
    <font>
      <b/>
      <sz val="14"/>
      <name val="Arial Narrow"/>
      <family val="2"/>
    </font>
    <font>
      <b/>
      <sz val="12"/>
      <color indexed="12"/>
      <name val="Times New Roman"/>
      <family val="1"/>
    </font>
    <font>
      <sz val="8"/>
      <color indexed="81"/>
      <name val="Tahoma"/>
    </font>
    <font>
      <b/>
      <sz val="8"/>
      <color indexed="81"/>
      <name val="Tahoma"/>
    </font>
    <font>
      <b/>
      <i/>
      <sz val="12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8"/>
      <name val="Lucida Console"/>
    </font>
    <font>
      <b/>
      <i/>
      <sz val="14"/>
      <name val="Arial Narrow"/>
      <family val="2"/>
    </font>
  </fonts>
  <fills count="10">
    <fill>
      <patternFill patternType="none"/>
    </fill>
    <fill>
      <patternFill patternType="gray125"/>
    </fill>
    <fill>
      <patternFill patternType="mediumGray">
        <fgColor indexed="13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lightTrellis">
        <fgColor indexed="42"/>
        <bgColor indexed="42"/>
      </patternFill>
    </fill>
    <fill>
      <patternFill patternType="solid">
        <fgColor indexed="47"/>
        <bgColor indexed="48"/>
      </patternFill>
    </fill>
    <fill>
      <patternFill patternType="solid">
        <fgColor indexed="24"/>
        <bgColor indexed="64"/>
      </patternFill>
    </fill>
    <fill>
      <patternFill patternType="solid">
        <fgColor indexed="42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3" fillId="2" borderId="0" applyNumberFormat="0" applyFont="0" applyAlignment="0" applyProtection="0"/>
    <xf numFmtId="0" fontId="1" fillId="0" borderId="0"/>
  </cellStyleXfs>
  <cellXfs count="222">
    <xf numFmtId="0" fontId="0" fillId="0" borderId="0" xfId="0"/>
    <xf numFmtId="0" fontId="4" fillId="0" borderId="0" xfId="3" applyFont="1"/>
    <xf numFmtId="0" fontId="4" fillId="0" borderId="0" xfId="0" applyFont="1"/>
    <xf numFmtId="3" fontId="4" fillId="0" borderId="0" xfId="3" applyNumberFormat="1" applyFont="1"/>
    <xf numFmtId="14" fontId="4" fillId="0" borderId="1" xfId="3" applyNumberFormat="1" applyFont="1" applyBorder="1" applyAlignment="1" applyProtection="1">
      <alignment horizontal="right"/>
    </xf>
    <xf numFmtId="165" fontId="5" fillId="3" borderId="1" xfId="3" applyNumberFormat="1" applyFont="1" applyFill="1" applyBorder="1" applyAlignment="1">
      <alignment horizontal="right"/>
    </xf>
    <xf numFmtId="14" fontId="4" fillId="0" borderId="1" xfId="3" applyNumberFormat="1" applyFont="1" applyBorder="1" applyAlignment="1">
      <alignment horizontal="right"/>
    </xf>
    <xf numFmtId="17" fontId="4" fillId="0" borderId="1" xfId="3" applyNumberFormat="1" applyFont="1" applyBorder="1" applyAlignment="1" applyProtection="1">
      <alignment horizontal="right"/>
    </xf>
    <xf numFmtId="0" fontId="4" fillId="0" borderId="1" xfId="3" applyFont="1" applyBorder="1" applyAlignment="1">
      <alignment horizontal="right"/>
    </xf>
    <xf numFmtId="167" fontId="4" fillId="0" borderId="0" xfId="0" applyNumberFormat="1" applyFont="1"/>
    <xf numFmtId="164" fontId="4" fillId="0" borderId="0" xfId="0" applyNumberFormat="1" applyFont="1"/>
    <xf numFmtId="14" fontId="4" fillId="0" borderId="0" xfId="3" applyNumberFormat="1" applyFont="1"/>
    <xf numFmtId="0" fontId="6" fillId="0" borderId="0" xfId="0" applyFont="1" applyAlignment="1">
      <alignment horizontal="center"/>
    </xf>
    <xf numFmtId="17" fontId="6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14" fontId="6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center"/>
    </xf>
    <xf numFmtId="0" fontId="7" fillId="0" borderId="0" xfId="0" applyFont="1" applyAlignment="1">
      <alignment horizontal="left"/>
    </xf>
    <xf numFmtId="17" fontId="2" fillId="0" borderId="0" xfId="3" applyNumberFormat="1" applyFont="1" applyBorder="1" applyAlignment="1" applyProtection="1">
      <alignment horizontal="center"/>
    </xf>
    <xf numFmtId="0" fontId="2" fillId="0" borderId="0" xfId="3" applyFont="1" applyBorder="1" applyAlignment="1">
      <alignment horizontal="center"/>
    </xf>
    <xf numFmtId="17" fontId="4" fillId="0" borderId="2" xfId="3" applyNumberFormat="1" applyFont="1" applyBorder="1" applyAlignment="1" applyProtection="1">
      <alignment horizontal="right"/>
    </xf>
    <xf numFmtId="0" fontId="8" fillId="0" borderId="1" xfId="0" applyFont="1" applyFill="1" applyBorder="1" applyAlignment="1">
      <alignment horizontal="centerContinuous"/>
    </xf>
    <xf numFmtId="0" fontId="6" fillId="0" borderId="0" xfId="0" applyFont="1" applyFill="1" applyAlignment="1">
      <alignment horizontal="center"/>
    </xf>
    <xf numFmtId="14" fontId="6" fillId="0" borderId="0" xfId="0" applyNumberFormat="1" applyFont="1" applyFill="1" applyAlignment="1">
      <alignment horizontal="center"/>
    </xf>
    <xf numFmtId="3" fontId="4" fillId="0" borderId="0" xfId="3" applyNumberFormat="1" applyFont="1" applyFill="1"/>
    <xf numFmtId="14" fontId="4" fillId="0" borderId="1" xfId="3" applyNumberFormat="1" applyFont="1" applyFill="1" applyBorder="1" applyAlignment="1">
      <alignment horizontal="right"/>
    </xf>
    <xf numFmtId="17" fontId="4" fillId="0" borderId="1" xfId="3" applyNumberFormat="1" applyFont="1" applyFill="1" applyBorder="1" applyAlignment="1" applyProtection="1">
      <alignment horizontal="right"/>
    </xf>
    <xf numFmtId="0" fontId="4" fillId="0" borderId="1" xfId="3" applyFont="1" applyFill="1" applyBorder="1" applyAlignment="1">
      <alignment horizontal="right"/>
    </xf>
    <xf numFmtId="164" fontId="4" fillId="0" borderId="0" xfId="0" applyNumberFormat="1" applyFont="1" applyFill="1"/>
    <xf numFmtId="0" fontId="4" fillId="0" borderId="0" xfId="0" applyFont="1" applyFill="1"/>
    <xf numFmtId="172" fontId="6" fillId="0" borderId="0" xfId="0" applyNumberFormat="1" applyFont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9" fillId="0" borderId="0" xfId="0" applyFont="1" applyAlignment="1">
      <alignment wrapText="1"/>
    </xf>
    <xf numFmtId="0" fontId="9" fillId="0" borderId="0" xfId="0" applyFont="1" applyAlignment="1">
      <alignment horizontal="center" wrapText="1"/>
    </xf>
    <xf numFmtId="0" fontId="10" fillId="0" borderId="0" xfId="0" applyFont="1" applyAlignment="1">
      <alignment horizontal="center" wrapText="1"/>
    </xf>
    <xf numFmtId="0" fontId="12" fillId="0" borderId="1" xfId="0" applyFont="1" applyBorder="1" applyAlignment="1">
      <alignment horizontal="center" vertical="center"/>
    </xf>
    <xf numFmtId="0" fontId="13" fillId="0" borderId="3" xfId="0" applyFont="1" applyBorder="1" applyAlignment="1">
      <alignment wrapText="1"/>
    </xf>
    <xf numFmtId="0" fontId="10" fillId="0" borderId="4" xfId="0" applyFont="1" applyBorder="1" applyAlignment="1">
      <alignment horizontal="center" wrapText="1"/>
    </xf>
    <xf numFmtId="0" fontId="12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17" fontId="12" fillId="0" borderId="5" xfId="0" applyNumberFormat="1" applyFont="1" applyBorder="1" applyAlignment="1">
      <alignment horizontal="center"/>
    </xf>
    <xf numFmtId="17" fontId="12" fillId="0" borderId="6" xfId="0" applyNumberFormat="1" applyFont="1" applyBorder="1" applyAlignment="1">
      <alignment horizontal="center"/>
    </xf>
    <xf numFmtId="17" fontId="12" fillId="0" borderId="7" xfId="0" applyNumberFormat="1" applyFont="1" applyBorder="1" applyAlignment="1">
      <alignment horizontal="center"/>
    </xf>
    <xf numFmtId="17" fontId="12" fillId="0" borderId="0" xfId="0" applyNumberFormat="1" applyFont="1" applyBorder="1" applyAlignment="1">
      <alignment horizontal="center"/>
    </xf>
    <xf numFmtId="0" fontId="13" fillId="0" borderId="0" xfId="0" applyFont="1" applyAlignment="1">
      <alignment horizontal="center"/>
    </xf>
    <xf numFmtId="171" fontId="9" fillId="0" borderId="1" xfId="0" applyNumberFormat="1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12" fillId="0" borderId="1" xfId="0" applyFont="1" applyFill="1" applyBorder="1" applyAlignment="1">
      <alignment horizontal="left"/>
    </xf>
    <xf numFmtId="0" fontId="10" fillId="0" borderId="0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9" xfId="0" applyFont="1" applyBorder="1" applyAlignment="1">
      <alignment wrapText="1"/>
    </xf>
    <xf numFmtId="0" fontId="9" fillId="0" borderId="0" xfId="0" applyFont="1" applyBorder="1" applyAlignment="1">
      <alignment wrapText="1"/>
    </xf>
    <xf numFmtId="0" fontId="11" fillId="0" borderId="0" xfId="0" applyFont="1" applyBorder="1" applyAlignment="1">
      <alignment horizontal="center" wrapText="1"/>
    </xf>
    <xf numFmtId="0" fontId="9" fillId="0" borderId="0" xfId="0" applyFont="1" applyBorder="1" applyAlignment="1">
      <alignment horizontal="center" wrapText="1"/>
    </xf>
    <xf numFmtId="0" fontId="11" fillId="0" borderId="0" xfId="0" applyFont="1" applyBorder="1" applyAlignment="1">
      <alignment wrapText="1"/>
    </xf>
    <xf numFmtId="0" fontId="14" fillId="0" borderId="0" xfId="0" applyFont="1" applyBorder="1" applyAlignment="1">
      <alignment horizontal="left"/>
    </xf>
    <xf numFmtId="17" fontId="12" fillId="0" borderId="10" xfId="0" applyNumberFormat="1" applyFont="1" applyBorder="1" applyAlignment="1">
      <alignment horizontal="center"/>
    </xf>
    <xf numFmtId="17" fontId="12" fillId="0" borderId="11" xfId="0" applyNumberFormat="1" applyFont="1" applyBorder="1" applyAlignment="1">
      <alignment horizontal="center"/>
    </xf>
    <xf numFmtId="17" fontId="12" fillId="0" borderId="12" xfId="3" applyNumberFormat="1" applyFont="1" applyFill="1" applyBorder="1" applyAlignment="1" applyProtection="1">
      <alignment horizontal="left"/>
    </xf>
    <xf numFmtId="168" fontId="9" fillId="0" borderId="1" xfId="0" applyNumberFormat="1" applyFont="1" applyBorder="1" applyAlignment="1">
      <alignment horizontal="center"/>
    </xf>
    <xf numFmtId="0" fontId="9" fillId="0" borderId="0" xfId="0" applyFont="1" applyAlignment="1"/>
    <xf numFmtId="0" fontId="9" fillId="0" borderId="9" xfId="0" applyFont="1" applyBorder="1" applyAlignment="1"/>
    <xf numFmtId="0" fontId="9" fillId="0" borderId="0" xfId="0" applyFont="1" applyBorder="1" applyAlignment="1"/>
    <xf numFmtId="0" fontId="11" fillId="0" borderId="0" xfId="0" applyFont="1" applyBorder="1" applyAlignment="1"/>
    <xf numFmtId="0" fontId="11" fillId="4" borderId="2" xfId="0" applyFont="1" applyFill="1" applyBorder="1" applyAlignment="1"/>
    <xf numFmtId="0" fontId="11" fillId="4" borderId="8" xfId="0" applyFont="1" applyFill="1" applyBorder="1" applyAlignment="1"/>
    <xf numFmtId="0" fontId="11" fillId="0" borderId="13" xfId="0" applyFont="1" applyBorder="1" applyAlignment="1"/>
    <xf numFmtId="0" fontId="9" fillId="0" borderId="1" xfId="0" applyFont="1" applyBorder="1" applyAlignment="1"/>
    <xf numFmtId="0" fontId="11" fillId="4" borderId="1" xfId="0" applyFont="1" applyFill="1" applyBorder="1" applyAlignment="1"/>
    <xf numFmtId="0" fontId="11" fillId="0" borderId="1" xfId="0" applyFont="1" applyBorder="1" applyAlignment="1"/>
    <xf numFmtId="0" fontId="12" fillId="0" borderId="1" xfId="0" applyFont="1" applyBorder="1" applyAlignment="1"/>
    <xf numFmtId="0" fontId="9" fillId="0" borderId="12" xfId="0" applyFont="1" applyBorder="1" applyAlignment="1"/>
    <xf numFmtId="0" fontId="12" fillId="0" borderId="12" xfId="0" applyFont="1" applyBorder="1" applyAlignment="1"/>
    <xf numFmtId="14" fontId="9" fillId="0" borderId="0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 wrapText="1"/>
    </xf>
    <xf numFmtId="0" fontId="11" fillId="0" borderId="5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166" fontId="9" fillId="0" borderId="1" xfId="0" applyNumberFormat="1" applyFont="1" applyBorder="1" applyAlignment="1">
      <alignment horizontal="center"/>
    </xf>
    <xf numFmtId="169" fontId="6" fillId="5" borderId="0" xfId="0" applyNumberFormat="1" applyFont="1" applyFill="1" applyAlignment="1">
      <alignment horizontal="center"/>
    </xf>
    <xf numFmtId="14" fontId="4" fillId="5" borderId="1" xfId="3" applyNumberFormat="1" applyFont="1" applyFill="1" applyBorder="1" applyAlignment="1">
      <alignment horizontal="right"/>
    </xf>
    <xf numFmtId="0" fontId="11" fillId="6" borderId="14" xfId="0" applyFont="1" applyFill="1" applyBorder="1" applyAlignment="1">
      <alignment horizontal="center"/>
    </xf>
    <xf numFmtId="17" fontId="11" fillId="6" borderId="0" xfId="0" applyNumberFormat="1" applyFont="1" applyFill="1" applyBorder="1" applyAlignment="1">
      <alignment horizontal="center"/>
    </xf>
    <xf numFmtId="0" fontId="9" fillId="6" borderId="0" xfId="0" applyFont="1" applyFill="1" applyBorder="1" applyAlignment="1">
      <alignment horizontal="center" wrapText="1"/>
    </xf>
    <xf numFmtId="0" fontId="9" fillId="6" borderId="0" xfId="0" applyFont="1" applyFill="1" applyBorder="1" applyAlignment="1">
      <alignment horizontal="center"/>
    </xf>
    <xf numFmtId="0" fontId="10" fillId="6" borderId="4" xfId="0" applyFont="1" applyFill="1" applyBorder="1" applyAlignment="1">
      <alignment horizontal="center" wrapText="1"/>
    </xf>
    <xf numFmtId="0" fontId="10" fillId="6" borderId="0" xfId="0" applyFont="1" applyFill="1" applyBorder="1" applyAlignment="1">
      <alignment horizontal="center"/>
    </xf>
    <xf numFmtId="17" fontId="12" fillId="6" borderId="6" xfId="0" applyNumberFormat="1" applyFont="1" applyFill="1" applyBorder="1" applyAlignment="1">
      <alignment horizontal="center"/>
    </xf>
    <xf numFmtId="17" fontId="12" fillId="6" borderId="0" xfId="0" applyNumberFormat="1" applyFont="1" applyFill="1" applyBorder="1" applyAlignment="1">
      <alignment horizontal="center"/>
    </xf>
    <xf numFmtId="0" fontId="9" fillId="6" borderId="1" xfId="0" applyFont="1" applyFill="1" applyBorder="1" applyAlignment="1">
      <alignment horizontal="center"/>
    </xf>
    <xf numFmtId="170" fontId="9" fillId="6" borderId="1" xfId="0" applyNumberFormat="1" applyFont="1" applyFill="1" applyBorder="1" applyAlignment="1">
      <alignment horizontal="center"/>
    </xf>
    <xf numFmtId="0" fontId="15" fillId="0" borderId="0" xfId="0" applyFont="1" applyAlignment="1">
      <alignment horizontal="right"/>
    </xf>
    <xf numFmtId="0" fontId="9" fillId="0" borderId="14" xfId="0" applyFont="1" applyFill="1" applyBorder="1" applyAlignment="1"/>
    <xf numFmtId="0" fontId="11" fillId="0" borderId="14" xfId="0" applyFont="1" applyFill="1" applyBorder="1" applyAlignment="1">
      <alignment horizontal="center"/>
    </xf>
    <xf numFmtId="0" fontId="9" fillId="0" borderId="0" xfId="0" applyFont="1" applyFill="1" applyBorder="1" applyAlignment="1"/>
    <xf numFmtId="17" fontId="11" fillId="0" borderId="0" xfId="0" applyNumberFormat="1" applyFont="1" applyFill="1" applyBorder="1" applyAlignment="1">
      <alignment horizontal="center"/>
    </xf>
    <xf numFmtId="0" fontId="9" fillId="7" borderId="15" xfId="0" applyFont="1" applyFill="1" applyBorder="1" applyAlignment="1"/>
    <xf numFmtId="0" fontId="9" fillId="7" borderId="9" xfId="0" applyFont="1" applyFill="1" applyBorder="1" applyAlignment="1"/>
    <xf numFmtId="0" fontId="11" fillId="7" borderId="13" xfId="0" applyFont="1" applyFill="1" applyBorder="1" applyAlignment="1"/>
    <xf numFmtId="0" fontId="11" fillId="7" borderId="16" xfId="0" applyFont="1" applyFill="1" applyBorder="1" applyAlignment="1"/>
    <xf numFmtId="14" fontId="9" fillId="0" borderId="1" xfId="0" applyNumberFormat="1" applyFont="1" applyBorder="1" applyAlignment="1">
      <alignment horizontal="center"/>
    </xf>
    <xf numFmtId="15" fontId="11" fillId="8" borderId="17" xfId="0" applyNumberFormat="1" applyFont="1" applyFill="1" applyBorder="1" applyAlignment="1">
      <alignment horizontal="center"/>
    </xf>
    <xf numFmtId="15" fontId="11" fillId="8" borderId="18" xfId="0" applyNumberFormat="1" applyFont="1" applyFill="1" applyBorder="1" applyAlignment="1">
      <alignment horizontal="center"/>
    </xf>
    <xf numFmtId="0" fontId="1" fillId="0" borderId="1" xfId="3" applyFont="1" applyFill="1" applyBorder="1"/>
    <xf numFmtId="17" fontId="1" fillId="0" borderId="1" xfId="3" applyNumberFormat="1" applyFont="1" applyBorder="1" applyAlignment="1" applyProtection="1">
      <alignment horizontal="right"/>
    </xf>
    <xf numFmtId="0" fontId="1" fillId="0" borderId="0" xfId="3" applyFont="1"/>
    <xf numFmtId="17" fontId="1" fillId="0" borderId="1" xfId="3" applyNumberFormat="1" applyFont="1" applyFill="1" applyBorder="1" applyAlignment="1" applyProtection="1">
      <alignment horizontal="right"/>
    </xf>
    <xf numFmtId="0" fontId="8" fillId="0" borderId="1" xfId="0" applyFont="1" applyFill="1" applyBorder="1" applyAlignment="1">
      <alignment horizontal="right"/>
    </xf>
    <xf numFmtId="0" fontId="11" fillId="0" borderId="0" xfId="0" applyFont="1" applyFill="1" applyBorder="1" applyAlignment="1"/>
    <xf numFmtId="0" fontId="12" fillId="0" borderId="0" xfId="0" applyFont="1" applyFill="1" applyBorder="1" applyAlignment="1"/>
    <xf numFmtId="0" fontId="19" fillId="0" borderId="0" xfId="0" applyFont="1"/>
    <xf numFmtId="0" fontId="9" fillId="0" borderId="0" xfId="0" applyFont="1" applyFill="1" applyBorder="1" applyAlignment="1">
      <alignment horizontal="center" wrapText="1"/>
    </xf>
    <xf numFmtId="0" fontId="9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 wrapText="1"/>
    </xf>
    <xf numFmtId="0" fontId="10" fillId="0" borderId="0" xfId="0" applyFont="1" applyFill="1" applyBorder="1" applyAlignment="1">
      <alignment horizontal="center"/>
    </xf>
    <xf numFmtId="17" fontId="12" fillId="0" borderId="6" xfId="0" applyNumberFormat="1" applyFont="1" applyFill="1" applyBorder="1" applyAlignment="1">
      <alignment horizontal="center"/>
    </xf>
    <xf numFmtId="17" fontId="12" fillId="0" borderId="0" xfId="0" applyNumberFormat="1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/>
    </xf>
    <xf numFmtId="0" fontId="9" fillId="9" borderId="0" xfId="0" applyFont="1" applyFill="1" applyBorder="1" applyAlignment="1">
      <alignment horizontal="center" wrapText="1"/>
    </xf>
    <xf numFmtId="0" fontId="9" fillId="9" borderId="0" xfId="0" applyFont="1" applyFill="1" applyBorder="1" applyAlignment="1">
      <alignment horizontal="center"/>
    </xf>
    <xf numFmtId="0" fontId="10" fillId="9" borderId="4" xfId="0" applyFont="1" applyFill="1" applyBorder="1" applyAlignment="1">
      <alignment horizontal="center" wrapText="1"/>
    </xf>
    <xf numFmtId="0" fontId="10" fillId="9" borderId="0" xfId="0" applyFont="1" applyFill="1" applyBorder="1" applyAlignment="1">
      <alignment horizontal="center"/>
    </xf>
    <xf numFmtId="17" fontId="12" fillId="9" borderId="6" xfId="0" applyNumberFormat="1" applyFont="1" applyFill="1" applyBorder="1" applyAlignment="1">
      <alignment horizontal="center"/>
    </xf>
    <xf numFmtId="17" fontId="12" fillId="9" borderId="0" xfId="0" applyNumberFormat="1" applyFont="1" applyFill="1" applyBorder="1" applyAlignment="1">
      <alignment horizontal="center"/>
    </xf>
    <xf numFmtId="0" fontId="9" fillId="9" borderId="1" xfId="0" applyFont="1" applyFill="1" applyBorder="1" applyAlignment="1">
      <alignment horizontal="center"/>
    </xf>
    <xf numFmtId="168" fontId="9" fillId="6" borderId="1" xfId="0" applyNumberFormat="1" applyFont="1" applyFill="1" applyBorder="1" applyAlignment="1">
      <alignment horizontal="center"/>
    </xf>
    <xf numFmtId="168" fontId="9" fillId="9" borderId="1" xfId="0" applyNumberFormat="1" applyFont="1" applyFill="1" applyBorder="1" applyAlignment="1">
      <alignment horizontal="center"/>
    </xf>
    <xf numFmtId="0" fontId="15" fillId="0" borderId="0" xfId="0" applyFont="1" applyAlignment="1">
      <alignment horizontal="center"/>
    </xf>
    <xf numFmtId="0" fontId="20" fillId="0" borderId="0" xfId="0" applyFont="1" applyFill="1"/>
    <xf numFmtId="43" fontId="20" fillId="0" borderId="0" xfId="1" applyFont="1" applyFill="1" applyBorder="1"/>
    <xf numFmtId="43" fontId="20" fillId="0" borderId="11" xfId="1" applyFont="1" applyFill="1" applyBorder="1"/>
    <xf numFmtId="43" fontId="20" fillId="0" borderId="14" xfId="1" applyFont="1" applyFill="1" applyBorder="1"/>
    <xf numFmtId="43" fontId="20" fillId="0" borderId="19" xfId="1" applyFont="1" applyFill="1" applyBorder="1"/>
    <xf numFmtId="43" fontId="20" fillId="0" borderId="20" xfId="1" applyFont="1" applyFill="1" applyBorder="1"/>
    <xf numFmtId="43" fontId="20" fillId="0" borderId="21" xfId="1" applyFont="1" applyFill="1" applyBorder="1"/>
    <xf numFmtId="0" fontId="23" fillId="0" borderId="0" xfId="0" applyFont="1" applyFill="1"/>
    <xf numFmtId="0" fontId="21" fillId="0" borderId="0" xfId="0" applyFont="1" applyFill="1" applyAlignment="1">
      <alignment horizontal="right"/>
    </xf>
    <xf numFmtId="15" fontId="20" fillId="0" borderId="0" xfId="0" applyNumberFormat="1" applyFont="1" applyFill="1"/>
    <xf numFmtId="0" fontId="21" fillId="0" borderId="0" xfId="0" applyFont="1" applyFill="1"/>
    <xf numFmtId="0" fontId="20" fillId="0" borderId="0" xfId="0" applyFont="1" applyFill="1" applyBorder="1"/>
    <xf numFmtId="179" fontId="21" fillId="0" borderId="0" xfId="0" applyNumberFormat="1" applyFont="1" applyFill="1" applyAlignment="1">
      <alignment horizontal="right"/>
    </xf>
    <xf numFmtId="179" fontId="20" fillId="0" borderId="0" xfId="0" applyNumberFormat="1" applyFont="1" applyFill="1" applyAlignment="1">
      <alignment horizontal="right"/>
    </xf>
    <xf numFmtId="14" fontId="20" fillId="0" borderId="0" xfId="0" applyNumberFormat="1" applyFont="1" applyFill="1" applyProtection="1">
      <protection locked="0" hidden="1"/>
    </xf>
    <xf numFmtId="14" fontId="20" fillId="0" borderId="0" xfId="0" applyNumberFormat="1" applyFont="1" applyFill="1"/>
    <xf numFmtId="180" fontId="22" fillId="0" borderId="0" xfId="0" applyNumberFormat="1" applyFont="1" applyFill="1" applyAlignment="1">
      <alignment horizontal="left"/>
    </xf>
    <xf numFmtId="17" fontId="20" fillId="0" borderId="0" xfId="0" applyNumberFormat="1" applyFont="1" applyFill="1" applyAlignment="1">
      <alignment horizontal="center"/>
    </xf>
    <xf numFmtId="0" fontId="20" fillId="0" borderId="0" xfId="0" applyFont="1" applyFill="1" applyAlignment="1">
      <alignment horizontal="center"/>
    </xf>
    <xf numFmtId="17" fontId="20" fillId="0" borderId="0" xfId="0" applyNumberFormat="1" applyFont="1" applyFill="1"/>
    <xf numFmtId="0" fontId="23" fillId="0" borderId="0" xfId="0" applyFont="1" applyFill="1" applyAlignment="1">
      <alignment vertical="center"/>
    </xf>
    <xf numFmtId="0" fontId="21" fillId="0" borderId="22" xfId="0" applyFont="1" applyFill="1" applyBorder="1" applyAlignment="1">
      <alignment vertical="center"/>
    </xf>
    <xf numFmtId="17" fontId="21" fillId="0" borderId="0" xfId="0" quotePrefix="1" applyNumberFormat="1" applyFont="1" applyFill="1" applyBorder="1" applyAlignment="1">
      <alignment horizontal="center" vertical="center"/>
    </xf>
    <xf numFmtId="0" fontId="21" fillId="0" borderId="0" xfId="0" quotePrefix="1" applyFont="1" applyFill="1" applyBorder="1" applyAlignment="1">
      <alignment horizontal="center" vertical="center" wrapText="1"/>
    </xf>
    <xf numFmtId="0" fontId="21" fillId="0" borderId="0" xfId="0" applyFont="1" applyFill="1" applyBorder="1" applyAlignment="1">
      <alignment horizontal="center" vertical="center"/>
    </xf>
    <xf numFmtId="17" fontId="21" fillId="0" borderId="20" xfId="0" quotePrefix="1" applyNumberFormat="1" applyFont="1" applyFill="1" applyBorder="1" applyAlignment="1">
      <alignment horizontal="center" vertical="center" wrapText="1"/>
    </xf>
    <xf numFmtId="17" fontId="21" fillId="0" borderId="0" xfId="0" applyNumberFormat="1" applyFont="1" applyFill="1" applyBorder="1" applyAlignment="1">
      <alignment horizontal="center" vertical="center"/>
    </xf>
    <xf numFmtId="0" fontId="20" fillId="0" borderId="0" xfId="0" applyFont="1" applyFill="1" applyAlignment="1">
      <alignment vertical="center"/>
    </xf>
    <xf numFmtId="14" fontId="20" fillId="0" borderId="0" xfId="0" applyNumberFormat="1" applyFont="1" applyFill="1" applyAlignment="1">
      <alignment vertical="center"/>
    </xf>
    <xf numFmtId="0" fontId="21" fillId="0" borderId="23" xfId="0" applyFont="1" applyFill="1" applyBorder="1"/>
    <xf numFmtId="43" fontId="20" fillId="0" borderId="24" xfId="1" applyFont="1" applyFill="1" applyBorder="1"/>
    <xf numFmtId="43" fontId="20" fillId="0" borderId="23" xfId="1" applyFont="1" applyFill="1" applyBorder="1"/>
    <xf numFmtId="38" fontId="20" fillId="0" borderId="0" xfId="0" applyNumberFormat="1" applyFont="1" applyFill="1" applyBorder="1"/>
    <xf numFmtId="38" fontId="20" fillId="0" borderId="0" xfId="0" applyNumberFormat="1" applyFont="1" applyFill="1"/>
    <xf numFmtId="0" fontId="21" fillId="0" borderId="25" xfId="0" applyFont="1" applyFill="1" applyBorder="1"/>
    <xf numFmtId="0" fontId="20" fillId="0" borderId="22" xfId="0" applyFont="1" applyFill="1" applyBorder="1"/>
    <xf numFmtId="43" fontId="20" fillId="0" borderId="26" xfId="1" applyFont="1" applyFill="1" applyBorder="1"/>
    <xf numFmtId="43" fontId="20" fillId="0" borderId="25" xfId="1" applyFont="1" applyFill="1" applyBorder="1"/>
    <xf numFmtId="43" fontId="20" fillId="0" borderId="22" xfId="1" applyFont="1" applyFill="1" applyBorder="1"/>
    <xf numFmtId="0" fontId="21" fillId="0" borderId="27" xfId="0" applyFont="1" applyFill="1" applyBorder="1"/>
    <xf numFmtId="0" fontId="20" fillId="0" borderId="20" xfId="0" applyFont="1" applyFill="1" applyBorder="1"/>
    <xf numFmtId="43" fontId="20" fillId="0" borderId="28" xfId="1" applyFont="1" applyFill="1" applyBorder="1"/>
    <xf numFmtId="43" fontId="20" fillId="0" borderId="27" xfId="1" applyFont="1" applyFill="1" applyBorder="1"/>
    <xf numFmtId="0" fontId="21" fillId="0" borderId="14" xfId="0" applyFont="1" applyFill="1" applyBorder="1"/>
    <xf numFmtId="0" fontId="20" fillId="0" borderId="14" xfId="0" applyFont="1" applyFill="1" applyBorder="1"/>
    <xf numFmtId="0" fontId="23" fillId="0" borderId="20" xfId="0" applyFont="1" applyFill="1" applyBorder="1"/>
    <xf numFmtId="0" fontId="21" fillId="0" borderId="29" xfId="0" applyFont="1" applyFill="1" applyBorder="1"/>
    <xf numFmtId="0" fontId="20" fillId="0" borderId="18" xfId="0" applyFont="1" applyFill="1" applyBorder="1"/>
    <xf numFmtId="43" fontId="20" fillId="0" borderId="18" xfId="1" applyFont="1" applyFill="1" applyBorder="1"/>
    <xf numFmtId="43" fontId="20" fillId="0" borderId="30" xfId="1" applyFont="1" applyFill="1" applyBorder="1"/>
    <xf numFmtId="43" fontId="20" fillId="0" borderId="31" xfId="1" applyFont="1" applyFill="1" applyBorder="1"/>
    <xf numFmtId="43" fontId="20" fillId="0" borderId="29" xfId="1" applyFont="1" applyFill="1" applyBorder="1"/>
    <xf numFmtId="0" fontId="21" fillId="0" borderId="20" xfId="0" applyFont="1" applyFill="1" applyBorder="1"/>
    <xf numFmtId="38" fontId="21" fillId="0" borderId="0" xfId="0" applyNumberFormat="1" applyFont="1" applyFill="1" applyBorder="1"/>
    <xf numFmtId="0" fontId="23" fillId="0" borderId="0" xfId="0" applyFont="1" applyFill="1" applyBorder="1"/>
    <xf numFmtId="0" fontId="21" fillId="0" borderId="0" xfId="0" applyFont="1" applyFill="1" applyBorder="1"/>
    <xf numFmtId="181" fontId="21" fillId="0" borderId="0" xfId="1" applyNumberFormat="1" applyFont="1" applyFill="1" applyBorder="1"/>
    <xf numFmtId="178" fontId="20" fillId="0" borderId="0" xfId="1" applyNumberFormat="1" applyFont="1" applyFill="1" applyBorder="1"/>
    <xf numFmtId="0" fontId="21" fillId="0" borderId="18" xfId="0" applyFont="1" applyFill="1" applyBorder="1"/>
    <xf numFmtId="180" fontId="21" fillId="0" borderId="0" xfId="0" applyNumberFormat="1" applyFont="1" applyFill="1" applyAlignment="1">
      <alignment horizontal="left"/>
    </xf>
    <xf numFmtId="43" fontId="20" fillId="0" borderId="14" xfId="0" quotePrefix="1" applyNumberFormat="1" applyFont="1" applyFill="1" applyBorder="1"/>
    <xf numFmtId="43" fontId="20" fillId="0" borderId="0" xfId="0" quotePrefix="1" applyNumberFormat="1" applyFont="1" applyFill="1" applyBorder="1"/>
    <xf numFmtId="0" fontId="21" fillId="0" borderId="32" xfId="0" applyFont="1" applyFill="1" applyBorder="1"/>
    <xf numFmtId="43" fontId="20" fillId="0" borderId="20" xfId="0" quotePrefix="1" applyNumberFormat="1" applyFont="1" applyFill="1" applyBorder="1"/>
    <xf numFmtId="180" fontId="21" fillId="0" borderId="20" xfId="0" applyNumberFormat="1" applyFont="1" applyFill="1" applyBorder="1" applyAlignment="1">
      <alignment horizontal="left" vertical="center"/>
    </xf>
    <xf numFmtId="0" fontId="21" fillId="0" borderId="20" xfId="0" applyFont="1" applyFill="1" applyBorder="1" applyAlignment="1">
      <alignment vertical="center"/>
    </xf>
    <xf numFmtId="17" fontId="21" fillId="0" borderId="20" xfId="0" quotePrefix="1" applyNumberFormat="1" applyFont="1" applyFill="1" applyBorder="1" applyAlignment="1">
      <alignment horizontal="center" vertical="center"/>
    </xf>
    <xf numFmtId="17" fontId="21" fillId="0" borderId="20" xfId="0" applyNumberFormat="1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181" fontId="20" fillId="0" borderId="0" xfId="1" applyNumberFormat="1" applyFont="1" applyFill="1" applyBorder="1"/>
    <xf numFmtId="181" fontId="20" fillId="0" borderId="25" xfId="1" applyNumberFormat="1" applyFont="1" applyFill="1" applyBorder="1"/>
    <xf numFmtId="181" fontId="20" fillId="0" borderId="26" xfId="1" applyNumberFormat="1" applyFont="1" applyFill="1" applyBorder="1"/>
    <xf numFmtId="181" fontId="20" fillId="0" borderId="20" xfId="1" applyNumberFormat="1" applyFont="1" applyFill="1" applyBorder="1"/>
    <xf numFmtId="181" fontId="20" fillId="0" borderId="28" xfId="1" applyNumberFormat="1" applyFont="1" applyFill="1" applyBorder="1"/>
    <xf numFmtId="181" fontId="20" fillId="0" borderId="27" xfId="1" applyNumberFormat="1" applyFont="1" applyFill="1" applyBorder="1"/>
    <xf numFmtId="181" fontId="20" fillId="0" borderId="14" xfId="1" applyNumberFormat="1" applyFont="1" applyFill="1" applyBorder="1"/>
    <xf numFmtId="181" fontId="20" fillId="0" borderId="14" xfId="0" applyNumberFormat="1" applyFont="1" applyFill="1" applyBorder="1"/>
    <xf numFmtId="181" fontId="20" fillId="0" borderId="0" xfId="0" applyNumberFormat="1" applyFont="1" applyFill="1" applyBorder="1"/>
    <xf numFmtId="181" fontId="20" fillId="0" borderId="0" xfId="0" applyNumberFormat="1" applyFont="1" applyFill="1"/>
    <xf numFmtId="181" fontId="21" fillId="0" borderId="20" xfId="1" applyNumberFormat="1" applyFont="1" applyFill="1" applyBorder="1"/>
    <xf numFmtId="181" fontId="20" fillId="0" borderId="23" xfId="1" applyNumberFormat="1" applyFont="1" applyFill="1" applyBorder="1"/>
    <xf numFmtId="0" fontId="21" fillId="0" borderId="9" xfId="0" applyFont="1" applyFill="1" applyBorder="1"/>
    <xf numFmtId="0" fontId="21" fillId="0" borderId="33" xfId="0" applyFont="1" applyFill="1" applyBorder="1"/>
    <xf numFmtId="180" fontId="21" fillId="0" borderId="0" xfId="0" applyNumberFormat="1" applyFont="1" applyFill="1" applyBorder="1" applyAlignment="1">
      <alignment horizontal="left"/>
    </xf>
    <xf numFmtId="0" fontId="9" fillId="0" borderId="0" xfId="0" applyFont="1" applyAlignment="1">
      <alignment horizontal="left"/>
    </xf>
    <xf numFmtId="0" fontId="9" fillId="0" borderId="0" xfId="0" applyFont="1" applyBorder="1" applyAlignment="1">
      <alignment horizontal="left"/>
    </xf>
    <xf numFmtId="0" fontId="25" fillId="0" borderId="0" xfId="0" applyFont="1" applyAlignment="1">
      <alignment horizontal="center"/>
    </xf>
    <xf numFmtId="15" fontId="11" fillId="8" borderId="17" xfId="0" applyNumberFormat="1" applyFont="1" applyFill="1" applyBorder="1" applyAlignment="1">
      <alignment horizontal="center"/>
    </xf>
    <xf numFmtId="15" fontId="11" fillId="8" borderId="18" xfId="0" applyNumberFormat="1" applyFont="1" applyFill="1" applyBorder="1" applyAlignment="1">
      <alignment horizontal="center"/>
    </xf>
    <xf numFmtId="15" fontId="11" fillId="8" borderId="31" xfId="0" applyNumberFormat="1" applyFont="1" applyFill="1" applyBorder="1" applyAlignment="1">
      <alignment horizontal="center"/>
    </xf>
    <xf numFmtId="15" fontId="11" fillId="8" borderId="30" xfId="0" applyNumberFormat="1" applyFont="1" applyFill="1" applyBorder="1" applyAlignment="1">
      <alignment horizontal="center"/>
    </xf>
  </cellXfs>
  <cellStyles count="4">
    <cellStyle name="Comma" xfId="1" builtinId="3"/>
    <cellStyle name="NewFill" xfId="2"/>
    <cellStyle name="Normal" xfId="0" builtinId="0"/>
    <cellStyle name="Normal_GASCURVESFETCH" xfId="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E9E69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12.xml><?xml version="1.0" encoding="utf-8"?>
<formControlPr xmlns="http://schemas.microsoft.com/office/spreadsheetml/2009/9/main" objectType="Button" lockText="1"/>
</file>

<file path=xl/ctrlProps/ctrlProp13.xml><?xml version="1.0" encoding="utf-8"?>
<formControlPr xmlns="http://schemas.microsoft.com/office/spreadsheetml/2009/9/main" objectType="Button" lockText="1"/>
</file>

<file path=xl/ctrlProps/ctrlProp14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171450</xdr:colOff>
      <xdr:row>2</xdr:row>
      <xdr:rowOff>57150</xdr:rowOff>
    </xdr:from>
    <xdr:to>
      <xdr:col>2</xdr:col>
      <xdr:colOff>904875</xdr:colOff>
      <xdr:row>5</xdr:row>
      <xdr:rowOff>142875</xdr:rowOff>
    </xdr:to>
    <xdr:pic>
      <xdr:nvPicPr>
        <xdr:cNvPr id="1024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1075" y="381000"/>
          <a:ext cx="733425" cy="571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1162050</xdr:colOff>
          <xdr:row>0</xdr:row>
          <xdr:rowOff>19050</xdr:rowOff>
        </xdr:from>
        <xdr:to>
          <xdr:col>15</xdr:col>
          <xdr:colOff>428625</xdr:colOff>
          <xdr:row>5</xdr:row>
          <xdr:rowOff>0</xdr:rowOff>
        </xdr:to>
        <xdr:sp macro="" textlink="">
          <xdr:nvSpPr>
            <xdr:cNvPr id="10243" name="Button 3" hidden="1">
              <a:extLst>
                <a:ext uri="{63B3BB69-23CF-44E3-9099-C40C66FF867C}">
                  <a14:compatExt spid="_x0000_s102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FF"/>
                  </a:solidFill>
                  <a:latin typeface="Times New Roman"/>
                  <a:cs typeface="Times New Roman"/>
                </a:rPr>
                <a:t>PLEASE DO NOT CHANGE THE FORMAT OF THIS PAGE.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352425</xdr:colOff>
          <xdr:row>15</xdr:row>
          <xdr:rowOff>0</xdr:rowOff>
        </xdr:from>
        <xdr:to>
          <xdr:col>2</xdr:col>
          <xdr:colOff>219075</xdr:colOff>
          <xdr:row>17</xdr:row>
          <xdr:rowOff>0</xdr:rowOff>
        </xdr:to>
        <xdr:sp macro="" textlink="">
          <xdr:nvSpPr>
            <xdr:cNvPr id="5121" name="Button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Fetch Prices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247650</xdr:colOff>
          <xdr:row>6</xdr:row>
          <xdr:rowOff>0</xdr:rowOff>
        </xdr:from>
        <xdr:to>
          <xdr:col>1</xdr:col>
          <xdr:colOff>171450</xdr:colOff>
          <xdr:row>9</xdr:row>
          <xdr:rowOff>76200</xdr:rowOff>
        </xdr:to>
        <xdr:sp macro="" textlink="">
          <xdr:nvSpPr>
            <xdr:cNvPr id="6145" name="Button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CurveFetch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600075</xdr:colOff>
          <xdr:row>0</xdr:row>
          <xdr:rowOff>66675</xdr:rowOff>
        </xdr:from>
        <xdr:to>
          <xdr:col>17</xdr:col>
          <xdr:colOff>171450</xdr:colOff>
          <xdr:row>0</xdr:row>
          <xdr:rowOff>485775</xdr:rowOff>
        </xdr:to>
        <xdr:sp macro="" textlink="">
          <xdr:nvSpPr>
            <xdr:cNvPr id="11266" name="Button 2" hidden="1">
              <a:extLst>
                <a:ext uri="{63B3BB69-23CF-44E3-9099-C40C66FF867C}">
                  <a14:compatExt spid="_x0000_s112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West Price Peak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771525</xdr:colOff>
          <xdr:row>0</xdr:row>
          <xdr:rowOff>66675</xdr:rowOff>
        </xdr:from>
        <xdr:to>
          <xdr:col>17</xdr:col>
          <xdr:colOff>219075</xdr:colOff>
          <xdr:row>0</xdr:row>
          <xdr:rowOff>485775</xdr:rowOff>
        </xdr:to>
        <xdr:sp macro="" textlink="">
          <xdr:nvSpPr>
            <xdr:cNvPr id="11267" name="Button 3" hidden="1">
              <a:extLst>
                <a:ext uri="{63B3BB69-23CF-44E3-9099-C40C66FF867C}">
                  <a14:compatExt spid="_x0000_s112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West Price Peak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68" name="Button 4" hidden="1">
              <a:extLst>
                <a:ext uri="{63B3BB69-23CF-44E3-9099-C40C66FF867C}">
                  <a14:compatExt spid="_x0000_s112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69" name="Button 5" hidden="1">
              <a:extLst>
                <a:ext uri="{63B3BB69-23CF-44E3-9099-C40C66FF867C}">
                  <a14:compatExt spid="_x0000_s112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70" name="Button 6" hidden="1">
              <a:extLst>
                <a:ext uri="{63B3BB69-23CF-44E3-9099-C40C66FF867C}">
                  <a14:compatExt spid="_x0000_s112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71" name="Button 7" hidden="1">
              <a:extLst>
                <a:ext uri="{63B3BB69-23CF-44E3-9099-C40C66FF867C}">
                  <a14:compatExt spid="_x0000_s112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72" name="Button 8" hidden="1">
              <a:extLst>
                <a:ext uri="{63B3BB69-23CF-44E3-9099-C40C66FF867C}">
                  <a14:compatExt spid="_x0000_s112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73" name="Button 9" hidden="1">
              <a:extLst>
                <a:ext uri="{63B3BB69-23CF-44E3-9099-C40C66FF867C}">
                  <a14:compatExt spid="_x0000_s112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74" name="Button 10" hidden="1">
              <a:extLst>
                <a:ext uri="{63B3BB69-23CF-44E3-9099-C40C66FF867C}">
                  <a14:compatExt spid="_x0000_s112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75" name="Button 11" hidden="1">
              <a:extLst>
                <a:ext uri="{63B3BB69-23CF-44E3-9099-C40C66FF867C}">
                  <a14:compatExt spid="_x0000_s112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76" name="Button 12" hidden="1">
              <a:extLst>
                <a:ext uri="{63B3BB69-23CF-44E3-9099-C40C66FF867C}">
                  <a14:compatExt spid="_x0000_s112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Curve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websave2.xla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Prices0918-0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1-0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2-0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3-01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West%20NatGas%20Prices%20100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PublishPowerWestPricePeak"/>
    </definedNames>
    <sheetDataSet>
      <sheetData sheetId="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Top"/>
      <sheetName val="Power West Price Peak"/>
      <sheetName val="Power West Price Off-Peak"/>
      <sheetName val="Power West Price OP 6 by 8"/>
      <sheetName val="Power West Price Peak-Tim"/>
      <sheetName val="Power West Price Off Peak-Tim"/>
      <sheetName val="P2"/>
      <sheetName val="P2Sun"/>
      <sheetName val="PricesSun"/>
      <sheetName val="Prices"/>
      <sheetName val="Holidays"/>
    </sheetNames>
    <sheetDataSet>
      <sheetData sheetId="0" refreshError="1"/>
      <sheetData sheetId="1" refreshError="1">
        <row r="3">
          <cell r="C3">
            <v>37154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 refreshError="1">
        <row r="3">
          <cell r="C3">
            <v>37165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>
        <row r="2">
          <cell r="B2">
            <v>37039</v>
          </cell>
        </row>
        <row r="3">
          <cell r="B3">
            <v>37076</v>
          </cell>
        </row>
        <row r="4">
          <cell r="B4">
            <v>37137</v>
          </cell>
        </row>
        <row r="5">
          <cell r="B5">
            <v>37217</v>
          </cell>
        </row>
        <row r="6">
          <cell r="B6">
            <v>37250</v>
          </cell>
        </row>
        <row r="7">
          <cell r="B7">
            <v>37257</v>
          </cell>
        </row>
        <row r="8">
          <cell r="B8">
            <v>37403</v>
          </cell>
        </row>
        <row r="9">
          <cell r="B9">
            <v>37441</v>
          </cell>
        </row>
        <row r="10">
          <cell r="B10">
            <v>37501</v>
          </cell>
        </row>
        <row r="11">
          <cell r="B11">
            <v>37588</v>
          </cell>
        </row>
        <row r="12">
          <cell r="B12">
            <v>37615</v>
          </cell>
        </row>
        <row r="13">
          <cell r="B13">
            <v>37622</v>
          </cell>
        </row>
        <row r="14">
          <cell r="B14">
            <v>37767</v>
          </cell>
        </row>
        <row r="15">
          <cell r="B15">
            <v>37806</v>
          </cell>
        </row>
        <row r="16">
          <cell r="B16">
            <v>37865</v>
          </cell>
        </row>
        <row r="17">
          <cell r="B17">
            <v>37952</v>
          </cell>
        </row>
        <row r="18">
          <cell r="B18">
            <v>37980</v>
          </cell>
        </row>
        <row r="19">
          <cell r="B19">
            <v>37987</v>
          </cell>
        </row>
        <row r="20">
          <cell r="B20">
            <v>38138</v>
          </cell>
        </row>
        <row r="21">
          <cell r="B21">
            <v>38173</v>
          </cell>
        </row>
        <row r="22">
          <cell r="B22">
            <v>38236</v>
          </cell>
        </row>
        <row r="23">
          <cell r="B23">
            <v>38316</v>
          </cell>
        </row>
        <row r="24">
          <cell r="B24">
            <v>38346</v>
          </cell>
        </row>
        <row r="25">
          <cell r="B25">
            <v>38353</v>
          </cell>
        </row>
        <row r="26">
          <cell r="B26">
            <v>38502</v>
          </cell>
        </row>
        <row r="27">
          <cell r="B27">
            <v>38537</v>
          </cell>
        </row>
        <row r="28">
          <cell r="B28">
            <v>38600</v>
          </cell>
        </row>
        <row r="29">
          <cell r="B29">
            <v>38680</v>
          </cell>
        </row>
        <row r="30">
          <cell r="B30">
            <v>38712</v>
          </cell>
        </row>
        <row r="31">
          <cell r="B31">
            <v>38719</v>
          </cell>
        </row>
        <row r="32">
          <cell r="B32">
            <v>38866</v>
          </cell>
        </row>
        <row r="33">
          <cell r="B33">
            <v>38902</v>
          </cell>
        </row>
        <row r="34">
          <cell r="B34">
            <v>38964</v>
          </cell>
        </row>
        <row r="35">
          <cell r="B35">
            <v>39044</v>
          </cell>
        </row>
        <row r="36">
          <cell r="B36">
            <v>39076</v>
          </cell>
        </row>
        <row r="37">
          <cell r="B37">
            <v>39083</v>
          </cell>
        </row>
        <row r="38">
          <cell r="B38">
            <v>39230</v>
          </cell>
        </row>
        <row r="39">
          <cell r="B39">
            <v>39267</v>
          </cell>
        </row>
        <row r="40">
          <cell r="B40">
            <v>39328</v>
          </cell>
        </row>
        <row r="41">
          <cell r="B41">
            <v>39408</v>
          </cell>
        </row>
        <row r="42">
          <cell r="B42">
            <v>39441</v>
          </cell>
        </row>
        <row r="43">
          <cell r="B43">
            <v>39448</v>
          </cell>
        </row>
        <row r="44">
          <cell r="B44">
            <v>39594</v>
          </cell>
        </row>
        <row r="45">
          <cell r="B45">
            <v>39633</v>
          </cell>
        </row>
        <row r="46">
          <cell r="B46">
            <v>39692</v>
          </cell>
        </row>
        <row r="47">
          <cell r="B47">
            <v>39779</v>
          </cell>
        </row>
        <row r="48">
          <cell r="B48">
            <v>39807</v>
          </cell>
        </row>
        <row r="49">
          <cell r="B49">
            <v>39814</v>
          </cell>
        </row>
        <row r="50">
          <cell r="B50">
            <v>39958</v>
          </cell>
        </row>
        <row r="51">
          <cell r="B51">
            <v>39997</v>
          </cell>
        </row>
        <row r="52">
          <cell r="B52">
            <v>40063</v>
          </cell>
        </row>
        <row r="53">
          <cell r="B53">
            <v>40143</v>
          </cell>
        </row>
        <row r="54">
          <cell r="B54">
            <v>40172</v>
          </cell>
        </row>
        <row r="55">
          <cell r="B55">
            <v>40179</v>
          </cell>
        </row>
        <row r="56">
          <cell r="B56">
            <v>40329</v>
          </cell>
        </row>
        <row r="57">
          <cell r="B57">
            <v>40364</v>
          </cell>
        </row>
        <row r="58">
          <cell r="B58">
            <v>40427</v>
          </cell>
        </row>
        <row r="59">
          <cell r="B59">
            <v>40507</v>
          </cell>
        </row>
        <row r="60">
          <cell r="B60">
            <v>40537</v>
          </cell>
        </row>
        <row r="61">
          <cell r="B61">
            <v>40544</v>
          </cell>
        </row>
      </sheetData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>
        <row r="3">
          <cell r="C3">
            <v>37167</v>
          </cell>
        </row>
      </sheetData>
      <sheetData sheetId="3" refreshError="1"/>
      <sheetData sheetId="4" refreshError="1"/>
      <sheetData sheetId="5">
        <row r="9">
          <cell r="AC9">
            <v>23.110416666666669</v>
          </cell>
        </row>
        <row r="10">
          <cell r="AC10">
            <v>24.822916666666668</v>
          </cell>
        </row>
        <row r="11">
          <cell r="AC11">
            <v>25.212083333333336</v>
          </cell>
        </row>
        <row r="12">
          <cell r="AC12">
            <v>27.746875047683716</v>
          </cell>
        </row>
        <row r="13">
          <cell r="AC13">
            <v>24.737500000000001</v>
          </cell>
        </row>
        <row r="14">
          <cell r="AC14">
            <v>24.633333333333344</v>
          </cell>
        </row>
        <row r="15">
          <cell r="AC15">
            <v>25.633333333333344</v>
          </cell>
        </row>
        <row r="18">
          <cell r="AC18">
            <v>31.791666666666668</v>
          </cell>
        </row>
      </sheetData>
      <sheetData sheetId="6" refreshError="1"/>
      <sheetData sheetId="7" refreshError="1"/>
      <sheetData sheetId="8" refreshError="1"/>
      <sheetData sheetId="9">
        <row r="9">
          <cell r="B9">
            <v>4.9980000000000002</v>
          </cell>
        </row>
        <row r="10">
          <cell r="B10">
            <v>5.3840000000000003</v>
          </cell>
        </row>
        <row r="11">
          <cell r="B11">
            <v>4.891</v>
          </cell>
        </row>
        <row r="12">
          <cell r="B12">
            <v>3.738</v>
          </cell>
        </row>
        <row r="13">
          <cell r="B13">
            <v>3.1819999999999999</v>
          </cell>
        </row>
        <row r="14">
          <cell r="B14">
            <v>3.1670000000000003</v>
          </cell>
        </row>
        <row r="15">
          <cell r="B15">
            <v>2.2949999999999999</v>
          </cell>
        </row>
        <row r="16">
          <cell r="B16">
            <v>1.83</v>
          </cell>
        </row>
        <row r="17">
          <cell r="B17">
            <v>2.3199999999999998</v>
          </cell>
        </row>
        <row r="18">
          <cell r="B18">
            <v>2.6880000000000002</v>
          </cell>
        </row>
        <row r="19">
          <cell r="B19">
            <v>2.8930000000000002</v>
          </cell>
        </row>
        <row r="20">
          <cell r="B20">
            <v>2.8880000000000003</v>
          </cell>
        </row>
        <row r="21">
          <cell r="B21">
            <v>2.839</v>
          </cell>
        </row>
        <row r="22">
          <cell r="B22">
            <v>2.75</v>
          </cell>
        </row>
        <row r="23">
          <cell r="B23">
            <v>2.7749999999999999</v>
          </cell>
        </row>
        <row r="24">
          <cell r="B24">
            <v>2.82</v>
          </cell>
        </row>
        <row r="25">
          <cell r="B25">
            <v>2.8650000000000002</v>
          </cell>
        </row>
        <row r="26">
          <cell r="B26">
            <v>2.9</v>
          </cell>
        </row>
        <row r="27">
          <cell r="B27">
            <v>2.8980000000000001</v>
          </cell>
        </row>
        <row r="28">
          <cell r="B28">
            <v>2.923</v>
          </cell>
        </row>
        <row r="29">
          <cell r="B29">
            <v>3.113</v>
          </cell>
        </row>
        <row r="30">
          <cell r="B30">
            <v>3.323</v>
          </cell>
        </row>
        <row r="31">
          <cell r="B31">
            <v>3.4430000000000001</v>
          </cell>
        </row>
        <row r="32">
          <cell r="B32">
            <v>3.3530000000000002</v>
          </cell>
        </row>
        <row r="33">
          <cell r="B33">
            <v>3.2430000000000003</v>
          </cell>
        </row>
        <row r="34">
          <cell r="B34">
            <v>3.1030000000000002</v>
          </cell>
        </row>
        <row r="35">
          <cell r="B35">
            <v>3.1160000000000001</v>
          </cell>
        </row>
        <row r="36">
          <cell r="B36">
            <v>3.1480000000000001</v>
          </cell>
        </row>
        <row r="37">
          <cell r="B37">
            <v>3.173</v>
          </cell>
        </row>
        <row r="38">
          <cell r="B38">
            <v>3.1949999999999998</v>
          </cell>
        </row>
        <row r="39">
          <cell r="B39">
            <v>3.2010000000000001</v>
          </cell>
        </row>
        <row r="40">
          <cell r="B40">
            <v>3.2160000000000002</v>
          </cell>
        </row>
        <row r="41">
          <cell r="B41">
            <v>3.395</v>
          </cell>
        </row>
        <row r="42">
          <cell r="B42">
            <v>3.5660000000000003</v>
          </cell>
        </row>
        <row r="43">
          <cell r="B43">
            <v>3.625</v>
          </cell>
        </row>
        <row r="44">
          <cell r="B44">
            <v>3.5070000000000001</v>
          </cell>
        </row>
        <row r="45">
          <cell r="B45">
            <v>3.37</v>
          </cell>
        </row>
        <row r="46">
          <cell r="B46">
            <v>3.2</v>
          </cell>
        </row>
        <row r="47">
          <cell r="B47">
            <v>3.1949999999999998</v>
          </cell>
        </row>
        <row r="48">
          <cell r="B48">
            <v>3.2270000000000003</v>
          </cell>
        </row>
        <row r="49">
          <cell r="B49">
            <v>3.2730000000000001</v>
          </cell>
        </row>
        <row r="50">
          <cell r="B50">
            <v>3.306</v>
          </cell>
        </row>
        <row r="51">
          <cell r="B51">
            <v>3.306</v>
          </cell>
        </row>
        <row r="52">
          <cell r="B52">
            <v>3.3109999999999999</v>
          </cell>
        </row>
        <row r="53">
          <cell r="B53">
            <v>3.48</v>
          </cell>
        </row>
        <row r="54">
          <cell r="B54">
            <v>3.6460000000000004</v>
          </cell>
        </row>
        <row r="55">
          <cell r="B55">
            <v>3.7174999999999998</v>
          </cell>
        </row>
        <row r="56">
          <cell r="B56">
            <v>3.5995000000000004</v>
          </cell>
        </row>
        <row r="57">
          <cell r="B57">
            <v>3.4624999999999999</v>
          </cell>
        </row>
        <row r="58">
          <cell r="B58">
            <v>3.2925</v>
          </cell>
        </row>
        <row r="59">
          <cell r="B59">
            <v>3.2875000000000001</v>
          </cell>
        </row>
        <row r="60">
          <cell r="B60">
            <v>3.3195000000000001</v>
          </cell>
        </row>
        <row r="61">
          <cell r="B61">
            <v>3.3655000000000004</v>
          </cell>
        </row>
        <row r="62">
          <cell r="B62">
            <v>3.3985000000000003</v>
          </cell>
        </row>
        <row r="63">
          <cell r="B63">
            <v>3.3985000000000003</v>
          </cell>
        </row>
        <row r="64">
          <cell r="B64">
            <v>3.4035000000000002</v>
          </cell>
        </row>
        <row r="65">
          <cell r="B65">
            <v>3.5724999999999998</v>
          </cell>
        </row>
        <row r="66">
          <cell r="B66">
            <v>3.7385000000000002</v>
          </cell>
        </row>
        <row r="67">
          <cell r="B67">
            <v>3.8125</v>
          </cell>
        </row>
        <row r="68">
          <cell r="B68">
            <v>3.6945000000000001</v>
          </cell>
        </row>
        <row r="69">
          <cell r="B69">
            <v>3.5575000000000001</v>
          </cell>
        </row>
        <row r="70">
          <cell r="B70">
            <v>3.3875000000000002</v>
          </cell>
        </row>
        <row r="71">
          <cell r="B71">
            <v>3.3824999999999998</v>
          </cell>
        </row>
        <row r="72">
          <cell r="B72">
            <v>3.4145000000000003</v>
          </cell>
        </row>
        <row r="73">
          <cell r="B73">
            <v>3.4605000000000001</v>
          </cell>
        </row>
        <row r="74">
          <cell r="B74">
            <v>3.4935</v>
          </cell>
        </row>
        <row r="75">
          <cell r="B75">
            <v>3.4935</v>
          </cell>
        </row>
        <row r="76">
          <cell r="B76">
            <v>3.4985000000000004</v>
          </cell>
        </row>
        <row r="77">
          <cell r="B77">
            <v>3.6675</v>
          </cell>
        </row>
        <row r="78">
          <cell r="B78">
            <v>3.8335000000000004</v>
          </cell>
        </row>
        <row r="79">
          <cell r="B79">
            <v>3.91</v>
          </cell>
        </row>
        <row r="80">
          <cell r="B80">
            <v>3.7920000000000003</v>
          </cell>
        </row>
        <row r="81">
          <cell r="B81">
            <v>3.6549999999999998</v>
          </cell>
        </row>
        <row r="82">
          <cell r="B82">
            <v>3.4849999999999999</v>
          </cell>
        </row>
        <row r="83">
          <cell r="B83">
            <v>3.48</v>
          </cell>
        </row>
        <row r="84">
          <cell r="B84">
            <v>3.512</v>
          </cell>
        </row>
        <row r="85">
          <cell r="B85">
            <v>3.5580000000000003</v>
          </cell>
        </row>
        <row r="86">
          <cell r="B86">
            <v>3.5910000000000002</v>
          </cell>
        </row>
        <row r="87">
          <cell r="B87">
            <v>3.5910000000000002</v>
          </cell>
        </row>
        <row r="88">
          <cell r="B88">
            <v>3.5960000000000001</v>
          </cell>
        </row>
        <row r="89">
          <cell r="B89">
            <v>3.7650000000000001</v>
          </cell>
        </row>
        <row r="90">
          <cell r="B90">
            <v>3.931</v>
          </cell>
        </row>
        <row r="91">
          <cell r="B91">
            <v>4.01</v>
          </cell>
        </row>
        <row r="92">
          <cell r="B92">
            <v>3.8920000000000003</v>
          </cell>
        </row>
        <row r="93">
          <cell r="B93">
            <v>3.7549999999999999</v>
          </cell>
        </row>
        <row r="94">
          <cell r="B94">
            <v>3.585</v>
          </cell>
        </row>
        <row r="95">
          <cell r="B95">
            <v>3.58</v>
          </cell>
        </row>
        <row r="96">
          <cell r="B96">
            <v>3.6120000000000001</v>
          </cell>
        </row>
        <row r="97">
          <cell r="B97">
            <v>3.6580000000000004</v>
          </cell>
        </row>
        <row r="98">
          <cell r="B98">
            <v>3.6910000000000003</v>
          </cell>
        </row>
        <row r="99">
          <cell r="B99">
            <v>3.6910000000000003</v>
          </cell>
        </row>
        <row r="100">
          <cell r="B100">
            <v>3.6960000000000002</v>
          </cell>
        </row>
        <row r="101">
          <cell r="B101">
            <v>3.8650000000000002</v>
          </cell>
        </row>
        <row r="102">
          <cell r="B102">
            <v>4.0310000000000006</v>
          </cell>
        </row>
        <row r="103">
          <cell r="B103">
            <v>4.1124999999999998</v>
          </cell>
        </row>
        <row r="104">
          <cell r="B104">
            <v>3.9945000000000004</v>
          </cell>
        </row>
        <row r="105">
          <cell r="B105">
            <v>3.8574999999999999</v>
          </cell>
        </row>
        <row r="106">
          <cell r="B106">
            <v>3.6875</v>
          </cell>
        </row>
        <row r="107">
          <cell r="B107">
            <v>3.6825000000000001</v>
          </cell>
        </row>
        <row r="108">
          <cell r="B108">
            <v>3.7145000000000001</v>
          </cell>
        </row>
        <row r="109">
          <cell r="B109">
            <v>3.7605000000000004</v>
          </cell>
        </row>
        <row r="110">
          <cell r="B110">
            <v>3.7935000000000003</v>
          </cell>
        </row>
        <row r="111">
          <cell r="B111">
            <v>3.7935000000000003</v>
          </cell>
        </row>
        <row r="112">
          <cell r="B112">
            <v>3.7985000000000002</v>
          </cell>
        </row>
        <row r="113">
          <cell r="B113">
            <v>3.9674999999999998</v>
          </cell>
        </row>
        <row r="114">
          <cell r="B114">
            <v>4.1335000000000006</v>
          </cell>
        </row>
        <row r="115">
          <cell r="B115">
            <v>4.2175000000000002</v>
          </cell>
        </row>
        <row r="116">
          <cell r="B116">
            <v>4.0994999999999999</v>
          </cell>
        </row>
        <row r="117">
          <cell r="B117">
            <v>3.9624999999999999</v>
          </cell>
        </row>
        <row r="118">
          <cell r="B118">
            <v>3.7925</v>
          </cell>
        </row>
        <row r="119">
          <cell r="B119">
            <v>3.7875000000000001</v>
          </cell>
        </row>
        <row r="120">
          <cell r="B120">
            <v>3.8195000000000001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>
        <row r="6">
          <cell r="B6" t="str">
            <v>Palo Verde</v>
          </cell>
          <cell r="C6" t="str">
            <v>COB</v>
          </cell>
          <cell r="D6" t="str">
            <v>MID-COLUMBIA</v>
          </cell>
          <cell r="E6" t="str">
            <v>NP15</v>
          </cell>
          <cell r="F6" t="str">
            <v>SP15</v>
          </cell>
          <cell r="G6" t="str">
            <v>Mead</v>
          </cell>
          <cell r="I6" t="str">
            <v>ZP26</v>
          </cell>
        </row>
        <row r="7">
          <cell r="A7">
            <v>37168</v>
          </cell>
          <cell r="B7">
            <v>25.4</v>
          </cell>
          <cell r="C7">
            <v>24.75</v>
          </cell>
          <cell r="D7">
            <v>22.85</v>
          </cell>
          <cell r="E7">
            <v>25.49</v>
          </cell>
          <cell r="F7">
            <v>25.6</v>
          </cell>
          <cell r="G7">
            <v>26.4</v>
          </cell>
          <cell r="I7">
            <v>25.6</v>
          </cell>
          <cell r="R7">
            <v>37</v>
          </cell>
        </row>
        <row r="8">
          <cell r="A8">
            <v>37169</v>
          </cell>
          <cell r="B8">
            <v>24.6</v>
          </cell>
          <cell r="C8">
            <v>23</v>
          </cell>
          <cell r="D8">
            <v>21.25</v>
          </cell>
          <cell r="E8">
            <v>25.2</v>
          </cell>
          <cell r="F8">
            <v>24.7</v>
          </cell>
          <cell r="G8">
            <v>25.6</v>
          </cell>
          <cell r="I8">
            <v>32.15</v>
          </cell>
          <cell r="R8">
            <v>38.5</v>
          </cell>
        </row>
        <row r="9">
          <cell r="A9">
            <v>37170</v>
          </cell>
          <cell r="B9">
            <v>24.6</v>
          </cell>
          <cell r="C9">
            <v>23</v>
          </cell>
          <cell r="D9">
            <v>21.25</v>
          </cell>
          <cell r="E9">
            <v>25.2</v>
          </cell>
          <cell r="F9">
            <v>24.7</v>
          </cell>
          <cell r="G9">
            <v>25.6</v>
          </cell>
          <cell r="I9">
            <v>31.600000381469698</v>
          </cell>
          <cell r="R9">
            <v>32.999996185302734</v>
          </cell>
        </row>
        <row r="10">
          <cell r="A10">
            <v>37172</v>
          </cell>
          <cell r="B10">
            <v>24.6</v>
          </cell>
          <cell r="C10">
            <v>25</v>
          </cell>
          <cell r="D10">
            <v>23.3</v>
          </cell>
          <cell r="E10">
            <v>25.2</v>
          </cell>
          <cell r="F10">
            <v>24.7</v>
          </cell>
          <cell r="G10">
            <v>25.6</v>
          </cell>
          <cell r="I10">
            <v>27.1875</v>
          </cell>
          <cell r="R10">
            <v>33</v>
          </cell>
        </row>
        <row r="11">
          <cell r="A11">
            <v>37173</v>
          </cell>
          <cell r="B11">
            <v>24.6</v>
          </cell>
          <cell r="C11">
            <v>25</v>
          </cell>
          <cell r="D11">
            <v>23.3</v>
          </cell>
          <cell r="E11">
            <v>25.2</v>
          </cell>
          <cell r="F11">
            <v>24.7</v>
          </cell>
          <cell r="G11">
            <v>25.6</v>
          </cell>
          <cell r="I11">
            <v>27.1875</v>
          </cell>
          <cell r="R11">
            <v>38.5</v>
          </cell>
        </row>
        <row r="12">
          <cell r="A12">
            <v>37174</v>
          </cell>
          <cell r="B12">
            <v>24.6</v>
          </cell>
          <cell r="C12">
            <v>25</v>
          </cell>
          <cell r="D12">
            <v>23.3</v>
          </cell>
          <cell r="E12">
            <v>25.2</v>
          </cell>
          <cell r="F12">
            <v>24.7</v>
          </cell>
          <cell r="G12">
            <v>25.6</v>
          </cell>
          <cell r="I12">
            <v>27.1875</v>
          </cell>
          <cell r="R12">
            <v>38.5</v>
          </cell>
        </row>
        <row r="13">
          <cell r="A13">
            <v>37175</v>
          </cell>
          <cell r="B13">
            <v>24.6</v>
          </cell>
          <cell r="C13">
            <v>25</v>
          </cell>
          <cell r="D13">
            <v>23.3</v>
          </cell>
          <cell r="E13">
            <v>25.2</v>
          </cell>
          <cell r="F13">
            <v>24.7</v>
          </cell>
          <cell r="G13">
            <v>25.6</v>
          </cell>
          <cell r="I13">
            <v>27.1875</v>
          </cell>
          <cell r="R13">
            <v>38.5</v>
          </cell>
        </row>
        <row r="14">
          <cell r="A14">
            <v>37176</v>
          </cell>
          <cell r="B14">
            <v>24.6</v>
          </cell>
          <cell r="C14">
            <v>25</v>
          </cell>
          <cell r="D14">
            <v>23.3</v>
          </cell>
          <cell r="E14">
            <v>25.2</v>
          </cell>
          <cell r="F14">
            <v>24.7</v>
          </cell>
          <cell r="G14">
            <v>25.6</v>
          </cell>
          <cell r="I14">
            <v>27.1875</v>
          </cell>
          <cell r="R14">
            <v>38.5</v>
          </cell>
        </row>
        <row r="15">
          <cell r="A15">
            <v>37177</v>
          </cell>
          <cell r="B15">
            <v>24.6</v>
          </cell>
          <cell r="C15">
            <v>25</v>
          </cell>
          <cell r="D15">
            <v>23.3</v>
          </cell>
          <cell r="E15">
            <v>25.2</v>
          </cell>
          <cell r="F15">
            <v>24.7</v>
          </cell>
          <cell r="G15">
            <v>25.6</v>
          </cell>
          <cell r="I15">
            <v>31.450000762939499</v>
          </cell>
          <cell r="R15">
            <v>31.749996185302734</v>
          </cell>
        </row>
        <row r="16">
          <cell r="A16">
            <v>37179</v>
          </cell>
          <cell r="B16">
            <v>24.6</v>
          </cell>
          <cell r="C16">
            <v>25</v>
          </cell>
          <cell r="D16">
            <v>23.3</v>
          </cell>
          <cell r="E16">
            <v>25.2</v>
          </cell>
          <cell r="F16">
            <v>24.7</v>
          </cell>
          <cell r="G16">
            <v>25.6</v>
          </cell>
          <cell r="I16">
            <v>27.1875</v>
          </cell>
          <cell r="R16">
            <v>38.5</v>
          </cell>
        </row>
        <row r="17">
          <cell r="A17">
            <v>37180</v>
          </cell>
          <cell r="B17">
            <v>24.6</v>
          </cell>
          <cell r="C17">
            <v>25</v>
          </cell>
          <cell r="D17">
            <v>23.3</v>
          </cell>
          <cell r="E17">
            <v>25.2</v>
          </cell>
          <cell r="F17">
            <v>24.7</v>
          </cell>
          <cell r="G17">
            <v>25.6</v>
          </cell>
          <cell r="I17">
            <v>27.1875</v>
          </cell>
          <cell r="R17">
            <v>38.5</v>
          </cell>
        </row>
        <row r="18">
          <cell r="A18">
            <v>37181</v>
          </cell>
          <cell r="B18">
            <v>24.6</v>
          </cell>
          <cell r="C18">
            <v>25</v>
          </cell>
          <cell r="D18">
            <v>23.3</v>
          </cell>
          <cell r="E18">
            <v>25.2</v>
          </cell>
          <cell r="F18">
            <v>24.7</v>
          </cell>
          <cell r="G18">
            <v>25.6</v>
          </cell>
          <cell r="I18">
            <v>27.1875</v>
          </cell>
          <cell r="R18">
            <v>38.5</v>
          </cell>
        </row>
        <row r="19">
          <cell r="A19">
            <v>37182</v>
          </cell>
          <cell r="B19">
            <v>24.6</v>
          </cell>
          <cell r="C19">
            <v>25</v>
          </cell>
          <cell r="D19">
            <v>23.3</v>
          </cell>
          <cell r="E19">
            <v>25.2</v>
          </cell>
          <cell r="F19">
            <v>24.7</v>
          </cell>
          <cell r="G19">
            <v>25.6</v>
          </cell>
          <cell r="I19">
            <v>27.1875</v>
          </cell>
          <cell r="R19">
            <v>38.5</v>
          </cell>
        </row>
        <row r="20">
          <cell r="A20">
            <v>37183</v>
          </cell>
          <cell r="B20">
            <v>24.6</v>
          </cell>
          <cell r="C20">
            <v>25</v>
          </cell>
          <cell r="D20">
            <v>23.3</v>
          </cell>
          <cell r="E20">
            <v>25.2</v>
          </cell>
          <cell r="F20">
            <v>24.7</v>
          </cell>
          <cell r="G20">
            <v>25.6</v>
          </cell>
          <cell r="I20">
            <v>27.1875</v>
          </cell>
          <cell r="R20">
            <v>38.5</v>
          </cell>
        </row>
        <row r="21">
          <cell r="A21">
            <v>37184</v>
          </cell>
          <cell r="B21">
            <v>24.6</v>
          </cell>
          <cell r="C21">
            <v>25</v>
          </cell>
          <cell r="D21">
            <v>23.3</v>
          </cell>
          <cell r="E21">
            <v>25.2</v>
          </cell>
          <cell r="F21">
            <v>24.7</v>
          </cell>
          <cell r="G21">
            <v>25.6</v>
          </cell>
          <cell r="I21">
            <v>30.25</v>
          </cell>
          <cell r="R21">
            <v>31.75</v>
          </cell>
        </row>
        <row r="22">
          <cell r="A22">
            <v>37186</v>
          </cell>
          <cell r="B22">
            <v>24.6</v>
          </cell>
          <cell r="C22">
            <v>25</v>
          </cell>
          <cell r="D22">
            <v>23.3</v>
          </cell>
          <cell r="E22">
            <v>25.2</v>
          </cell>
          <cell r="F22">
            <v>24.7</v>
          </cell>
          <cell r="G22">
            <v>25.6</v>
          </cell>
          <cell r="I22">
            <v>27.1875</v>
          </cell>
          <cell r="R22">
            <v>38.5</v>
          </cell>
        </row>
        <row r="23">
          <cell r="A23">
            <v>37187</v>
          </cell>
          <cell r="B23">
            <v>24.6</v>
          </cell>
          <cell r="C23">
            <v>25</v>
          </cell>
          <cell r="D23">
            <v>23.3</v>
          </cell>
          <cell r="E23">
            <v>25.2</v>
          </cell>
          <cell r="F23">
            <v>24.7</v>
          </cell>
          <cell r="G23">
            <v>25.6</v>
          </cell>
          <cell r="I23">
            <v>27.1875</v>
          </cell>
          <cell r="R23">
            <v>38.5</v>
          </cell>
        </row>
        <row r="24">
          <cell r="A24">
            <v>37188</v>
          </cell>
          <cell r="B24">
            <v>24.6</v>
          </cell>
          <cell r="C24">
            <v>25</v>
          </cell>
          <cell r="D24">
            <v>23.3</v>
          </cell>
          <cell r="E24">
            <v>25.2</v>
          </cell>
          <cell r="F24">
            <v>24.7</v>
          </cell>
          <cell r="G24">
            <v>25.6</v>
          </cell>
          <cell r="I24">
            <v>27.1875</v>
          </cell>
          <cell r="R24">
            <v>38.5</v>
          </cell>
        </row>
        <row r="25">
          <cell r="A25">
            <v>37189</v>
          </cell>
          <cell r="B25">
            <v>24.6</v>
          </cell>
          <cell r="C25">
            <v>25</v>
          </cell>
          <cell r="D25">
            <v>23.3</v>
          </cell>
          <cell r="E25">
            <v>25.2</v>
          </cell>
          <cell r="F25">
            <v>24.7</v>
          </cell>
          <cell r="G25">
            <v>25.6</v>
          </cell>
          <cell r="I25">
            <v>27.1875</v>
          </cell>
          <cell r="R25">
            <v>38.5</v>
          </cell>
        </row>
        <row r="26">
          <cell r="A26">
            <v>37190</v>
          </cell>
          <cell r="B26">
            <v>24.6</v>
          </cell>
          <cell r="C26">
            <v>25</v>
          </cell>
          <cell r="D26">
            <v>23.3</v>
          </cell>
          <cell r="E26">
            <v>25.2</v>
          </cell>
          <cell r="F26">
            <v>24.7</v>
          </cell>
          <cell r="G26">
            <v>25.6</v>
          </cell>
          <cell r="I26">
            <v>27.1875</v>
          </cell>
          <cell r="R26">
            <v>38.5</v>
          </cell>
        </row>
        <row r="27">
          <cell r="A27">
            <v>37191</v>
          </cell>
          <cell r="B27">
            <v>24.6</v>
          </cell>
          <cell r="C27">
            <v>25</v>
          </cell>
          <cell r="D27">
            <v>23.3</v>
          </cell>
          <cell r="E27">
            <v>25.2</v>
          </cell>
          <cell r="F27">
            <v>24.7</v>
          </cell>
          <cell r="G27">
            <v>25.6</v>
          </cell>
          <cell r="I27">
            <v>25.5</v>
          </cell>
          <cell r="R27">
            <v>31.75</v>
          </cell>
        </row>
        <row r="28">
          <cell r="A28">
            <v>37193</v>
          </cell>
          <cell r="B28">
            <v>24.6</v>
          </cell>
          <cell r="C28">
            <v>25</v>
          </cell>
          <cell r="D28">
            <v>23.3</v>
          </cell>
          <cell r="E28">
            <v>25.2</v>
          </cell>
          <cell r="F28">
            <v>24.7</v>
          </cell>
          <cell r="G28">
            <v>25.6</v>
          </cell>
          <cell r="I28">
            <v>27.1875</v>
          </cell>
          <cell r="R28">
            <v>38.5</v>
          </cell>
        </row>
        <row r="29">
          <cell r="A29">
            <v>37194</v>
          </cell>
          <cell r="B29">
            <v>24.6</v>
          </cell>
          <cell r="C29">
            <v>25</v>
          </cell>
          <cell r="D29">
            <v>23.3</v>
          </cell>
          <cell r="E29">
            <v>25.2</v>
          </cell>
          <cell r="F29">
            <v>24.7</v>
          </cell>
          <cell r="G29">
            <v>25.6</v>
          </cell>
          <cell r="I29">
            <v>27.1875</v>
          </cell>
          <cell r="R29">
            <v>38.5</v>
          </cell>
        </row>
        <row r="30">
          <cell r="A30">
            <v>37195</v>
          </cell>
          <cell r="B30">
            <v>24.6</v>
          </cell>
          <cell r="C30">
            <v>25</v>
          </cell>
          <cell r="D30">
            <v>23.3</v>
          </cell>
          <cell r="E30">
            <v>25.2</v>
          </cell>
          <cell r="F30">
            <v>24.7</v>
          </cell>
          <cell r="G30">
            <v>25.6</v>
          </cell>
          <cell r="I30">
            <v>27.1875</v>
          </cell>
          <cell r="R30">
            <v>38.5</v>
          </cell>
        </row>
        <row r="31">
          <cell r="A31">
            <v>37196</v>
          </cell>
          <cell r="B31">
            <v>25.25</v>
          </cell>
          <cell r="C31">
            <v>28.5</v>
          </cell>
          <cell r="D31">
            <v>27.75</v>
          </cell>
          <cell r="E31">
            <v>27.9</v>
          </cell>
          <cell r="F31">
            <v>26.1</v>
          </cell>
          <cell r="G31">
            <v>26.25</v>
          </cell>
          <cell r="I31">
            <v>24.9</v>
          </cell>
          <cell r="R31">
            <v>39.199996948242188</v>
          </cell>
        </row>
        <row r="32">
          <cell r="A32">
            <v>37197</v>
          </cell>
          <cell r="B32">
            <v>25.25</v>
          </cell>
          <cell r="C32">
            <v>28.5</v>
          </cell>
          <cell r="D32">
            <v>27.75</v>
          </cell>
          <cell r="E32">
            <v>27.9</v>
          </cell>
          <cell r="F32">
            <v>26.1</v>
          </cell>
          <cell r="G32">
            <v>26.25</v>
          </cell>
          <cell r="I32">
            <v>24.9</v>
          </cell>
          <cell r="R32">
            <v>39.199996948242188</v>
          </cell>
        </row>
        <row r="33">
          <cell r="A33">
            <v>37198</v>
          </cell>
          <cell r="B33">
            <v>25.25</v>
          </cell>
          <cell r="C33">
            <v>28.5</v>
          </cell>
          <cell r="D33">
            <v>27.75</v>
          </cell>
          <cell r="E33">
            <v>27.9</v>
          </cell>
          <cell r="F33">
            <v>24.9</v>
          </cell>
          <cell r="G33">
            <v>26.25</v>
          </cell>
          <cell r="I33">
            <v>24.899999618530298</v>
          </cell>
          <cell r="R33">
            <v>31.079996948242187</v>
          </cell>
        </row>
        <row r="34">
          <cell r="A34">
            <v>37225</v>
          </cell>
          <cell r="B34">
            <v>25.25</v>
          </cell>
          <cell r="C34">
            <v>28.5</v>
          </cell>
          <cell r="D34">
            <v>27.75</v>
          </cell>
          <cell r="E34">
            <v>27.9</v>
          </cell>
          <cell r="F34">
            <v>26.1</v>
          </cell>
          <cell r="G34">
            <v>26.25</v>
          </cell>
          <cell r="I34">
            <v>26.1</v>
          </cell>
          <cell r="R34">
            <v>39.199996948242188</v>
          </cell>
        </row>
        <row r="35">
          <cell r="A35">
            <v>37226</v>
          </cell>
          <cell r="B35">
            <v>29.5</v>
          </cell>
          <cell r="C35">
            <v>35.1</v>
          </cell>
          <cell r="D35">
            <v>34.85</v>
          </cell>
          <cell r="E35">
            <v>33.799999999999997</v>
          </cell>
          <cell r="F35">
            <v>29.8</v>
          </cell>
          <cell r="G35">
            <v>31.5</v>
          </cell>
          <cell r="I35">
            <v>29.8</v>
          </cell>
          <cell r="R35">
            <v>46.549999237060547</v>
          </cell>
        </row>
        <row r="36">
          <cell r="A36">
            <v>37257</v>
          </cell>
          <cell r="B36">
            <v>29.5</v>
          </cell>
          <cell r="C36">
            <v>33.5</v>
          </cell>
          <cell r="D36">
            <v>33.75</v>
          </cell>
          <cell r="E36">
            <v>34.25</v>
          </cell>
          <cell r="F36">
            <v>31.25</v>
          </cell>
          <cell r="G36">
            <v>31</v>
          </cell>
          <cell r="I36">
            <v>31.25</v>
          </cell>
          <cell r="R36">
            <v>46.738515319824216</v>
          </cell>
        </row>
        <row r="37">
          <cell r="A37">
            <v>37288</v>
          </cell>
          <cell r="B37">
            <v>28.75</v>
          </cell>
          <cell r="C37">
            <v>31.9</v>
          </cell>
          <cell r="D37">
            <v>32</v>
          </cell>
          <cell r="E37">
            <v>33.75</v>
          </cell>
          <cell r="F37">
            <v>31.25</v>
          </cell>
          <cell r="G37">
            <v>30</v>
          </cell>
          <cell r="I37">
            <v>31.25</v>
          </cell>
          <cell r="R37">
            <v>46.044737701416018</v>
          </cell>
        </row>
        <row r="38">
          <cell r="A38">
            <v>37316</v>
          </cell>
          <cell r="B38">
            <v>28.75</v>
          </cell>
          <cell r="C38">
            <v>28</v>
          </cell>
          <cell r="D38">
            <v>28</v>
          </cell>
          <cell r="E38">
            <v>31.75</v>
          </cell>
          <cell r="F38">
            <v>30.5</v>
          </cell>
          <cell r="G38">
            <v>30</v>
          </cell>
          <cell r="I38">
            <v>30.5</v>
          </cell>
          <cell r="R38">
            <v>44.989060668945314</v>
          </cell>
        </row>
        <row r="39">
          <cell r="A39">
            <v>37347</v>
          </cell>
          <cell r="B39">
            <v>29.5</v>
          </cell>
          <cell r="C39">
            <v>30</v>
          </cell>
          <cell r="D39">
            <v>28</v>
          </cell>
          <cell r="E39">
            <v>29.5</v>
          </cell>
          <cell r="F39">
            <v>29.5</v>
          </cell>
          <cell r="G39">
            <v>31.5</v>
          </cell>
          <cell r="I39">
            <v>29.5</v>
          </cell>
          <cell r="R39">
            <v>42.094276123046875</v>
          </cell>
        </row>
        <row r="40">
          <cell r="A40">
            <v>37377</v>
          </cell>
          <cell r="B40">
            <v>32.5</v>
          </cell>
          <cell r="C40">
            <v>29.25</v>
          </cell>
          <cell r="D40">
            <v>26.75</v>
          </cell>
          <cell r="E40">
            <v>29.5</v>
          </cell>
          <cell r="F40">
            <v>32.75</v>
          </cell>
          <cell r="G40">
            <v>35.5</v>
          </cell>
          <cell r="I40">
            <v>29.5</v>
          </cell>
          <cell r="R40">
            <v>42.559287414550781</v>
          </cell>
        </row>
        <row r="41">
          <cell r="A41">
            <v>37408</v>
          </cell>
          <cell r="B41">
            <v>41.5</v>
          </cell>
          <cell r="C41">
            <v>30.5</v>
          </cell>
          <cell r="D41">
            <v>28</v>
          </cell>
          <cell r="E41">
            <v>36.25</v>
          </cell>
          <cell r="F41">
            <v>37.5</v>
          </cell>
          <cell r="G41">
            <v>46.5</v>
          </cell>
          <cell r="I41">
            <v>36.25</v>
          </cell>
          <cell r="R41">
            <v>43.415684856194005</v>
          </cell>
        </row>
        <row r="42">
          <cell r="A42">
            <v>37438</v>
          </cell>
          <cell r="B42">
            <v>49</v>
          </cell>
          <cell r="C42">
            <v>44</v>
          </cell>
          <cell r="D42">
            <v>41</v>
          </cell>
          <cell r="E42">
            <v>44</v>
          </cell>
          <cell r="F42">
            <v>46.75</v>
          </cell>
          <cell r="G42">
            <v>56</v>
          </cell>
          <cell r="I42">
            <v>44</v>
          </cell>
          <cell r="R42">
            <v>46.03385745195893</v>
          </cell>
        </row>
        <row r="43">
          <cell r="A43">
            <v>37469</v>
          </cell>
          <cell r="B43">
            <v>56</v>
          </cell>
          <cell r="C43">
            <v>52</v>
          </cell>
          <cell r="D43">
            <v>49.5</v>
          </cell>
          <cell r="E43">
            <v>51</v>
          </cell>
          <cell r="F43">
            <v>52.75</v>
          </cell>
          <cell r="G43">
            <v>66</v>
          </cell>
          <cell r="I43">
            <v>51</v>
          </cell>
          <cell r="R43">
            <v>46.720463168637096</v>
          </cell>
        </row>
        <row r="44">
          <cell r="A44">
            <v>37500</v>
          </cell>
          <cell r="B44">
            <v>46.5</v>
          </cell>
          <cell r="C44">
            <v>44.5</v>
          </cell>
          <cell r="D44">
            <v>41</v>
          </cell>
          <cell r="E44">
            <v>43</v>
          </cell>
          <cell r="F44">
            <v>39.25</v>
          </cell>
          <cell r="G44">
            <v>53.5</v>
          </cell>
          <cell r="I44">
            <v>39.25</v>
          </cell>
          <cell r="R44">
            <v>46.688050112768842</v>
          </cell>
        </row>
        <row r="45">
          <cell r="A45">
            <v>37530</v>
          </cell>
          <cell r="B45">
            <v>33.5</v>
          </cell>
          <cell r="C45">
            <v>34.25</v>
          </cell>
          <cell r="D45">
            <v>35.5</v>
          </cell>
          <cell r="E45">
            <v>36.75</v>
          </cell>
          <cell r="F45">
            <v>35.25</v>
          </cell>
          <cell r="G45">
            <v>36</v>
          </cell>
          <cell r="I45">
            <v>35.25</v>
          </cell>
          <cell r="R45">
            <v>45.363648045943307</v>
          </cell>
        </row>
        <row r="46">
          <cell r="A46">
            <v>37561</v>
          </cell>
          <cell r="B46">
            <v>31.5</v>
          </cell>
          <cell r="C46">
            <v>32</v>
          </cell>
          <cell r="D46">
            <v>33</v>
          </cell>
          <cell r="E46">
            <v>34.5</v>
          </cell>
          <cell r="F46">
            <v>34.5</v>
          </cell>
          <cell r="G46">
            <v>33.5</v>
          </cell>
          <cell r="I46">
            <v>34.5</v>
          </cell>
          <cell r="R46">
            <v>50.122292181478933</v>
          </cell>
        </row>
        <row r="47">
          <cell r="A47">
            <v>37591</v>
          </cell>
          <cell r="B47">
            <v>32.5</v>
          </cell>
          <cell r="C47">
            <v>34</v>
          </cell>
          <cell r="D47">
            <v>35</v>
          </cell>
          <cell r="E47">
            <v>36.75</v>
          </cell>
          <cell r="F47">
            <v>36.75</v>
          </cell>
          <cell r="G47">
            <v>34.5</v>
          </cell>
          <cell r="I47">
            <v>36.75</v>
          </cell>
          <cell r="R47">
            <v>54.040554605681521</v>
          </cell>
        </row>
        <row r="48">
          <cell r="A48">
            <v>37622</v>
          </cell>
          <cell r="B48">
            <v>33.75</v>
          </cell>
          <cell r="C48">
            <v>37</v>
          </cell>
          <cell r="D48">
            <v>38</v>
          </cell>
          <cell r="E48">
            <v>38</v>
          </cell>
          <cell r="F48">
            <v>37.5</v>
          </cell>
          <cell r="G48">
            <v>35.75</v>
          </cell>
          <cell r="I48">
            <v>27.5</v>
          </cell>
          <cell r="R48">
            <v>47.278262748383035</v>
          </cell>
        </row>
        <row r="49">
          <cell r="A49">
            <v>37653</v>
          </cell>
          <cell r="B49">
            <v>33.25</v>
          </cell>
          <cell r="C49">
            <v>34.5</v>
          </cell>
          <cell r="D49">
            <v>35.5</v>
          </cell>
          <cell r="E49">
            <v>37</v>
          </cell>
          <cell r="F49">
            <v>36.5</v>
          </cell>
          <cell r="G49">
            <v>35.25</v>
          </cell>
          <cell r="I49">
            <v>26.5</v>
          </cell>
          <cell r="R49">
            <v>45.874440960413892</v>
          </cell>
        </row>
        <row r="50">
          <cell r="A50">
            <v>37681</v>
          </cell>
          <cell r="B50">
            <v>33.25</v>
          </cell>
          <cell r="C50">
            <v>31</v>
          </cell>
          <cell r="D50">
            <v>31</v>
          </cell>
          <cell r="E50">
            <v>34.5</v>
          </cell>
          <cell r="F50">
            <v>34</v>
          </cell>
          <cell r="G50">
            <v>35.25</v>
          </cell>
          <cell r="I50">
            <v>24</v>
          </cell>
          <cell r="R50">
            <v>44.155655738014168</v>
          </cell>
        </row>
        <row r="51">
          <cell r="A51">
            <v>37712</v>
          </cell>
          <cell r="B51">
            <v>32.75</v>
          </cell>
          <cell r="C51">
            <v>32.5</v>
          </cell>
          <cell r="D51">
            <v>29.5</v>
          </cell>
          <cell r="E51">
            <v>32.25</v>
          </cell>
          <cell r="F51">
            <v>33.5</v>
          </cell>
          <cell r="G51">
            <v>34.75</v>
          </cell>
          <cell r="I51">
            <v>22.25</v>
          </cell>
          <cell r="R51">
            <v>41.339262323673609</v>
          </cell>
        </row>
        <row r="52">
          <cell r="A52">
            <v>37742</v>
          </cell>
          <cell r="B52">
            <v>32.75</v>
          </cell>
          <cell r="C52">
            <v>28.25</v>
          </cell>
          <cell r="D52">
            <v>25</v>
          </cell>
          <cell r="E52">
            <v>33.25</v>
          </cell>
          <cell r="F52">
            <v>34.25</v>
          </cell>
          <cell r="G52">
            <v>34.75</v>
          </cell>
          <cell r="I52">
            <v>23.25</v>
          </cell>
          <cell r="R52">
            <v>41.546649754657516</v>
          </cell>
        </row>
        <row r="53">
          <cell r="A53">
            <v>37773</v>
          </cell>
          <cell r="B53">
            <v>37.25</v>
          </cell>
          <cell r="C53">
            <v>29.25</v>
          </cell>
          <cell r="D53">
            <v>26</v>
          </cell>
          <cell r="E53">
            <v>37.25</v>
          </cell>
          <cell r="F53">
            <v>43.25</v>
          </cell>
          <cell r="G53">
            <v>41.75</v>
          </cell>
          <cell r="I53">
            <v>27.25</v>
          </cell>
          <cell r="R53">
            <v>42.051335336045746</v>
          </cell>
        </row>
        <row r="54">
          <cell r="A54">
            <v>37803</v>
          </cell>
          <cell r="B54">
            <v>51.5</v>
          </cell>
          <cell r="C54">
            <v>50.5</v>
          </cell>
          <cell r="D54">
            <v>46</v>
          </cell>
          <cell r="E54">
            <v>47.5</v>
          </cell>
          <cell r="F54">
            <v>53.5</v>
          </cell>
          <cell r="G54">
            <v>57.5</v>
          </cell>
          <cell r="I54">
            <v>37.5</v>
          </cell>
          <cell r="R54">
            <v>42.445530898575761</v>
          </cell>
        </row>
        <row r="55">
          <cell r="A55">
            <v>37834</v>
          </cell>
          <cell r="B55">
            <v>57</v>
          </cell>
          <cell r="C55">
            <v>57.5</v>
          </cell>
          <cell r="D55">
            <v>54</v>
          </cell>
          <cell r="E55">
            <v>56.25</v>
          </cell>
          <cell r="F55">
            <v>57.5</v>
          </cell>
          <cell r="G55">
            <v>65</v>
          </cell>
          <cell r="I55">
            <v>46.25</v>
          </cell>
          <cell r="R55">
            <v>42.791994793972414</v>
          </cell>
        </row>
        <row r="56">
          <cell r="A56">
            <v>37865</v>
          </cell>
          <cell r="B56">
            <v>45.5</v>
          </cell>
          <cell r="C56">
            <v>46.5</v>
          </cell>
          <cell r="D56">
            <v>43</v>
          </cell>
          <cell r="E56">
            <v>51.5</v>
          </cell>
          <cell r="F56">
            <v>46.5</v>
          </cell>
          <cell r="G56">
            <v>51.5</v>
          </cell>
          <cell r="I56">
            <v>36.5</v>
          </cell>
          <cell r="R56">
            <v>42.886975883991887</v>
          </cell>
        </row>
        <row r="57">
          <cell r="A57">
            <v>37895</v>
          </cell>
          <cell r="B57">
            <v>34</v>
          </cell>
          <cell r="C57">
            <v>35.5</v>
          </cell>
          <cell r="D57">
            <v>36</v>
          </cell>
          <cell r="E57">
            <v>37.5</v>
          </cell>
          <cell r="F57">
            <v>36</v>
          </cell>
          <cell r="G57">
            <v>36.25</v>
          </cell>
          <cell r="I57">
            <v>26</v>
          </cell>
          <cell r="R57">
            <v>43.123561390394222</v>
          </cell>
        </row>
        <row r="58">
          <cell r="A58">
            <v>37926</v>
          </cell>
          <cell r="B58">
            <v>32.5</v>
          </cell>
          <cell r="C58">
            <v>33.5</v>
          </cell>
          <cell r="D58">
            <v>34</v>
          </cell>
          <cell r="E58">
            <v>36.5</v>
          </cell>
          <cell r="F58">
            <v>34.5</v>
          </cell>
          <cell r="G58">
            <v>34.25</v>
          </cell>
          <cell r="I58">
            <v>24.5</v>
          </cell>
          <cell r="R58">
            <v>46.945458547079802</v>
          </cell>
        </row>
        <row r="59">
          <cell r="A59">
            <v>37956</v>
          </cell>
          <cell r="B59">
            <v>32.5</v>
          </cell>
          <cell r="C59">
            <v>36.5</v>
          </cell>
          <cell r="D59">
            <v>37</v>
          </cell>
          <cell r="E59">
            <v>38.5</v>
          </cell>
          <cell r="F59">
            <v>39</v>
          </cell>
          <cell r="G59">
            <v>34</v>
          </cell>
          <cell r="I59">
            <v>28.5</v>
          </cell>
          <cell r="R59">
            <v>49.621405010438885</v>
          </cell>
        </row>
        <row r="60">
          <cell r="A60">
            <v>37987</v>
          </cell>
          <cell r="B60">
            <v>34.61</v>
          </cell>
          <cell r="C60">
            <v>36.83</v>
          </cell>
          <cell r="D60">
            <v>37.159999999999997</v>
          </cell>
          <cell r="E60">
            <v>39.29</v>
          </cell>
          <cell r="F60">
            <v>39.700000000000003</v>
          </cell>
          <cell r="G60">
            <v>36.81</v>
          </cell>
          <cell r="I60">
            <v>18.25</v>
          </cell>
          <cell r="R60">
            <v>48.135202527010954</v>
          </cell>
        </row>
        <row r="61">
          <cell r="A61">
            <v>38018</v>
          </cell>
          <cell r="B61">
            <v>34.19</v>
          </cell>
          <cell r="C61">
            <v>34.72</v>
          </cell>
          <cell r="D61">
            <v>35.08</v>
          </cell>
          <cell r="E61">
            <v>38.76</v>
          </cell>
          <cell r="F61">
            <v>37.700000000000003</v>
          </cell>
          <cell r="G61">
            <v>36.39</v>
          </cell>
          <cell r="I61">
            <v>20.5</v>
          </cell>
          <cell r="R61">
            <v>46.370841891385552</v>
          </cell>
        </row>
        <row r="62">
          <cell r="A62">
            <v>38047</v>
          </cell>
          <cell r="B62">
            <v>34.19</v>
          </cell>
          <cell r="C62">
            <v>31.78</v>
          </cell>
          <cell r="D62">
            <v>31.32</v>
          </cell>
          <cell r="E62">
            <v>37.229999999999997</v>
          </cell>
          <cell r="F62">
            <v>35.450000000000003</v>
          </cell>
          <cell r="G62">
            <v>36.39</v>
          </cell>
          <cell r="I62">
            <v>17.5</v>
          </cell>
          <cell r="R62">
            <v>44.3226970343838</v>
          </cell>
        </row>
        <row r="63">
          <cell r="A63">
            <v>38078</v>
          </cell>
          <cell r="B63">
            <v>33.76</v>
          </cell>
          <cell r="C63">
            <v>33.049999999999997</v>
          </cell>
          <cell r="D63">
            <v>30.07</v>
          </cell>
          <cell r="E63">
            <v>35.51</v>
          </cell>
          <cell r="F63">
            <v>34.700000000000003</v>
          </cell>
          <cell r="G63">
            <v>35.96</v>
          </cell>
          <cell r="I63">
            <v>25.25</v>
          </cell>
          <cell r="R63">
            <v>40.889840327256721</v>
          </cell>
        </row>
        <row r="64">
          <cell r="A64">
            <v>38108</v>
          </cell>
          <cell r="B64">
            <v>33.76</v>
          </cell>
          <cell r="C64">
            <v>29.47</v>
          </cell>
          <cell r="D64">
            <v>26.31</v>
          </cell>
          <cell r="E64">
            <v>37.17</v>
          </cell>
          <cell r="F64">
            <v>35.450000000000003</v>
          </cell>
          <cell r="G64">
            <v>35.96</v>
          </cell>
          <cell r="I64">
            <v>25.25</v>
          </cell>
          <cell r="R64">
            <v>40.818219095192291</v>
          </cell>
        </row>
        <row r="65">
          <cell r="A65">
            <v>38139</v>
          </cell>
          <cell r="B65">
            <v>37.61</v>
          </cell>
          <cell r="C65">
            <v>30.31</v>
          </cell>
          <cell r="D65">
            <v>27.15</v>
          </cell>
          <cell r="E65">
            <v>41.65</v>
          </cell>
          <cell r="F65">
            <v>43.95</v>
          </cell>
          <cell r="G65">
            <v>41.94</v>
          </cell>
          <cell r="I65">
            <v>31.25</v>
          </cell>
          <cell r="R65">
            <v>41.298759129244161</v>
          </cell>
        </row>
        <row r="66">
          <cell r="A66">
            <v>38169</v>
          </cell>
          <cell r="B66">
            <v>49.8</v>
          </cell>
          <cell r="C66">
            <v>48.26</v>
          </cell>
          <cell r="D66">
            <v>43.93</v>
          </cell>
          <cell r="E66">
            <v>43.73</v>
          </cell>
          <cell r="F66">
            <v>49.95</v>
          </cell>
          <cell r="G66">
            <v>55.4</v>
          </cell>
          <cell r="I66">
            <v>35.25</v>
          </cell>
          <cell r="R66">
            <v>41.990248189769204</v>
          </cell>
        </row>
        <row r="67">
          <cell r="A67">
            <v>38200</v>
          </cell>
          <cell r="B67">
            <v>54.51</v>
          </cell>
          <cell r="C67">
            <v>54.19</v>
          </cell>
          <cell r="D67">
            <v>50.65</v>
          </cell>
          <cell r="E67">
            <v>51.16</v>
          </cell>
          <cell r="F67">
            <v>52.45</v>
          </cell>
          <cell r="G67">
            <v>61.81</v>
          </cell>
          <cell r="I67">
            <v>44.25</v>
          </cell>
          <cell r="R67">
            <v>42.490438256966911</v>
          </cell>
        </row>
        <row r="68">
          <cell r="A68">
            <v>38231</v>
          </cell>
          <cell r="B68">
            <v>44.67</v>
          </cell>
          <cell r="C68">
            <v>44.9</v>
          </cell>
          <cell r="D68">
            <v>41.44</v>
          </cell>
          <cell r="E68">
            <v>47.08</v>
          </cell>
          <cell r="F68">
            <v>43.45</v>
          </cell>
          <cell r="G68">
            <v>50.27</v>
          </cell>
          <cell r="I68">
            <v>28.25</v>
          </cell>
          <cell r="R68">
            <v>42.49813993335033</v>
          </cell>
        </row>
        <row r="69">
          <cell r="A69">
            <v>38261</v>
          </cell>
          <cell r="B69">
            <v>34.83</v>
          </cell>
          <cell r="C69">
            <v>35.619999999999997</v>
          </cell>
          <cell r="D69">
            <v>35.57</v>
          </cell>
          <cell r="E69">
            <v>38.78</v>
          </cell>
          <cell r="F69">
            <v>37.700000000000003</v>
          </cell>
          <cell r="G69">
            <v>37.24</v>
          </cell>
          <cell r="I69">
            <v>28.5</v>
          </cell>
          <cell r="R69">
            <v>42.58258932870141</v>
          </cell>
        </row>
        <row r="70">
          <cell r="A70">
            <v>38292</v>
          </cell>
          <cell r="B70">
            <v>33.549999999999997</v>
          </cell>
          <cell r="C70">
            <v>33.93</v>
          </cell>
          <cell r="D70">
            <v>33.9</v>
          </cell>
          <cell r="E70">
            <v>37</v>
          </cell>
          <cell r="F70">
            <v>37.450000000000003</v>
          </cell>
          <cell r="G70">
            <v>35.53</v>
          </cell>
          <cell r="I70">
            <v>25</v>
          </cell>
          <cell r="R70">
            <v>46.001272576934689</v>
          </cell>
        </row>
        <row r="71">
          <cell r="A71">
            <v>38322</v>
          </cell>
          <cell r="B71">
            <v>33.549999999999997</v>
          </cell>
          <cell r="C71">
            <v>36.47</v>
          </cell>
          <cell r="D71">
            <v>36.43</v>
          </cell>
          <cell r="E71">
            <v>38.659999999999997</v>
          </cell>
          <cell r="F71">
            <v>41.45</v>
          </cell>
          <cell r="G71">
            <v>35.32</v>
          </cell>
          <cell r="I71">
            <v>28.25</v>
          </cell>
          <cell r="R71">
            <v>48.47670969205133</v>
          </cell>
        </row>
        <row r="72">
          <cell r="A72">
            <v>38353</v>
          </cell>
          <cell r="B72">
            <v>35.39</v>
          </cell>
          <cell r="C72">
            <v>37.130000000000003</v>
          </cell>
          <cell r="D72">
            <v>37.21</v>
          </cell>
          <cell r="E72">
            <v>39.5</v>
          </cell>
          <cell r="F72">
            <v>40.450000000000003</v>
          </cell>
          <cell r="G72">
            <v>37.71</v>
          </cell>
          <cell r="I72">
            <v>18.25</v>
          </cell>
          <cell r="R72">
            <v>47.064408259299327</v>
          </cell>
        </row>
        <row r="73">
          <cell r="A73">
            <v>38384</v>
          </cell>
          <cell r="B73">
            <v>35.020000000000003</v>
          </cell>
          <cell r="C73">
            <v>35.340000000000003</v>
          </cell>
          <cell r="D73">
            <v>35.43</v>
          </cell>
          <cell r="E73">
            <v>39.25</v>
          </cell>
          <cell r="F73">
            <v>38.450000000000003</v>
          </cell>
          <cell r="G73">
            <v>37.340000000000003</v>
          </cell>
          <cell r="I73">
            <v>20.5</v>
          </cell>
          <cell r="R73">
            <v>45.388393005984341</v>
          </cell>
        </row>
        <row r="74">
          <cell r="A74">
            <v>38412</v>
          </cell>
          <cell r="B74">
            <v>35.020000000000003</v>
          </cell>
          <cell r="C74">
            <v>32.83</v>
          </cell>
          <cell r="D74">
            <v>32.21</v>
          </cell>
          <cell r="E74">
            <v>38</v>
          </cell>
          <cell r="F74">
            <v>36.450000000000003</v>
          </cell>
          <cell r="G74">
            <v>37.340000000000003</v>
          </cell>
          <cell r="I74">
            <v>17.5</v>
          </cell>
          <cell r="R74">
            <v>43.442864058775712</v>
          </cell>
        </row>
        <row r="75">
          <cell r="A75">
            <v>38443</v>
          </cell>
          <cell r="B75">
            <v>34.659999999999997</v>
          </cell>
          <cell r="C75">
            <v>33.92</v>
          </cell>
          <cell r="D75">
            <v>31.14</v>
          </cell>
          <cell r="E75">
            <v>37</v>
          </cell>
          <cell r="F75">
            <v>36.200000000000003</v>
          </cell>
          <cell r="G75">
            <v>36.979999999999997</v>
          </cell>
          <cell r="I75">
            <v>24.25</v>
          </cell>
          <cell r="R75">
            <v>40.252279459969259</v>
          </cell>
        </row>
        <row r="76">
          <cell r="A76">
            <v>38473</v>
          </cell>
          <cell r="B76">
            <v>34.659999999999997</v>
          </cell>
          <cell r="C76">
            <v>30.86</v>
          </cell>
          <cell r="D76">
            <v>27.92</v>
          </cell>
          <cell r="E76">
            <v>38.5</v>
          </cell>
          <cell r="F76">
            <v>36.700000000000003</v>
          </cell>
          <cell r="G76">
            <v>36.979999999999997</v>
          </cell>
          <cell r="I76">
            <v>24.25</v>
          </cell>
          <cell r="R76">
            <v>40.185440830415757</v>
          </cell>
        </row>
        <row r="77">
          <cell r="A77">
            <v>38504</v>
          </cell>
          <cell r="B77">
            <v>37.950000000000003</v>
          </cell>
          <cell r="C77">
            <v>31.6</v>
          </cell>
          <cell r="D77">
            <v>28.64</v>
          </cell>
          <cell r="E77">
            <v>42.75</v>
          </cell>
          <cell r="F77">
            <v>44.2</v>
          </cell>
          <cell r="G77">
            <v>42.08</v>
          </cell>
          <cell r="I77">
            <v>29.25</v>
          </cell>
          <cell r="R77">
            <v>40.643689504623197</v>
          </cell>
        </row>
        <row r="78">
          <cell r="A78">
            <v>38534</v>
          </cell>
          <cell r="B78">
            <v>48.39</v>
          </cell>
          <cell r="C78">
            <v>46.96</v>
          </cell>
          <cell r="D78">
            <v>43</v>
          </cell>
          <cell r="E78">
            <v>42.25</v>
          </cell>
          <cell r="F78">
            <v>47.95</v>
          </cell>
          <cell r="G78">
            <v>53.59</v>
          </cell>
          <cell r="I78">
            <v>26.25</v>
          </cell>
          <cell r="R78">
            <v>41.302362797794132</v>
          </cell>
        </row>
        <row r="79">
          <cell r="A79">
            <v>38565</v>
          </cell>
          <cell r="B79">
            <v>52.41</v>
          </cell>
          <cell r="C79">
            <v>52.04</v>
          </cell>
          <cell r="D79">
            <v>48.76</v>
          </cell>
          <cell r="E79">
            <v>48.5</v>
          </cell>
          <cell r="F79">
            <v>49.45</v>
          </cell>
          <cell r="G79">
            <v>59.05</v>
          </cell>
          <cell r="I79">
            <v>35.25</v>
          </cell>
          <cell r="R79">
            <v>41.778801328768516</v>
          </cell>
        </row>
        <row r="80">
          <cell r="A80">
            <v>38596</v>
          </cell>
          <cell r="B80">
            <v>43.99</v>
          </cell>
          <cell r="C80">
            <v>44.1</v>
          </cell>
          <cell r="D80">
            <v>40.869999999999997</v>
          </cell>
          <cell r="E80">
            <v>45</v>
          </cell>
          <cell r="F80">
            <v>41.95</v>
          </cell>
          <cell r="G80">
            <v>49.19</v>
          </cell>
          <cell r="I80">
            <v>22.25</v>
          </cell>
          <cell r="R80">
            <v>41.787090567883887</v>
          </cell>
        </row>
        <row r="81">
          <cell r="A81">
            <v>38626</v>
          </cell>
          <cell r="B81">
            <v>35.58</v>
          </cell>
          <cell r="C81">
            <v>36.159999999999997</v>
          </cell>
          <cell r="D81">
            <v>35.85</v>
          </cell>
          <cell r="E81">
            <v>40.5</v>
          </cell>
          <cell r="F81">
            <v>39.200000000000003</v>
          </cell>
          <cell r="G81">
            <v>38.08</v>
          </cell>
          <cell r="I81">
            <v>25.5</v>
          </cell>
          <cell r="R81">
            <v>41.867505455278682</v>
          </cell>
        </row>
        <row r="82">
          <cell r="A82">
            <v>38657</v>
          </cell>
          <cell r="B82">
            <v>34.479999999999997</v>
          </cell>
          <cell r="C82">
            <v>34.729999999999997</v>
          </cell>
          <cell r="D82">
            <v>34.42</v>
          </cell>
          <cell r="E82">
            <v>38.25</v>
          </cell>
          <cell r="F82">
            <v>38.700000000000003</v>
          </cell>
          <cell r="G82">
            <v>36.619999999999997</v>
          </cell>
          <cell r="I82">
            <v>22.5</v>
          </cell>
          <cell r="R82">
            <v>44.990957521006941</v>
          </cell>
        </row>
        <row r="83">
          <cell r="A83">
            <v>38687</v>
          </cell>
          <cell r="B83">
            <v>34.479999999999997</v>
          </cell>
          <cell r="C83">
            <v>36.909999999999997</v>
          </cell>
          <cell r="D83">
            <v>36.590000000000003</v>
          </cell>
          <cell r="E83">
            <v>39.5</v>
          </cell>
          <cell r="F83">
            <v>42.7</v>
          </cell>
          <cell r="G83">
            <v>36.44</v>
          </cell>
          <cell r="I83">
            <v>25.75</v>
          </cell>
          <cell r="R83">
            <v>47.363151840173764</v>
          </cell>
        </row>
        <row r="84">
          <cell r="A84">
            <v>38718</v>
          </cell>
          <cell r="B84">
            <v>36.08</v>
          </cell>
          <cell r="C84">
            <v>37.909999999999997</v>
          </cell>
          <cell r="D84">
            <v>37.340000000000003</v>
          </cell>
          <cell r="E84">
            <v>39.71</v>
          </cell>
          <cell r="F84">
            <v>40.950000000000003</v>
          </cell>
          <cell r="G84">
            <v>38.5</v>
          </cell>
          <cell r="I84">
            <v>18.5</v>
          </cell>
          <cell r="R84">
            <v>42.570205750659291</v>
          </cell>
        </row>
        <row r="85">
          <cell r="A85">
            <v>38749</v>
          </cell>
          <cell r="B85">
            <v>35.770000000000003</v>
          </cell>
          <cell r="C85">
            <v>36.270000000000003</v>
          </cell>
          <cell r="D85">
            <v>35.729999999999997</v>
          </cell>
          <cell r="E85">
            <v>39.700000000000003</v>
          </cell>
          <cell r="F85">
            <v>39.04</v>
          </cell>
          <cell r="G85">
            <v>38.19</v>
          </cell>
          <cell r="I85">
            <v>20.75</v>
          </cell>
          <cell r="R85">
            <v>41.117098725657939</v>
          </cell>
        </row>
        <row r="86">
          <cell r="A86">
            <v>38777</v>
          </cell>
          <cell r="B86">
            <v>35.770000000000003</v>
          </cell>
          <cell r="C86">
            <v>33.97</v>
          </cell>
          <cell r="D86">
            <v>32.81</v>
          </cell>
          <cell r="E86">
            <v>38.700000000000003</v>
          </cell>
          <cell r="F86">
            <v>37.42</v>
          </cell>
          <cell r="G86">
            <v>38.19</v>
          </cell>
          <cell r="I86">
            <v>17.75</v>
          </cell>
          <cell r="R86">
            <v>39.423420690906411</v>
          </cell>
        </row>
        <row r="87">
          <cell r="A87">
            <v>38808</v>
          </cell>
          <cell r="B87">
            <v>35.46</v>
          </cell>
          <cell r="C87">
            <v>34.97</v>
          </cell>
          <cell r="D87">
            <v>31.84</v>
          </cell>
          <cell r="E87">
            <v>38.380000000000003</v>
          </cell>
          <cell r="F87">
            <v>37.4</v>
          </cell>
          <cell r="G87">
            <v>37.880000000000003</v>
          </cell>
          <cell r="I87">
            <v>24.5</v>
          </cell>
          <cell r="R87">
            <v>36.629498868557967</v>
          </cell>
        </row>
        <row r="88">
          <cell r="A88">
            <v>38838</v>
          </cell>
          <cell r="B88">
            <v>35.46</v>
          </cell>
          <cell r="C88">
            <v>32.17</v>
          </cell>
          <cell r="D88">
            <v>28.93</v>
          </cell>
          <cell r="E88">
            <v>39.69</v>
          </cell>
          <cell r="F88">
            <v>37.9</v>
          </cell>
          <cell r="G88">
            <v>37.880000000000003</v>
          </cell>
          <cell r="I88">
            <v>24.5</v>
          </cell>
          <cell r="R88">
            <v>36.586592999333227</v>
          </cell>
        </row>
        <row r="89">
          <cell r="A89">
            <v>38869</v>
          </cell>
          <cell r="B89">
            <v>38.28</v>
          </cell>
          <cell r="C89">
            <v>32.85</v>
          </cell>
          <cell r="D89">
            <v>29.58</v>
          </cell>
          <cell r="E89">
            <v>43.63</v>
          </cell>
          <cell r="F89">
            <v>44.55</v>
          </cell>
          <cell r="G89">
            <v>42.24</v>
          </cell>
          <cell r="I89">
            <v>29.5</v>
          </cell>
          <cell r="R89">
            <v>37.008278817074974</v>
          </cell>
        </row>
        <row r="90">
          <cell r="A90">
            <v>38899</v>
          </cell>
          <cell r="B90">
            <v>47.21</v>
          </cell>
          <cell r="C90">
            <v>46.96</v>
          </cell>
          <cell r="D90">
            <v>42.6</v>
          </cell>
          <cell r="E90">
            <v>40.97</v>
          </cell>
          <cell r="F90">
            <v>46.4</v>
          </cell>
          <cell r="G90">
            <v>52.07</v>
          </cell>
          <cell r="I90">
            <v>26.5</v>
          </cell>
          <cell r="R90">
            <v>37.60573392949091</v>
          </cell>
        </row>
        <row r="91">
          <cell r="A91">
            <v>38930</v>
          </cell>
          <cell r="B91">
            <v>50.65</v>
          </cell>
          <cell r="C91">
            <v>51.62</v>
          </cell>
          <cell r="D91">
            <v>47.81</v>
          </cell>
          <cell r="E91">
            <v>46.33</v>
          </cell>
          <cell r="F91">
            <v>46.95</v>
          </cell>
          <cell r="G91">
            <v>56.73</v>
          </cell>
          <cell r="I91">
            <v>35.5</v>
          </cell>
          <cell r="R91">
            <v>38.042097134983969</v>
          </cell>
        </row>
        <row r="92">
          <cell r="A92">
            <v>38961</v>
          </cell>
          <cell r="B92">
            <v>43.45</v>
          </cell>
          <cell r="C92">
            <v>44.34</v>
          </cell>
          <cell r="D92">
            <v>40.659999999999997</v>
          </cell>
          <cell r="E92">
            <v>43.33</v>
          </cell>
          <cell r="F92">
            <v>40.86</v>
          </cell>
          <cell r="G92">
            <v>48.31</v>
          </cell>
          <cell r="I92">
            <v>22.5</v>
          </cell>
          <cell r="R92">
            <v>38.065439359408138</v>
          </cell>
        </row>
        <row r="93">
          <cell r="A93">
            <v>38991</v>
          </cell>
          <cell r="B93">
            <v>36.25</v>
          </cell>
          <cell r="C93">
            <v>37.049999999999997</v>
          </cell>
          <cell r="D93">
            <v>36.119999999999997</v>
          </cell>
          <cell r="E93">
            <v>41.97</v>
          </cell>
          <cell r="F93">
            <v>40.380000000000003</v>
          </cell>
          <cell r="G93">
            <v>38.82</v>
          </cell>
          <cell r="I93">
            <v>25.75</v>
          </cell>
          <cell r="R93">
            <v>38.151355008343458</v>
          </cell>
        </row>
        <row r="94">
          <cell r="A94">
            <v>39022</v>
          </cell>
          <cell r="B94">
            <v>35.31</v>
          </cell>
          <cell r="C94">
            <v>35.74</v>
          </cell>
          <cell r="D94">
            <v>34.82</v>
          </cell>
          <cell r="E94">
            <v>39.28</v>
          </cell>
          <cell r="F94">
            <v>39.83</v>
          </cell>
          <cell r="G94">
            <v>37.57</v>
          </cell>
          <cell r="I94">
            <v>22.75</v>
          </cell>
          <cell r="R94">
            <v>40.974020032620508</v>
          </cell>
        </row>
        <row r="95">
          <cell r="A95">
            <v>39052</v>
          </cell>
          <cell r="B95">
            <v>35.31</v>
          </cell>
          <cell r="C95">
            <v>37.75</v>
          </cell>
          <cell r="D95">
            <v>36.78</v>
          </cell>
          <cell r="E95">
            <v>40.33</v>
          </cell>
          <cell r="F95">
            <v>43.73</v>
          </cell>
          <cell r="G95">
            <v>37.42</v>
          </cell>
          <cell r="I95">
            <v>26</v>
          </cell>
          <cell r="R95">
            <v>43.069062767114154</v>
          </cell>
        </row>
        <row r="96">
          <cell r="A96">
            <v>39083</v>
          </cell>
          <cell r="B96">
            <v>36.58</v>
          </cell>
          <cell r="C96">
            <v>38.9</v>
          </cell>
          <cell r="D96">
            <v>37.47</v>
          </cell>
          <cell r="E96">
            <v>39.94</v>
          </cell>
          <cell r="F96">
            <v>41.35</v>
          </cell>
          <cell r="G96">
            <v>39.03</v>
          </cell>
          <cell r="I96">
            <v>27.85</v>
          </cell>
          <cell r="R96">
            <v>44.040939765212848</v>
          </cell>
        </row>
        <row r="97">
          <cell r="A97">
            <v>39114</v>
          </cell>
          <cell r="B97">
            <v>36.299999999999997</v>
          </cell>
          <cell r="C97">
            <v>37.39</v>
          </cell>
          <cell r="D97">
            <v>36.01</v>
          </cell>
          <cell r="E97">
            <v>40.06</v>
          </cell>
          <cell r="F97">
            <v>39.479999999999997</v>
          </cell>
          <cell r="G97">
            <v>38.75</v>
          </cell>
          <cell r="I97">
            <v>30.1</v>
          </cell>
          <cell r="R97">
            <v>42.568827220115146</v>
          </cell>
        </row>
        <row r="98">
          <cell r="A98">
            <v>39142</v>
          </cell>
          <cell r="B98">
            <v>36.299999999999997</v>
          </cell>
          <cell r="C98">
            <v>35.26</v>
          </cell>
          <cell r="D98">
            <v>33.369999999999997</v>
          </cell>
          <cell r="E98">
            <v>39.19</v>
          </cell>
          <cell r="F98">
            <v>38.07</v>
          </cell>
          <cell r="G98">
            <v>38.75</v>
          </cell>
          <cell r="I98">
            <v>27.1</v>
          </cell>
          <cell r="R98">
            <v>40.856192667508303</v>
          </cell>
        </row>
        <row r="99">
          <cell r="A99">
            <v>39173</v>
          </cell>
          <cell r="B99">
            <v>36.020000000000003</v>
          </cell>
          <cell r="C99">
            <v>36.19</v>
          </cell>
          <cell r="D99">
            <v>32.5</v>
          </cell>
          <cell r="E99">
            <v>39.25</v>
          </cell>
          <cell r="F99">
            <v>38.17</v>
          </cell>
          <cell r="G99">
            <v>38.479999999999997</v>
          </cell>
          <cell r="I99">
            <v>33.85</v>
          </cell>
          <cell r="R99">
            <v>37.974375160850002</v>
          </cell>
        </row>
        <row r="100">
          <cell r="A100">
            <v>39203</v>
          </cell>
          <cell r="B100">
            <v>36.020000000000003</v>
          </cell>
          <cell r="C100">
            <v>33.61</v>
          </cell>
          <cell r="D100">
            <v>29.86</v>
          </cell>
          <cell r="E100">
            <v>40.450000000000003</v>
          </cell>
          <cell r="F100">
            <v>38.67</v>
          </cell>
          <cell r="G100">
            <v>38.47</v>
          </cell>
          <cell r="I100">
            <v>33.85</v>
          </cell>
          <cell r="R100">
            <v>37.92078025505711</v>
          </cell>
        </row>
        <row r="101">
          <cell r="A101">
            <v>39234</v>
          </cell>
          <cell r="B101">
            <v>38.58</v>
          </cell>
          <cell r="C101">
            <v>34.229999999999997</v>
          </cell>
          <cell r="D101">
            <v>30.46</v>
          </cell>
          <cell r="E101">
            <v>44.23</v>
          </cell>
          <cell r="F101">
            <v>44.85</v>
          </cell>
          <cell r="G101">
            <v>42.42</v>
          </cell>
          <cell r="I101">
            <v>39.85</v>
          </cell>
          <cell r="R101">
            <v>38.33300215108671</v>
          </cell>
        </row>
        <row r="102">
          <cell r="A102">
            <v>39264</v>
          </cell>
          <cell r="B102">
            <v>46.66</v>
          </cell>
          <cell r="C102">
            <v>47.25</v>
          </cell>
          <cell r="D102">
            <v>42.25</v>
          </cell>
          <cell r="E102">
            <v>40.369999999999997</v>
          </cell>
          <cell r="F102">
            <v>45.66</v>
          </cell>
          <cell r="G102">
            <v>51.3</v>
          </cell>
          <cell r="I102">
            <v>46.85</v>
          </cell>
          <cell r="R102">
            <v>38.92133982098143</v>
          </cell>
        </row>
        <row r="103">
          <cell r="A103">
            <v>39295</v>
          </cell>
          <cell r="B103">
            <v>49.78</v>
          </cell>
          <cell r="C103">
            <v>51.55</v>
          </cell>
          <cell r="D103">
            <v>46.99</v>
          </cell>
          <cell r="E103">
            <v>45.25</v>
          </cell>
          <cell r="F103">
            <v>45.69</v>
          </cell>
          <cell r="G103">
            <v>55.52</v>
          </cell>
          <cell r="I103">
            <v>55.85</v>
          </cell>
          <cell r="R103">
            <v>39.346720039580575</v>
          </cell>
        </row>
        <row r="104">
          <cell r="A104">
            <v>39326</v>
          </cell>
          <cell r="B104">
            <v>43.26</v>
          </cell>
          <cell r="C104">
            <v>44.84</v>
          </cell>
          <cell r="D104">
            <v>40.51</v>
          </cell>
          <cell r="E104">
            <v>42.51</v>
          </cell>
          <cell r="F104">
            <v>40.369999999999997</v>
          </cell>
          <cell r="G104">
            <v>47.9</v>
          </cell>
          <cell r="I104">
            <v>38.85</v>
          </cell>
          <cell r="R104">
            <v>39.356899636338063</v>
          </cell>
        </row>
        <row r="105">
          <cell r="A105">
            <v>39356</v>
          </cell>
          <cell r="B105">
            <v>36.74</v>
          </cell>
          <cell r="C105">
            <v>38.119999999999997</v>
          </cell>
          <cell r="D105">
            <v>36.39</v>
          </cell>
          <cell r="E105">
            <v>42.89</v>
          </cell>
          <cell r="F105">
            <v>41.14</v>
          </cell>
          <cell r="G105">
            <v>39.32</v>
          </cell>
          <cell r="I105">
            <v>38.1</v>
          </cell>
          <cell r="R105">
            <v>39.429775719040371</v>
          </cell>
        </row>
        <row r="106">
          <cell r="A106">
            <v>39387</v>
          </cell>
          <cell r="B106">
            <v>35.89</v>
          </cell>
          <cell r="C106">
            <v>36.9</v>
          </cell>
          <cell r="D106">
            <v>35.22</v>
          </cell>
          <cell r="E106">
            <v>39.96</v>
          </cell>
          <cell r="F106">
            <v>40.56</v>
          </cell>
          <cell r="G106">
            <v>38.200000000000003</v>
          </cell>
          <cell r="I106">
            <v>35.1</v>
          </cell>
          <cell r="R106">
            <v>41.94682405330505</v>
          </cell>
        </row>
        <row r="107">
          <cell r="A107">
            <v>39417</v>
          </cell>
          <cell r="B107">
            <v>35.89</v>
          </cell>
          <cell r="C107">
            <v>38.76</v>
          </cell>
          <cell r="D107">
            <v>37.01</v>
          </cell>
          <cell r="E107">
            <v>40.9</v>
          </cell>
          <cell r="F107">
            <v>44.41</v>
          </cell>
          <cell r="G107">
            <v>38.06</v>
          </cell>
          <cell r="I107">
            <v>38.35</v>
          </cell>
          <cell r="R107">
            <v>44.04907924888726</v>
          </cell>
        </row>
        <row r="108">
          <cell r="A108">
            <v>39448</v>
          </cell>
          <cell r="B108">
            <v>37.01</v>
          </cell>
          <cell r="C108">
            <v>39.869999999999997</v>
          </cell>
          <cell r="D108">
            <v>37.9</v>
          </cell>
          <cell r="E108">
            <v>40.17</v>
          </cell>
          <cell r="F108">
            <v>41.58</v>
          </cell>
          <cell r="G108">
            <v>39.47</v>
          </cell>
          <cell r="I108">
            <v>28.2</v>
          </cell>
          <cell r="R108">
            <v>45.05638413669417</v>
          </cell>
        </row>
        <row r="109">
          <cell r="A109">
            <v>39479</v>
          </cell>
          <cell r="B109">
            <v>36.75</v>
          </cell>
          <cell r="C109">
            <v>38.450000000000003</v>
          </cell>
          <cell r="D109">
            <v>36.54</v>
          </cell>
          <cell r="E109">
            <v>40.39</v>
          </cell>
          <cell r="F109">
            <v>39.71</v>
          </cell>
          <cell r="G109">
            <v>39.21</v>
          </cell>
          <cell r="I109">
            <v>30.45</v>
          </cell>
          <cell r="R109">
            <v>43.580799341961168</v>
          </cell>
        </row>
        <row r="110">
          <cell r="A110">
            <v>39508</v>
          </cell>
          <cell r="B110">
            <v>36.75</v>
          </cell>
          <cell r="C110">
            <v>36.450000000000003</v>
          </cell>
          <cell r="D110">
            <v>34.08</v>
          </cell>
          <cell r="E110">
            <v>39.61</v>
          </cell>
          <cell r="F110">
            <v>38.28</v>
          </cell>
          <cell r="G110">
            <v>39.21</v>
          </cell>
          <cell r="I110">
            <v>27.45</v>
          </cell>
          <cell r="R110">
            <v>41.864176019988577</v>
          </cell>
        </row>
        <row r="111">
          <cell r="A111">
            <v>39539</v>
          </cell>
          <cell r="B111">
            <v>36.49</v>
          </cell>
          <cell r="C111">
            <v>37.33</v>
          </cell>
          <cell r="D111">
            <v>33.270000000000003</v>
          </cell>
          <cell r="E111">
            <v>39.94</v>
          </cell>
          <cell r="F111">
            <v>38.369999999999997</v>
          </cell>
          <cell r="G111">
            <v>38.96</v>
          </cell>
          <cell r="I111">
            <v>34.200000000000003</v>
          </cell>
          <cell r="R111">
            <v>38.78522827940192</v>
          </cell>
        </row>
        <row r="112">
          <cell r="A112">
            <v>39569</v>
          </cell>
          <cell r="B112">
            <v>36.49</v>
          </cell>
          <cell r="C112">
            <v>34.89</v>
          </cell>
          <cell r="D112">
            <v>30.81</v>
          </cell>
          <cell r="E112">
            <v>41.06</v>
          </cell>
          <cell r="F112">
            <v>38.869999999999997</v>
          </cell>
          <cell r="G112">
            <v>38.96</v>
          </cell>
          <cell r="I112">
            <v>34.200000000000003</v>
          </cell>
          <cell r="R112">
            <v>38.732294091865647</v>
          </cell>
        </row>
        <row r="113">
          <cell r="A113">
            <v>39600</v>
          </cell>
          <cell r="B113">
            <v>38.86</v>
          </cell>
          <cell r="C113">
            <v>35.479999999999997</v>
          </cell>
          <cell r="D113">
            <v>31.37</v>
          </cell>
          <cell r="E113">
            <v>44.73</v>
          </cell>
          <cell r="F113">
            <v>45.12</v>
          </cell>
          <cell r="G113">
            <v>42.6</v>
          </cell>
          <cell r="I113">
            <v>40.200000000000003</v>
          </cell>
          <cell r="R113">
            <v>39.146656224530396</v>
          </cell>
        </row>
        <row r="114">
          <cell r="A114">
            <v>39630</v>
          </cell>
          <cell r="B114">
            <v>46.34</v>
          </cell>
          <cell r="C114">
            <v>47.75</v>
          </cell>
          <cell r="D114">
            <v>42.37</v>
          </cell>
          <cell r="E114">
            <v>40.03</v>
          </cell>
          <cell r="F114">
            <v>45.99</v>
          </cell>
          <cell r="G114">
            <v>50.81</v>
          </cell>
          <cell r="I114">
            <v>47.2</v>
          </cell>
          <cell r="R114">
            <v>39.737673766850925</v>
          </cell>
        </row>
        <row r="115">
          <cell r="A115">
            <v>39661</v>
          </cell>
          <cell r="B115">
            <v>49.23</v>
          </cell>
          <cell r="C115">
            <v>51.8</v>
          </cell>
          <cell r="D115">
            <v>46.78</v>
          </cell>
          <cell r="E115">
            <v>44.56</v>
          </cell>
          <cell r="F115">
            <v>46.05</v>
          </cell>
          <cell r="G115">
            <v>54.71</v>
          </cell>
          <cell r="I115">
            <v>56.2</v>
          </cell>
          <cell r="R115">
            <v>40.165269334226103</v>
          </cell>
        </row>
        <row r="116">
          <cell r="A116">
            <v>39692</v>
          </cell>
          <cell r="B116">
            <v>43.2</v>
          </cell>
          <cell r="C116">
            <v>45.48</v>
          </cell>
          <cell r="D116">
            <v>40.74</v>
          </cell>
          <cell r="E116">
            <v>42.01</v>
          </cell>
          <cell r="F116">
            <v>40.659999999999997</v>
          </cell>
          <cell r="G116">
            <v>47.67</v>
          </cell>
          <cell r="I116">
            <v>39.200000000000003</v>
          </cell>
          <cell r="R116">
            <v>40.176363449628816</v>
          </cell>
        </row>
        <row r="117">
          <cell r="A117">
            <v>39722</v>
          </cell>
          <cell r="B117">
            <v>37.159999999999997</v>
          </cell>
          <cell r="C117">
            <v>39.15</v>
          </cell>
          <cell r="D117">
            <v>36.9</v>
          </cell>
          <cell r="E117">
            <v>43.62</v>
          </cell>
          <cell r="F117">
            <v>41.36</v>
          </cell>
          <cell r="G117">
            <v>39.74</v>
          </cell>
          <cell r="I117">
            <v>38.450000000000003</v>
          </cell>
          <cell r="R117">
            <v>40.2503266988207</v>
          </cell>
        </row>
        <row r="118">
          <cell r="A118">
            <v>39753</v>
          </cell>
          <cell r="B118">
            <v>36.369999999999997</v>
          </cell>
          <cell r="C118">
            <v>38.01</v>
          </cell>
          <cell r="D118">
            <v>35.81</v>
          </cell>
          <cell r="E118">
            <v>40.51</v>
          </cell>
          <cell r="F118">
            <v>40.78</v>
          </cell>
          <cell r="G118">
            <v>38.700000000000003</v>
          </cell>
          <cell r="I118">
            <v>35.450000000000003</v>
          </cell>
          <cell r="R118">
            <v>42.855736015310477</v>
          </cell>
        </row>
        <row r="119">
          <cell r="A119">
            <v>39783</v>
          </cell>
          <cell r="B119">
            <v>36.369999999999997</v>
          </cell>
          <cell r="C119">
            <v>39.76</v>
          </cell>
          <cell r="D119">
            <v>37.47</v>
          </cell>
          <cell r="E119">
            <v>41.37</v>
          </cell>
          <cell r="F119">
            <v>44.65</v>
          </cell>
          <cell r="G119">
            <v>38.57</v>
          </cell>
          <cell r="I119">
            <v>38.700000000000003</v>
          </cell>
          <cell r="R119">
            <v>44.98655282501425</v>
          </cell>
        </row>
        <row r="120">
          <cell r="A120">
            <v>39814</v>
          </cell>
          <cell r="B120">
            <v>37.43</v>
          </cell>
          <cell r="C120">
            <v>40.94</v>
          </cell>
          <cell r="D120">
            <v>38.340000000000003</v>
          </cell>
          <cell r="E120">
            <v>40.409999999999997</v>
          </cell>
          <cell r="F120">
            <v>41.82</v>
          </cell>
          <cell r="G120">
            <v>39.9</v>
          </cell>
          <cell r="I120">
            <v>28.7</v>
          </cell>
          <cell r="R120">
            <v>46.052296109670301</v>
          </cell>
        </row>
        <row r="121">
          <cell r="A121">
            <v>39845</v>
          </cell>
          <cell r="B121">
            <v>37.18</v>
          </cell>
          <cell r="C121">
            <v>39.6</v>
          </cell>
          <cell r="D121">
            <v>37.07</v>
          </cell>
          <cell r="E121">
            <v>40.72</v>
          </cell>
          <cell r="F121">
            <v>39.93</v>
          </cell>
          <cell r="G121">
            <v>39.65</v>
          </cell>
          <cell r="I121">
            <v>30.95</v>
          </cell>
          <cell r="R121">
            <v>44.592507370438639</v>
          </cell>
        </row>
        <row r="122">
          <cell r="A122">
            <v>39873</v>
          </cell>
          <cell r="B122">
            <v>37.19</v>
          </cell>
          <cell r="C122">
            <v>37.71</v>
          </cell>
          <cell r="D122">
            <v>34.78</v>
          </cell>
          <cell r="E122">
            <v>40.03</v>
          </cell>
          <cell r="F122">
            <v>38.5</v>
          </cell>
          <cell r="G122">
            <v>39.659999999999997</v>
          </cell>
          <cell r="I122">
            <v>27.95</v>
          </cell>
          <cell r="R122">
            <v>42.886809731860893</v>
          </cell>
        </row>
        <row r="123">
          <cell r="A123">
            <v>39904</v>
          </cell>
          <cell r="B123">
            <v>36.94</v>
          </cell>
          <cell r="C123">
            <v>38.54</v>
          </cell>
          <cell r="D123">
            <v>34.020000000000003</v>
          </cell>
          <cell r="E123">
            <v>40.6</v>
          </cell>
          <cell r="F123">
            <v>38.57</v>
          </cell>
          <cell r="G123">
            <v>39.409999999999997</v>
          </cell>
          <cell r="I123">
            <v>34.75</v>
          </cell>
          <cell r="R123">
            <v>39.304293859460117</v>
          </cell>
        </row>
        <row r="124">
          <cell r="A124">
            <v>39934</v>
          </cell>
          <cell r="B124">
            <v>36.950000000000003</v>
          </cell>
          <cell r="C124">
            <v>36.25</v>
          </cell>
          <cell r="D124">
            <v>31.73</v>
          </cell>
          <cell r="E124">
            <v>41.65</v>
          </cell>
          <cell r="F124">
            <v>39.08</v>
          </cell>
          <cell r="G124">
            <v>39.42</v>
          </cell>
          <cell r="I124">
            <v>34.75</v>
          </cell>
          <cell r="R124">
            <v>39.271287417965198</v>
          </cell>
        </row>
        <row r="125">
          <cell r="A125">
            <v>39965</v>
          </cell>
          <cell r="B125">
            <v>39.14</v>
          </cell>
          <cell r="C125">
            <v>36.81</v>
          </cell>
          <cell r="D125">
            <v>32.25</v>
          </cell>
          <cell r="E125">
            <v>45.21</v>
          </cell>
          <cell r="F125">
            <v>45.39</v>
          </cell>
          <cell r="G125">
            <v>42.79</v>
          </cell>
          <cell r="I125">
            <v>40.75</v>
          </cell>
          <cell r="R125">
            <v>39.70993314697207</v>
          </cell>
        </row>
        <row r="126">
          <cell r="A126">
            <v>39995</v>
          </cell>
          <cell r="B126">
            <v>46.07</v>
          </cell>
          <cell r="C126">
            <v>48.38</v>
          </cell>
          <cell r="D126">
            <v>42.51</v>
          </cell>
          <cell r="E126">
            <v>39.729999999999997</v>
          </cell>
          <cell r="F126">
            <v>46.32</v>
          </cell>
          <cell r="G126">
            <v>50.37</v>
          </cell>
          <cell r="I126">
            <v>47.75</v>
          </cell>
          <cell r="R126">
            <v>40.326751761595077</v>
          </cell>
        </row>
        <row r="127">
          <cell r="A127">
            <v>40026</v>
          </cell>
          <cell r="B127">
            <v>48.74</v>
          </cell>
          <cell r="C127">
            <v>52.21</v>
          </cell>
          <cell r="D127">
            <v>46.62</v>
          </cell>
          <cell r="E127">
            <v>43.93</v>
          </cell>
          <cell r="F127">
            <v>46.42</v>
          </cell>
          <cell r="G127">
            <v>53.97</v>
          </cell>
          <cell r="I127">
            <v>56.75</v>
          </cell>
          <cell r="R127">
            <v>40.780622794131922</v>
          </cell>
        </row>
        <row r="128">
          <cell r="A128">
            <v>40057</v>
          </cell>
          <cell r="B128">
            <v>43.15</v>
          </cell>
          <cell r="C128">
            <v>46.24</v>
          </cell>
          <cell r="D128">
            <v>40.99</v>
          </cell>
          <cell r="E128">
            <v>41.57</v>
          </cell>
          <cell r="F128">
            <v>40.96</v>
          </cell>
          <cell r="G128">
            <v>47.46</v>
          </cell>
          <cell r="I128">
            <v>39.700000000000003</v>
          </cell>
          <cell r="R128">
            <v>40.815282022161689</v>
          </cell>
        </row>
        <row r="129">
          <cell r="A129">
            <v>40087</v>
          </cell>
          <cell r="B129">
            <v>37.56</v>
          </cell>
          <cell r="C129">
            <v>40.270000000000003</v>
          </cell>
          <cell r="D129">
            <v>37.409999999999997</v>
          </cell>
          <cell r="E129">
            <v>44.31</v>
          </cell>
          <cell r="F129">
            <v>41.58</v>
          </cell>
          <cell r="G129">
            <v>40.130000000000003</v>
          </cell>
          <cell r="I129">
            <v>39</v>
          </cell>
          <cell r="R129">
            <v>40.91308372567196</v>
          </cell>
        </row>
        <row r="130">
          <cell r="A130">
            <v>40118</v>
          </cell>
          <cell r="B130">
            <v>36.840000000000003</v>
          </cell>
          <cell r="C130">
            <v>39.200000000000003</v>
          </cell>
          <cell r="D130">
            <v>36.4</v>
          </cell>
          <cell r="E130">
            <v>41.04</v>
          </cell>
          <cell r="F130">
            <v>40.99</v>
          </cell>
          <cell r="G130">
            <v>39.18</v>
          </cell>
          <cell r="I130">
            <v>36</v>
          </cell>
          <cell r="R130">
            <v>44.50960842953036</v>
          </cell>
        </row>
        <row r="131">
          <cell r="A131">
            <v>40148</v>
          </cell>
          <cell r="B131">
            <v>36.840000000000003</v>
          </cell>
          <cell r="C131">
            <v>40.85</v>
          </cell>
          <cell r="D131">
            <v>37.950000000000003</v>
          </cell>
          <cell r="E131">
            <v>41.83</v>
          </cell>
          <cell r="F131">
            <v>44.89</v>
          </cell>
          <cell r="G131">
            <v>39.06</v>
          </cell>
          <cell r="I131">
            <v>39.200000000000003</v>
          </cell>
          <cell r="R131">
            <v>46.668180237780184</v>
          </cell>
        </row>
        <row r="132">
          <cell r="A132">
            <v>40179</v>
          </cell>
          <cell r="B132">
            <v>37.83</v>
          </cell>
          <cell r="C132">
            <v>42.01</v>
          </cell>
          <cell r="D132">
            <v>38.78</v>
          </cell>
          <cell r="E132">
            <v>40.89</v>
          </cell>
          <cell r="F132">
            <v>42.05</v>
          </cell>
          <cell r="G132">
            <v>40.25</v>
          </cell>
          <cell r="I132">
            <v>29.2</v>
          </cell>
          <cell r="R132">
            <v>47.784030271991391</v>
          </cell>
        </row>
        <row r="133">
          <cell r="A133">
            <v>40210</v>
          </cell>
          <cell r="B133">
            <v>37.6</v>
          </cell>
          <cell r="C133">
            <v>40.75</v>
          </cell>
          <cell r="D133">
            <v>37.6</v>
          </cell>
          <cell r="E133">
            <v>41.28</v>
          </cell>
          <cell r="F133">
            <v>40.159999999999997</v>
          </cell>
          <cell r="G133">
            <v>40.020000000000003</v>
          </cell>
          <cell r="I133">
            <v>31.45</v>
          </cell>
          <cell r="R133">
            <v>46.317517935307691</v>
          </cell>
        </row>
        <row r="134">
          <cell r="A134">
            <v>40238</v>
          </cell>
          <cell r="B134">
            <v>37.61</v>
          </cell>
          <cell r="C134">
            <v>38.97</v>
          </cell>
          <cell r="D134">
            <v>35.46</v>
          </cell>
          <cell r="E134">
            <v>40.68</v>
          </cell>
          <cell r="F134">
            <v>38.71</v>
          </cell>
          <cell r="G134">
            <v>40.04</v>
          </cell>
          <cell r="I134">
            <v>28.45</v>
          </cell>
          <cell r="R134">
            <v>44.601479202218208</v>
          </cell>
        </row>
        <row r="135">
          <cell r="A135">
            <v>40269</v>
          </cell>
          <cell r="B135">
            <v>37.380000000000003</v>
          </cell>
          <cell r="C135">
            <v>39.75</v>
          </cell>
          <cell r="D135">
            <v>34.76</v>
          </cell>
          <cell r="E135">
            <v>41.48</v>
          </cell>
          <cell r="F135">
            <v>38.76</v>
          </cell>
          <cell r="G135">
            <v>39.81</v>
          </cell>
          <cell r="I135">
            <v>35.5</v>
          </cell>
          <cell r="R135">
            <v>40.861427877799031</v>
          </cell>
        </row>
        <row r="136">
          <cell r="A136">
            <v>40299</v>
          </cell>
          <cell r="B136">
            <v>37.39</v>
          </cell>
          <cell r="C136">
            <v>37.590000000000003</v>
          </cell>
          <cell r="D136">
            <v>32.619999999999997</v>
          </cell>
          <cell r="E136">
            <v>42.46</v>
          </cell>
          <cell r="F136">
            <v>39.28</v>
          </cell>
          <cell r="G136">
            <v>39.82</v>
          </cell>
          <cell r="I136">
            <v>35.5</v>
          </cell>
          <cell r="R136">
            <v>40.834659528486519</v>
          </cell>
        </row>
        <row r="137">
          <cell r="A137">
            <v>40330</v>
          </cell>
          <cell r="B137">
            <v>39.409999999999997</v>
          </cell>
          <cell r="C137">
            <v>38.119999999999997</v>
          </cell>
          <cell r="D137">
            <v>33.1</v>
          </cell>
          <cell r="E137">
            <v>45.92</v>
          </cell>
          <cell r="F137">
            <v>45.65</v>
          </cell>
          <cell r="G137">
            <v>42.91</v>
          </cell>
          <cell r="I137">
            <v>41.5</v>
          </cell>
          <cell r="R137">
            <v>41.284743319648832</v>
          </cell>
        </row>
        <row r="138">
          <cell r="A138">
            <v>40360</v>
          </cell>
          <cell r="B138">
            <v>45.83</v>
          </cell>
          <cell r="C138">
            <v>49.04</v>
          </cell>
          <cell r="D138">
            <v>42.67</v>
          </cell>
          <cell r="E138">
            <v>39.71</v>
          </cell>
          <cell r="F138">
            <v>46.65</v>
          </cell>
          <cell r="G138">
            <v>49.92</v>
          </cell>
          <cell r="I138">
            <v>48.5</v>
          </cell>
          <cell r="R138">
            <v>41.914822395517156</v>
          </cell>
        </row>
        <row r="139">
          <cell r="A139">
            <v>40391</v>
          </cell>
          <cell r="B139">
            <v>48.31</v>
          </cell>
          <cell r="C139">
            <v>52.65</v>
          </cell>
          <cell r="D139">
            <v>46.5</v>
          </cell>
          <cell r="E139">
            <v>43.62</v>
          </cell>
          <cell r="F139">
            <v>46.78</v>
          </cell>
          <cell r="G139">
            <v>53.25</v>
          </cell>
          <cell r="I139">
            <v>57.5</v>
          </cell>
          <cell r="R139">
            <v>42.380604353367247</v>
          </cell>
        </row>
        <row r="140">
          <cell r="A140">
            <v>40422</v>
          </cell>
          <cell r="B140">
            <v>43.13</v>
          </cell>
          <cell r="C140">
            <v>47.02</v>
          </cell>
          <cell r="D140">
            <v>41.26</v>
          </cell>
          <cell r="E140">
            <v>41.42</v>
          </cell>
          <cell r="F140">
            <v>41.26</v>
          </cell>
          <cell r="G140">
            <v>47.23</v>
          </cell>
          <cell r="I140">
            <v>40.200000000000003</v>
          </cell>
          <cell r="R140">
            <v>42.422718116323594</v>
          </cell>
        </row>
        <row r="141">
          <cell r="A141">
            <v>40452</v>
          </cell>
          <cell r="B141">
            <v>37.96</v>
          </cell>
          <cell r="C141">
            <v>41.39</v>
          </cell>
          <cell r="D141">
            <v>37.92</v>
          </cell>
          <cell r="E141">
            <v>45.22</v>
          </cell>
          <cell r="F141">
            <v>41.79</v>
          </cell>
          <cell r="G141">
            <v>40.479999999999997</v>
          </cell>
          <cell r="I141">
            <v>39.75</v>
          </cell>
          <cell r="R141">
            <v>42.528472325602145</v>
          </cell>
        </row>
        <row r="142">
          <cell r="A142">
            <v>40483</v>
          </cell>
          <cell r="B142">
            <v>37.28</v>
          </cell>
          <cell r="C142">
            <v>40.369999999999997</v>
          </cell>
          <cell r="D142">
            <v>36.97</v>
          </cell>
          <cell r="E142">
            <v>41.8</v>
          </cell>
          <cell r="F142">
            <v>41.2</v>
          </cell>
          <cell r="G142">
            <v>39.590000000000003</v>
          </cell>
          <cell r="I142">
            <v>36.75</v>
          </cell>
          <cell r="R142">
            <v>45.269190985930464</v>
          </cell>
        </row>
        <row r="143">
          <cell r="A143">
            <v>40513</v>
          </cell>
          <cell r="B143">
            <v>37.29</v>
          </cell>
          <cell r="C143">
            <v>41.93</v>
          </cell>
          <cell r="D143">
            <v>38.42</v>
          </cell>
          <cell r="E143">
            <v>42.52</v>
          </cell>
          <cell r="F143">
            <v>45.13</v>
          </cell>
          <cell r="G143">
            <v>39.49</v>
          </cell>
          <cell r="I143">
            <v>39.700000000000003</v>
          </cell>
          <cell r="R143">
            <v>47.458897384946944</v>
          </cell>
        </row>
        <row r="144">
          <cell r="A144">
            <v>40544</v>
          </cell>
          <cell r="B144">
            <v>38.22</v>
          </cell>
          <cell r="C144">
            <v>43.08</v>
          </cell>
          <cell r="D144">
            <v>39.229999999999997</v>
          </cell>
          <cell r="E144">
            <v>41.38</v>
          </cell>
          <cell r="F144">
            <v>42.28</v>
          </cell>
          <cell r="G144">
            <v>40.590000000000003</v>
          </cell>
          <cell r="I144">
            <v>29.7</v>
          </cell>
          <cell r="R144">
            <v>43.700597905448141</v>
          </cell>
        </row>
        <row r="145">
          <cell r="A145">
            <v>40575</v>
          </cell>
          <cell r="B145">
            <v>38.01</v>
          </cell>
          <cell r="C145">
            <v>41.89</v>
          </cell>
          <cell r="D145">
            <v>38.119999999999997</v>
          </cell>
          <cell r="E145">
            <v>41.85</v>
          </cell>
          <cell r="F145">
            <v>40.380000000000003</v>
          </cell>
          <cell r="G145">
            <v>40.380000000000003</v>
          </cell>
          <cell r="I145">
            <v>31.95</v>
          </cell>
          <cell r="R145">
            <v>42.315354473326025</v>
          </cell>
        </row>
        <row r="146">
          <cell r="A146">
            <v>40603</v>
          </cell>
          <cell r="B146">
            <v>38.01</v>
          </cell>
          <cell r="C146">
            <v>40.22</v>
          </cell>
          <cell r="D146">
            <v>36.130000000000003</v>
          </cell>
          <cell r="E146">
            <v>41.31</v>
          </cell>
          <cell r="F146">
            <v>38.92</v>
          </cell>
          <cell r="G146">
            <v>40.39</v>
          </cell>
          <cell r="I146">
            <v>28.95</v>
          </cell>
          <cell r="R146">
            <v>40.696759681130494</v>
          </cell>
        </row>
        <row r="147">
          <cell r="A147">
            <v>40634</v>
          </cell>
          <cell r="B147">
            <v>37.81</v>
          </cell>
          <cell r="C147">
            <v>40.96</v>
          </cell>
          <cell r="D147">
            <v>35.47</v>
          </cell>
          <cell r="E147">
            <v>42.33</v>
          </cell>
          <cell r="F147">
            <v>38.96</v>
          </cell>
          <cell r="G147">
            <v>40.19</v>
          </cell>
          <cell r="I147">
            <v>36</v>
          </cell>
          <cell r="R147">
            <v>37.297187914788161</v>
          </cell>
        </row>
        <row r="148">
          <cell r="A148">
            <v>40664</v>
          </cell>
          <cell r="B148">
            <v>37.81</v>
          </cell>
          <cell r="C148">
            <v>38.92</v>
          </cell>
          <cell r="D148">
            <v>33.479999999999997</v>
          </cell>
          <cell r="E148">
            <v>43.26</v>
          </cell>
          <cell r="F148">
            <v>39.49</v>
          </cell>
          <cell r="G148">
            <v>40.19</v>
          </cell>
          <cell r="I148">
            <v>36</v>
          </cell>
          <cell r="R148">
            <v>37.26586697425082</v>
          </cell>
        </row>
        <row r="149">
          <cell r="A149">
            <v>40695</v>
          </cell>
          <cell r="B149">
            <v>39.69</v>
          </cell>
          <cell r="C149">
            <v>39.42</v>
          </cell>
          <cell r="D149">
            <v>33.93</v>
          </cell>
          <cell r="E149">
            <v>46.62</v>
          </cell>
          <cell r="F149">
            <v>45.92</v>
          </cell>
          <cell r="G149">
            <v>43.05</v>
          </cell>
          <cell r="I149">
            <v>42</v>
          </cell>
          <cell r="R149">
            <v>37.682112899983203</v>
          </cell>
        </row>
        <row r="150">
          <cell r="A150">
            <v>40725</v>
          </cell>
          <cell r="B150">
            <v>45.63</v>
          </cell>
          <cell r="C150">
            <v>49.71</v>
          </cell>
          <cell r="D150">
            <v>42.85</v>
          </cell>
          <cell r="E150">
            <v>39.729999999999997</v>
          </cell>
          <cell r="F150">
            <v>46.98</v>
          </cell>
          <cell r="G150">
            <v>49.52</v>
          </cell>
          <cell r="I150">
            <v>49</v>
          </cell>
          <cell r="R150">
            <v>38.267433167056168</v>
          </cell>
        </row>
        <row r="151">
          <cell r="A151">
            <v>40756</v>
          </cell>
          <cell r="B151">
            <v>47.92</v>
          </cell>
          <cell r="C151">
            <v>53.12</v>
          </cell>
          <cell r="D151">
            <v>46.43</v>
          </cell>
          <cell r="E151">
            <v>43.36</v>
          </cell>
          <cell r="F151">
            <v>47.14</v>
          </cell>
          <cell r="G151">
            <v>52.59</v>
          </cell>
          <cell r="I151">
            <v>58</v>
          </cell>
          <cell r="R151">
            <v>38.698126903728685</v>
          </cell>
        </row>
        <row r="152">
          <cell r="A152">
            <v>40787</v>
          </cell>
          <cell r="B152">
            <v>43.13</v>
          </cell>
          <cell r="C152">
            <v>47.82</v>
          </cell>
          <cell r="D152">
            <v>41.54</v>
          </cell>
          <cell r="E152">
            <v>41.31</v>
          </cell>
          <cell r="F152">
            <v>41.55</v>
          </cell>
          <cell r="G152">
            <v>47.03</v>
          </cell>
          <cell r="I152">
            <v>40.700000000000003</v>
          </cell>
          <cell r="R152">
            <v>38.731016229903325</v>
          </cell>
        </row>
        <row r="153">
          <cell r="A153">
            <v>40817</v>
          </cell>
          <cell r="B153">
            <v>38.340000000000003</v>
          </cell>
          <cell r="C153">
            <v>42.5</v>
          </cell>
          <cell r="D153">
            <v>38.43</v>
          </cell>
          <cell r="E153">
            <v>46.1</v>
          </cell>
          <cell r="F153">
            <v>42.01</v>
          </cell>
          <cell r="G153">
            <v>40.799999999999997</v>
          </cell>
          <cell r="I153">
            <v>40.25</v>
          </cell>
          <cell r="R153">
            <v>38.823823609352814</v>
          </cell>
        </row>
        <row r="154">
          <cell r="A154">
            <v>40848</v>
          </cell>
          <cell r="B154">
            <v>37.72</v>
          </cell>
          <cell r="C154">
            <v>41.55</v>
          </cell>
          <cell r="D154">
            <v>37.54</v>
          </cell>
          <cell r="E154">
            <v>42.54</v>
          </cell>
          <cell r="F154">
            <v>41.41</v>
          </cell>
          <cell r="G154">
            <v>39.99</v>
          </cell>
          <cell r="I154">
            <v>37.25</v>
          </cell>
          <cell r="R154">
            <v>42.236688834705241</v>
          </cell>
        </row>
        <row r="155">
          <cell r="A155">
            <v>40878</v>
          </cell>
          <cell r="B155">
            <v>37.72</v>
          </cell>
          <cell r="C155">
            <v>43.02</v>
          </cell>
          <cell r="D155">
            <v>38.89</v>
          </cell>
          <cell r="E155">
            <v>43.2</v>
          </cell>
          <cell r="F155">
            <v>45.37</v>
          </cell>
          <cell r="G155">
            <v>39.880000000000003</v>
          </cell>
          <cell r="I155">
            <v>40.200000000000003</v>
          </cell>
          <cell r="R155">
            <v>44.285031406326851</v>
          </cell>
        </row>
        <row r="156">
          <cell r="A156">
            <v>40909</v>
          </cell>
          <cell r="B156">
            <v>38.6</v>
          </cell>
          <cell r="C156">
            <v>44.2</v>
          </cell>
          <cell r="D156">
            <v>39.67</v>
          </cell>
          <cell r="E156">
            <v>41.87</v>
          </cell>
          <cell r="F156">
            <v>42.51</v>
          </cell>
          <cell r="G156">
            <v>40.92</v>
          </cell>
          <cell r="I156">
            <v>29.95</v>
          </cell>
          <cell r="R156">
            <v>43.700597905448141</v>
          </cell>
        </row>
        <row r="157">
          <cell r="A157">
            <v>40940</v>
          </cell>
          <cell r="B157">
            <v>38.409999999999997</v>
          </cell>
          <cell r="C157">
            <v>43.08</v>
          </cell>
          <cell r="D157">
            <v>38.65</v>
          </cell>
          <cell r="E157">
            <v>42.41</v>
          </cell>
          <cell r="F157">
            <v>40.61</v>
          </cell>
          <cell r="G157">
            <v>40.729999999999997</v>
          </cell>
          <cell r="I157">
            <v>32.200000000000003</v>
          </cell>
          <cell r="R157">
            <v>42.315354473326025</v>
          </cell>
        </row>
      </sheetData>
      <sheetData sheetId="15">
        <row r="6">
          <cell r="R6" t="str">
            <v>ALBERTA</v>
          </cell>
        </row>
        <row r="7">
          <cell r="A7">
            <v>37168</v>
          </cell>
          <cell r="B7">
            <v>25.4</v>
          </cell>
          <cell r="C7">
            <v>24.75</v>
          </cell>
          <cell r="D7">
            <v>22.85</v>
          </cell>
          <cell r="E7">
            <v>25.49</v>
          </cell>
          <cell r="F7">
            <v>25.6</v>
          </cell>
          <cell r="G7">
            <v>26.4</v>
          </cell>
          <cell r="I7">
            <v>25.6</v>
          </cell>
          <cell r="R7">
            <v>37</v>
          </cell>
        </row>
        <row r="8">
          <cell r="A8">
            <v>37169</v>
          </cell>
          <cell r="B8">
            <v>24.6</v>
          </cell>
          <cell r="C8">
            <v>23</v>
          </cell>
          <cell r="D8">
            <v>21.25</v>
          </cell>
          <cell r="E8">
            <v>25.2</v>
          </cell>
          <cell r="F8">
            <v>24.7</v>
          </cell>
          <cell r="G8">
            <v>25.6</v>
          </cell>
          <cell r="I8">
            <v>32.15</v>
          </cell>
          <cell r="R8">
            <v>38.5</v>
          </cell>
        </row>
        <row r="9">
          <cell r="A9">
            <v>37172</v>
          </cell>
          <cell r="B9">
            <v>24.6</v>
          </cell>
          <cell r="C9">
            <v>25</v>
          </cell>
          <cell r="D9">
            <v>23.3</v>
          </cell>
          <cell r="E9">
            <v>25.2</v>
          </cell>
          <cell r="F9">
            <v>24.7</v>
          </cell>
          <cell r="G9">
            <v>25.6</v>
          </cell>
          <cell r="I9">
            <v>27.1875</v>
          </cell>
          <cell r="R9">
            <v>33</v>
          </cell>
        </row>
        <row r="10">
          <cell r="A10">
            <v>37173</v>
          </cell>
          <cell r="B10">
            <v>24.6</v>
          </cell>
          <cell r="C10">
            <v>25</v>
          </cell>
          <cell r="D10">
            <v>23.3</v>
          </cell>
          <cell r="E10">
            <v>25.2</v>
          </cell>
          <cell r="F10">
            <v>24.7</v>
          </cell>
          <cell r="G10">
            <v>25.6</v>
          </cell>
          <cell r="I10">
            <v>27.1875</v>
          </cell>
          <cell r="R10">
            <v>38.5</v>
          </cell>
        </row>
        <row r="11">
          <cell r="A11">
            <v>37174</v>
          </cell>
          <cell r="B11">
            <v>24.6</v>
          </cell>
          <cell r="C11">
            <v>25</v>
          </cell>
          <cell r="D11">
            <v>23.3</v>
          </cell>
          <cell r="E11">
            <v>25.2</v>
          </cell>
          <cell r="F11">
            <v>24.7</v>
          </cell>
          <cell r="G11">
            <v>25.6</v>
          </cell>
          <cell r="I11">
            <v>27.1875</v>
          </cell>
          <cell r="R11">
            <v>38.5</v>
          </cell>
        </row>
        <row r="12">
          <cell r="A12">
            <v>37175</v>
          </cell>
          <cell r="B12">
            <v>24.6</v>
          </cell>
          <cell r="C12">
            <v>25</v>
          </cell>
          <cell r="D12">
            <v>23.3</v>
          </cell>
          <cell r="E12">
            <v>25.2</v>
          </cell>
          <cell r="F12">
            <v>24.7</v>
          </cell>
          <cell r="G12">
            <v>25.6</v>
          </cell>
          <cell r="I12">
            <v>27.1875</v>
          </cell>
          <cell r="R12">
            <v>38.5</v>
          </cell>
        </row>
        <row r="13">
          <cell r="A13">
            <v>37176</v>
          </cell>
          <cell r="B13">
            <v>24.6</v>
          </cell>
          <cell r="C13">
            <v>25</v>
          </cell>
          <cell r="D13">
            <v>23.3</v>
          </cell>
          <cell r="E13">
            <v>25.2</v>
          </cell>
          <cell r="F13">
            <v>24.7</v>
          </cell>
          <cell r="G13">
            <v>25.6</v>
          </cell>
          <cell r="I13">
            <v>27.1875</v>
          </cell>
          <cell r="R13">
            <v>38.5</v>
          </cell>
        </row>
        <row r="14">
          <cell r="A14">
            <v>37179</v>
          </cell>
          <cell r="B14">
            <v>24.6</v>
          </cell>
          <cell r="C14">
            <v>25</v>
          </cell>
          <cell r="D14">
            <v>23.3</v>
          </cell>
          <cell r="E14">
            <v>25.2</v>
          </cell>
          <cell r="F14">
            <v>24.7</v>
          </cell>
          <cell r="G14">
            <v>25.6</v>
          </cell>
          <cell r="I14">
            <v>27.1875</v>
          </cell>
          <cell r="R14">
            <v>38.5</v>
          </cell>
        </row>
        <row r="15">
          <cell r="A15">
            <v>37180</v>
          </cell>
          <cell r="B15">
            <v>24.6</v>
          </cell>
          <cell r="C15">
            <v>25</v>
          </cell>
          <cell r="D15">
            <v>23.3</v>
          </cell>
          <cell r="E15">
            <v>25.2</v>
          </cell>
          <cell r="F15">
            <v>24.7</v>
          </cell>
          <cell r="G15">
            <v>25.6</v>
          </cell>
          <cell r="I15">
            <v>27.1875</v>
          </cell>
          <cell r="R15">
            <v>38.5</v>
          </cell>
        </row>
        <row r="16">
          <cell r="A16">
            <v>37181</v>
          </cell>
          <cell r="B16">
            <v>24.6</v>
          </cell>
          <cell r="C16">
            <v>25</v>
          </cell>
          <cell r="D16">
            <v>23.3</v>
          </cell>
          <cell r="E16">
            <v>25.2</v>
          </cell>
          <cell r="F16">
            <v>24.7</v>
          </cell>
          <cell r="G16">
            <v>25.6</v>
          </cell>
          <cell r="I16">
            <v>27.1875</v>
          </cell>
          <cell r="R16">
            <v>38.5</v>
          </cell>
        </row>
        <row r="17">
          <cell r="A17">
            <v>37182</v>
          </cell>
          <cell r="B17">
            <v>24.6</v>
          </cell>
          <cell r="C17">
            <v>25</v>
          </cell>
          <cell r="D17">
            <v>23.3</v>
          </cell>
          <cell r="E17">
            <v>25.2</v>
          </cell>
          <cell r="F17">
            <v>24.7</v>
          </cell>
          <cell r="G17">
            <v>25.6</v>
          </cell>
          <cell r="I17">
            <v>27.1875</v>
          </cell>
          <cell r="R17">
            <v>38.5</v>
          </cell>
        </row>
        <row r="18">
          <cell r="A18">
            <v>37183</v>
          </cell>
          <cell r="B18">
            <v>24.6</v>
          </cell>
          <cell r="C18">
            <v>25</v>
          </cell>
          <cell r="D18">
            <v>23.3</v>
          </cell>
          <cell r="E18">
            <v>25.2</v>
          </cell>
          <cell r="F18">
            <v>24.7</v>
          </cell>
          <cell r="G18">
            <v>25.6</v>
          </cell>
          <cell r="I18">
            <v>27.1875</v>
          </cell>
          <cell r="R18">
            <v>38.5</v>
          </cell>
        </row>
        <row r="19">
          <cell r="A19">
            <v>37186</v>
          </cell>
          <cell r="B19">
            <v>24.6</v>
          </cell>
          <cell r="C19">
            <v>25</v>
          </cell>
          <cell r="D19">
            <v>23.3</v>
          </cell>
          <cell r="E19">
            <v>25.2</v>
          </cell>
          <cell r="F19">
            <v>24.7</v>
          </cell>
          <cell r="G19">
            <v>25.6</v>
          </cell>
          <cell r="I19">
            <v>27.1875</v>
          </cell>
          <cell r="R19">
            <v>38.5</v>
          </cell>
        </row>
        <row r="20">
          <cell r="A20">
            <v>37187</v>
          </cell>
          <cell r="B20">
            <v>24.6</v>
          </cell>
          <cell r="C20">
            <v>25</v>
          </cell>
          <cell r="D20">
            <v>23.3</v>
          </cell>
          <cell r="E20">
            <v>25.2</v>
          </cell>
          <cell r="F20">
            <v>24.7</v>
          </cell>
          <cell r="G20">
            <v>25.6</v>
          </cell>
          <cell r="I20">
            <v>27.1875</v>
          </cell>
          <cell r="R20">
            <v>38.5</v>
          </cell>
        </row>
        <row r="21">
          <cell r="A21">
            <v>37188</v>
          </cell>
          <cell r="B21">
            <v>24.6</v>
          </cell>
          <cell r="C21">
            <v>25</v>
          </cell>
          <cell r="D21">
            <v>23.3</v>
          </cell>
          <cell r="E21">
            <v>25.2</v>
          </cell>
          <cell r="F21">
            <v>24.7</v>
          </cell>
          <cell r="G21">
            <v>25.6</v>
          </cell>
          <cell r="I21">
            <v>27.1875</v>
          </cell>
          <cell r="R21">
            <v>38.5</v>
          </cell>
        </row>
        <row r="22">
          <cell r="A22">
            <v>37189</v>
          </cell>
          <cell r="B22">
            <v>24.6</v>
          </cell>
          <cell r="C22">
            <v>25</v>
          </cell>
          <cell r="D22">
            <v>23.3</v>
          </cell>
          <cell r="E22">
            <v>25.2</v>
          </cell>
          <cell r="F22">
            <v>24.7</v>
          </cell>
          <cell r="G22">
            <v>25.6</v>
          </cell>
          <cell r="I22">
            <v>27.1875</v>
          </cell>
          <cell r="R22">
            <v>38.5</v>
          </cell>
        </row>
        <row r="23">
          <cell r="A23">
            <v>37190</v>
          </cell>
          <cell r="B23">
            <v>24.6</v>
          </cell>
          <cell r="C23">
            <v>25</v>
          </cell>
          <cell r="D23">
            <v>23.3</v>
          </cell>
          <cell r="E23">
            <v>25.2</v>
          </cell>
          <cell r="F23">
            <v>24.7</v>
          </cell>
          <cell r="G23">
            <v>25.6</v>
          </cell>
          <cell r="I23">
            <v>27.1875</v>
          </cell>
          <cell r="R23">
            <v>38.5</v>
          </cell>
        </row>
        <row r="24">
          <cell r="A24">
            <v>37193</v>
          </cell>
          <cell r="B24">
            <v>24.6</v>
          </cell>
          <cell r="C24">
            <v>25</v>
          </cell>
          <cell r="D24">
            <v>23.3</v>
          </cell>
          <cell r="E24">
            <v>25.2</v>
          </cell>
          <cell r="F24">
            <v>24.7</v>
          </cell>
          <cell r="G24">
            <v>25.6</v>
          </cell>
          <cell r="I24">
            <v>27.1875</v>
          </cell>
          <cell r="R24">
            <v>38.5</v>
          </cell>
        </row>
        <row r="25">
          <cell r="A25">
            <v>37194</v>
          </cell>
          <cell r="B25">
            <v>24.6</v>
          </cell>
          <cell r="C25">
            <v>25</v>
          </cell>
          <cell r="D25">
            <v>23.3</v>
          </cell>
          <cell r="E25">
            <v>25.2</v>
          </cell>
          <cell r="F25">
            <v>24.7</v>
          </cell>
          <cell r="G25">
            <v>25.6</v>
          </cell>
          <cell r="I25">
            <v>27.1875</v>
          </cell>
          <cell r="R25">
            <v>38.5</v>
          </cell>
        </row>
        <row r="26">
          <cell r="A26">
            <v>37195</v>
          </cell>
          <cell r="B26">
            <v>24.6</v>
          </cell>
          <cell r="C26">
            <v>25</v>
          </cell>
          <cell r="D26">
            <v>23.3</v>
          </cell>
          <cell r="E26">
            <v>25.2</v>
          </cell>
          <cell r="F26">
            <v>24.7</v>
          </cell>
          <cell r="G26">
            <v>25.6</v>
          </cell>
          <cell r="I26">
            <v>27.1875</v>
          </cell>
          <cell r="R26">
            <v>38.5</v>
          </cell>
        </row>
        <row r="27">
          <cell r="A27">
            <v>37196</v>
          </cell>
          <cell r="B27">
            <v>25.25</v>
          </cell>
          <cell r="C27">
            <v>28.5</v>
          </cell>
          <cell r="D27">
            <v>27.75</v>
          </cell>
          <cell r="E27">
            <v>27.9</v>
          </cell>
          <cell r="F27">
            <v>26.1</v>
          </cell>
          <cell r="G27">
            <v>26.25</v>
          </cell>
          <cell r="I27">
            <v>24.9</v>
          </cell>
          <cell r="R27">
            <v>39.199996948242188</v>
          </cell>
        </row>
        <row r="28">
          <cell r="A28">
            <v>37197</v>
          </cell>
          <cell r="B28">
            <v>25.25</v>
          </cell>
          <cell r="C28">
            <v>28.5</v>
          </cell>
          <cell r="D28">
            <v>27.75</v>
          </cell>
          <cell r="E28">
            <v>27.9</v>
          </cell>
          <cell r="F28">
            <v>26.1</v>
          </cell>
          <cell r="G28">
            <v>26.25</v>
          </cell>
          <cell r="I28">
            <v>24.9</v>
          </cell>
          <cell r="R28">
            <v>39.199996948242188</v>
          </cell>
        </row>
        <row r="29">
          <cell r="A29">
            <v>37225</v>
          </cell>
          <cell r="B29">
            <v>25.25</v>
          </cell>
          <cell r="C29">
            <v>28.5</v>
          </cell>
          <cell r="D29">
            <v>27.75</v>
          </cell>
          <cell r="E29">
            <v>27.9</v>
          </cell>
          <cell r="F29">
            <v>26.1</v>
          </cell>
          <cell r="G29">
            <v>26.25</v>
          </cell>
          <cell r="I29">
            <v>26.1</v>
          </cell>
          <cell r="R29">
            <v>39.199996948242188</v>
          </cell>
        </row>
        <row r="30">
          <cell r="A30">
            <v>37226</v>
          </cell>
          <cell r="B30">
            <v>29.5</v>
          </cell>
          <cell r="C30">
            <v>35.1</v>
          </cell>
          <cell r="D30">
            <v>34.85</v>
          </cell>
          <cell r="E30">
            <v>33.799999999999997</v>
          </cell>
          <cell r="F30">
            <v>29.8</v>
          </cell>
          <cell r="G30">
            <v>31.5</v>
          </cell>
          <cell r="I30">
            <v>29.8</v>
          </cell>
          <cell r="R30">
            <v>46.549999237060547</v>
          </cell>
        </row>
        <row r="31">
          <cell r="A31">
            <v>37257</v>
          </cell>
          <cell r="B31">
            <v>29.5</v>
          </cell>
          <cell r="C31">
            <v>33.5</v>
          </cell>
          <cell r="D31">
            <v>33.75</v>
          </cell>
          <cell r="E31">
            <v>34.25</v>
          </cell>
          <cell r="F31">
            <v>31.25</v>
          </cell>
          <cell r="G31">
            <v>31</v>
          </cell>
          <cell r="I31">
            <v>31.25</v>
          </cell>
          <cell r="R31">
            <v>46.738515319824216</v>
          </cell>
        </row>
        <row r="32">
          <cell r="A32">
            <v>37288</v>
          </cell>
          <cell r="B32">
            <v>28.75</v>
          </cell>
          <cell r="C32">
            <v>31.9</v>
          </cell>
          <cell r="D32">
            <v>32</v>
          </cell>
          <cell r="E32">
            <v>33.75</v>
          </cell>
          <cell r="F32">
            <v>31.25</v>
          </cell>
          <cell r="G32">
            <v>30</v>
          </cell>
          <cell r="I32">
            <v>31.25</v>
          </cell>
          <cell r="R32">
            <v>46.044737701416018</v>
          </cell>
        </row>
        <row r="33">
          <cell r="A33">
            <v>37316</v>
          </cell>
          <cell r="B33">
            <v>28.75</v>
          </cell>
          <cell r="C33">
            <v>28</v>
          </cell>
          <cell r="D33">
            <v>28</v>
          </cell>
          <cell r="E33">
            <v>31.75</v>
          </cell>
          <cell r="F33">
            <v>30.5</v>
          </cell>
          <cell r="G33">
            <v>30</v>
          </cell>
          <cell r="I33">
            <v>30.5</v>
          </cell>
          <cell r="R33">
            <v>44.989060668945314</v>
          </cell>
        </row>
        <row r="34">
          <cell r="A34">
            <v>37347</v>
          </cell>
          <cell r="B34">
            <v>29.5</v>
          </cell>
          <cell r="C34">
            <v>30</v>
          </cell>
          <cell r="D34">
            <v>28</v>
          </cell>
          <cell r="E34">
            <v>29.5</v>
          </cell>
          <cell r="F34">
            <v>29.5</v>
          </cell>
          <cell r="G34">
            <v>31.5</v>
          </cell>
          <cell r="I34">
            <v>29.5</v>
          </cell>
          <cell r="R34">
            <v>42.094276123046875</v>
          </cell>
        </row>
        <row r="35">
          <cell r="A35">
            <v>37377</v>
          </cell>
          <cell r="B35">
            <v>32.5</v>
          </cell>
          <cell r="C35">
            <v>29.25</v>
          </cell>
          <cell r="D35">
            <v>26.75</v>
          </cell>
          <cell r="E35">
            <v>29.5</v>
          </cell>
          <cell r="F35">
            <v>32.75</v>
          </cell>
          <cell r="G35">
            <v>35.5</v>
          </cell>
          <cell r="I35">
            <v>29.5</v>
          </cell>
          <cell r="R35">
            <v>42.559287414550781</v>
          </cell>
        </row>
        <row r="36">
          <cell r="A36">
            <v>37408</v>
          </cell>
          <cell r="B36">
            <v>41.5</v>
          </cell>
          <cell r="C36">
            <v>30.5</v>
          </cell>
          <cell r="D36">
            <v>28</v>
          </cell>
          <cell r="E36">
            <v>36.25</v>
          </cell>
          <cell r="F36">
            <v>37.5</v>
          </cell>
          <cell r="G36">
            <v>46.5</v>
          </cell>
          <cell r="I36">
            <v>36.25</v>
          </cell>
          <cell r="R36">
            <v>43.415684856194005</v>
          </cell>
        </row>
        <row r="37">
          <cell r="A37">
            <v>37438</v>
          </cell>
          <cell r="B37">
            <v>49</v>
          </cell>
          <cell r="C37">
            <v>44</v>
          </cell>
          <cell r="D37">
            <v>41</v>
          </cell>
          <cell r="E37">
            <v>44</v>
          </cell>
          <cell r="F37">
            <v>46.75</v>
          </cell>
          <cell r="G37">
            <v>56</v>
          </cell>
          <cell r="I37">
            <v>44</v>
          </cell>
          <cell r="R37">
            <v>46.03385745195893</v>
          </cell>
        </row>
        <row r="38">
          <cell r="A38">
            <v>37469</v>
          </cell>
          <cell r="B38">
            <v>56</v>
          </cell>
          <cell r="C38">
            <v>52</v>
          </cell>
          <cell r="D38">
            <v>49.5</v>
          </cell>
          <cell r="E38">
            <v>51</v>
          </cell>
          <cell r="F38">
            <v>52.75</v>
          </cell>
          <cell r="G38">
            <v>66</v>
          </cell>
          <cell r="I38">
            <v>51</v>
          </cell>
          <cell r="R38">
            <v>46.720463168637096</v>
          </cell>
        </row>
        <row r="39">
          <cell r="A39">
            <v>37500</v>
          </cell>
          <cell r="B39">
            <v>46.5</v>
          </cell>
          <cell r="C39">
            <v>44.5</v>
          </cell>
          <cell r="D39">
            <v>41</v>
          </cell>
          <cell r="E39">
            <v>43</v>
          </cell>
          <cell r="F39">
            <v>39.25</v>
          </cell>
          <cell r="G39">
            <v>53.5</v>
          </cell>
          <cell r="I39">
            <v>39.25</v>
          </cell>
          <cell r="R39">
            <v>46.688050112768842</v>
          </cell>
        </row>
        <row r="40">
          <cell r="A40">
            <v>37530</v>
          </cell>
          <cell r="B40">
            <v>33.5</v>
          </cell>
          <cell r="C40">
            <v>34.25</v>
          </cell>
          <cell r="D40">
            <v>35.5</v>
          </cell>
          <cell r="E40">
            <v>36.75</v>
          </cell>
          <cell r="F40">
            <v>35.25</v>
          </cell>
          <cell r="G40">
            <v>36</v>
          </cell>
          <cell r="I40">
            <v>35.25</v>
          </cell>
          <cell r="R40">
            <v>45.363648045943307</v>
          </cell>
        </row>
        <row r="41">
          <cell r="A41">
            <v>37561</v>
          </cell>
          <cell r="B41">
            <v>31.5</v>
          </cell>
          <cell r="C41">
            <v>32</v>
          </cell>
          <cell r="D41">
            <v>33</v>
          </cell>
          <cell r="E41">
            <v>34.5</v>
          </cell>
          <cell r="F41">
            <v>34.5</v>
          </cell>
          <cell r="G41">
            <v>33.5</v>
          </cell>
          <cell r="I41">
            <v>34.5</v>
          </cell>
          <cell r="R41">
            <v>50.122292181478933</v>
          </cell>
        </row>
        <row r="42">
          <cell r="A42">
            <v>37591</v>
          </cell>
          <cell r="B42">
            <v>32.5</v>
          </cell>
          <cell r="C42">
            <v>34</v>
          </cell>
          <cell r="D42">
            <v>35</v>
          </cell>
          <cell r="E42">
            <v>36.75</v>
          </cell>
          <cell r="F42">
            <v>36.75</v>
          </cell>
          <cell r="G42">
            <v>34.5</v>
          </cell>
          <cell r="I42">
            <v>36.75</v>
          </cell>
          <cell r="R42">
            <v>54.040554605681521</v>
          </cell>
        </row>
        <row r="43">
          <cell r="A43">
            <v>37622</v>
          </cell>
          <cell r="B43">
            <v>33.75</v>
          </cell>
          <cell r="C43">
            <v>37</v>
          </cell>
          <cell r="D43">
            <v>38</v>
          </cell>
          <cell r="E43">
            <v>38</v>
          </cell>
          <cell r="F43">
            <v>37.5</v>
          </cell>
          <cell r="G43">
            <v>35.75</v>
          </cell>
          <cell r="I43">
            <v>27.5</v>
          </cell>
          <cell r="R43">
            <v>47.278262748383035</v>
          </cell>
        </row>
        <row r="44">
          <cell r="A44">
            <v>37653</v>
          </cell>
          <cell r="B44">
            <v>33.25</v>
          </cell>
          <cell r="C44">
            <v>34.5</v>
          </cell>
          <cell r="D44">
            <v>35.5</v>
          </cell>
          <cell r="E44">
            <v>37</v>
          </cell>
          <cell r="F44">
            <v>36.5</v>
          </cell>
          <cell r="G44">
            <v>35.25</v>
          </cell>
          <cell r="I44">
            <v>26.5</v>
          </cell>
          <cell r="R44">
            <v>45.874440960413892</v>
          </cell>
        </row>
        <row r="45">
          <cell r="A45">
            <v>37681</v>
          </cell>
          <cell r="B45">
            <v>33.25</v>
          </cell>
          <cell r="C45">
            <v>31</v>
          </cell>
          <cell r="D45">
            <v>31</v>
          </cell>
          <cell r="E45">
            <v>34.5</v>
          </cell>
          <cell r="F45">
            <v>34</v>
          </cell>
          <cell r="G45">
            <v>35.25</v>
          </cell>
          <cell r="I45">
            <v>24</v>
          </cell>
          <cell r="R45">
            <v>44.155655738014168</v>
          </cell>
        </row>
        <row r="46">
          <cell r="A46">
            <v>37712</v>
          </cell>
          <cell r="B46">
            <v>32.75</v>
          </cell>
          <cell r="C46">
            <v>32.5</v>
          </cell>
          <cell r="D46">
            <v>29.5</v>
          </cell>
          <cell r="E46">
            <v>32.25</v>
          </cell>
          <cell r="F46">
            <v>33.5</v>
          </cell>
          <cell r="G46">
            <v>34.75</v>
          </cell>
          <cell r="I46">
            <v>22.25</v>
          </cell>
          <cell r="R46">
            <v>41.339262323673609</v>
          </cell>
        </row>
        <row r="47">
          <cell r="A47">
            <v>37742</v>
          </cell>
          <cell r="B47">
            <v>32.75</v>
          </cell>
          <cell r="C47">
            <v>28.25</v>
          </cell>
          <cell r="D47">
            <v>25</v>
          </cell>
          <cell r="E47">
            <v>33.25</v>
          </cell>
          <cell r="F47">
            <v>34.25</v>
          </cell>
          <cell r="G47">
            <v>34.75</v>
          </cell>
          <cell r="I47">
            <v>23.25</v>
          </cell>
          <cell r="R47">
            <v>41.546649754657516</v>
          </cell>
        </row>
        <row r="48">
          <cell r="A48">
            <v>37773</v>
          </cell>
          <cell r="B48">
            <v>37.25</v>
          </cell>
          <cell r="C48">
            <v>29.25</v>
          </cell>
          <cell r="D48">
            <v>26</v>
          </cell>
          <cell r="E48">
            <v>37.25</v>
          </cell>
          <cell r="F48">
            <v>43.25</v>
          </cell>
          <cell r="G48">
            <v>41.75</v>
          </cell>
          <cell r="I48">
            <v>27.25</v>
          </cell>
          <cell r="R48">
            <v>42.051335336045746</v>
          </cell>
        </row>
        <row r="49">
          <cell r="A49">
            <v>37803</v>
          </cell>
          <cell r="B49">
            <v>51.5</v>
          </cell>
          <cell r="C49">
            <v>50.5</v>
          </cell>
          <cell r="D49">
            <v>46</v>
          </cell>
          <cell r="E49">
            <v>47.5</v>
          </cell>
          <cell r="F49">
            <v>53.5</v>
          </cell>
          <cell r="G49">
            <v>57.5</v>
          </cell>
          <cell r="I49">
            <v>37.5</v>
          </cell>
          <cell r="R49">
            <v>42.445530898575761</v>
          </cell>
        </row>
        <row r="50">
          <cell r="A50">
            <v>37834</v>
          </cell>
          <cell r="B50">
            <v>57</v>
          </cell>
          <cell r="C50">
            <v>57.5</v>
          </cell>
          <cell r="D50">
            <v>54</v>
          </cell>
          <cell r="E50">
            <v>56.25</v>
          </cell>
          <cell r="F50">
            <v>57.5</v>
          </cell>
          <cell r="G50">
            <v>65</v>
          </cell>
          <cell r="I50">
            <v>46.25</v>
          </cell>
          <cell r="R50">
            <v>42.791994793972414</v>
          </cell>
        </row>
        <row r="51">
          <cell r="A51">
            <v>37865</v>
          </cell>
          <cell r="B51">
            <v>45.5</v>
          </cell>
          <cell r="C51">
            <v>46.5</v>
          </cell>
          <cell r="D51">
            <v>43</v>
          </cell>
          <cell r="E51">
            <v>51.5</v>
          </cell>
          <cell r="F51">
            <v>46.5</v>
          </cell>
          <cell r="G51">
            <v>51.5</v>
          </cell>
          <cell r="I51">
            <v>36.5</v>
          </cell>
          <cell r="R51">
            <v>42.886975883991887</v>
          </cell>
        </row>
        <row r="52">
          <cell r="A52">
            <v>37895</v>
          </cell>
          <cell r="B52">
            <v>34</v>
          </cell>
          <cell r="C52">
            <v>35.5</v>
          </cell>
          <cell r="D52">
            <v>36</v>
          </cell>
          <cell r="E52">
            <v>37.5</v>
          </cell>
          <cell r="F52">
            <v>36</v>
          </cell>
          <cell r="G52">
            <v>36.25</v>
          </cell>
          <cell r="I52">
            <v>26</v>
          </cell>
          <cell r="R52">
            <v>43.123561390394222</v>
          </cell>
        </row>
        <row r="53">
          <cell r="A53">
            <v>37926</v>
          </cell>
          <cell r="B53">
            <v>32.5</v>
          </cell>
          <cell r="C53">
            <v>33.5</v>
          </cell>
          <cell r="D53">
            <v>34</v>
          </cell>
          <cell r="E53">
            <v>36.5</v>
          </cell>
          <cell r="F53">
            <v>34.5</v>
          </cell>
          <cell r="G53">
            <v>34.25</v>
          </cell>
          <cell r="I53">
            <v>24.5</v>
          </cell>
          <cell r="R53">
            <v>46.945458547079802</v>
          </cell>
        </row>
        <row r="54">
          <cell r="A54">
            <v>37956</v>
          </cell>
          <cell r="B54">
            <v>32.5</v>
          </cell>
          <cell r="C54">
            <v>36.5</v>
          </cell>
          <cell r="D54">
            <v>37</v>
          </cell>
          <cell r="E54">
            <v>38.5</v>
          </cell>
          <cell r="F54">
            <v>39</v>
          </cell>
          <cell r="G54">
            <v>34</v>
          </cell>
          <cell r="I54">
            <v>28.5</v>
          </cell>
          <cell r="R54">
            <v>49.621405010438885</v>
          </cell>
        </row>
        <row r="55">
          <cell r="A55">
            <v>37987</v>
          </cell>
          <cell r="B55">
            <v>34.61</v>
          </cell>
          <cell r="C55">
            <v>36.83</v>
          </cell>
          <cell r="D55">
            <v>37.159999999999997</v>
          </cell>
          <cell r="E55">
            <v>39.29</v>
          </cell>
          <cell r="F55">
            <v>39.700000000000003</v>
          </cell>
          <cell r="G55">
            <v>36.81</v>
          </cell>
          <cell r="I55">
            <v>18.25</v>
          </cell>
          <cell r="R55">
            <v>48.135202527010954</v>
          </cell>
        </row>
        <row r="56">
          <cell r="A56">
            <v>38018</v>
          </cell>
          <cell r="B56">
            <v>34.19</v>
          </cell>
          <cell r="C56">
            <v>34.72</v>
          </cell>
          <cell r="D56">
            <v>35.08</v>
          </cell>
          <cell r="E56">
            <v>38.76</v>
          </cell>
          <cell r="F56">
            <v>37.700000000000003</v>
          </cell>
          <cell r="G56">
            <v>36.39</v>
          </cell>
          <cell r="I56">
            <v>20.5</v>
          </cell>
          <cell r="R56">
            <v>46.370841891385552</v>
          </cell>
        </row>
        <row r="57">
          <cell r="A57">
            <v>38047</v>
          </cell>
          <cell r="B57">
            <v>34.19</v>
          </cell>
          <cell r="C57">
            <v>31.78</v>
          </cell>
          <cell r="D57">
            <v>31.32</v>
          </cell>
          <cell r="E57">
            <v>37.229999999999997</v>
          </cell>
          <cell r="F57">
            <v>35.450000000000003</v>
          </cell>
          <cell r="G57">
            <v>36.39</v>
          </cell>
          <cell r="I57">
            <v>17.5</v>
          </cell>
          <cell r="R57">
            <v>44.3226970343838</v>
          </cell>
        </row>
        <row r="58">
          <cell r="A58">
            <v>38078</v>
          </cell>
          <cell r="B58">
            <v>33.76</v>
          </cell>
          <cell r="C58">
            <v>33.049999999999997</v>
          </cell>
          <cell r="D58">
            <v>30.07</v>
          </cell>
          <cell r="E58">
            <v>35.51</v>
          </cell>
          <cell r="F58">
            <v>34.700000000000003</v>
          </cell>
          <cell r="G58">
            <v>35.96</v>
          </cell>
          <cell r="I58">
            <v>25.25</v>
          </cell>
          <cell r="R58">
            <v>40.889840327256721</v>
          </cell>
        </row>
        <row r="59">
          <cell r="A59">
            <v>38108</v>
          </cell>
          <cell r="B59">
            <v>33.76</v>
          </cell>
          <cell r="C59">
            <v>29.47</v>
          </cell>
          <cell r="D59">
            <v>26.31</v>
          </cell>
          <cell r="E59">
            <v>37.17</v>
          </cell>
          <cell r="F59">
            <v>35.450000000000003</v>
          </cell>
          <cell r="G59">
            <v>35.96</v>
          </cell>
          <cell r="I59">
            <v>25.25</v>
          </cell>
          <cell r="R59">
            <v>40.818219095192291</v>
          </cell>
        </row>
        <row r="60">
          <cell r="A60">
            <v>38139</v>
          </cell>
          <cell r="B60">
            <v>37.61</v>
          </cell>
          <cell r="C60">
            <v>30.31</v>
          </cell>
          <cell r="D60">
            <v>27.15</v>
          </cell>
          <cell r="E60">
            <v>41.65</v>
          </cell>
          <cell r="F60">
            <v>43.95</v>
          </cell>
          <cell r="G60">
            <v>41.94</v>
          </cell>
          <cell r="I60">
            <v>31.25</v>
          </cell>
          <cell r="R60">
            <v>41.298759129244161</v>
          </cell>
        </row>
        <row r="61">
          <cell r="A61">
            <v>38169</v>
          </cell>
          <cell r="B61">
            <v>49.8</v>
          </cell>
          <cell r="C61">
            <v>48.26</v>
          </cell>
          <cell r="D61">
            <v>43.93</v>
          </cell>
          <cell r="E61">
            <v>43.73</v>
          </cell>
          <cell r="F61">
            <v>49.95</v>
          </cell>
          <cell r="G61">
            <v>55.4</v>
          </cell>
          <cell r="I61">
            <v>35.25</v>
          </cell>
          <cell r="R61">
            <v>41.990248189769204</v>
          </cell>
        </row>
        <row r="62">
          <cell r="A62">
            <v>38200</v>
          </cell>
          <cell r="B62">
            <v>54.51</v>
          </cell>
          <cell r="C62">
            <v>54.19</v>
          </cell>
          <cell r="D62">
            <v>50.65</v>
          </cell>
          <cell r="E62">
            <v>51.16</v>
          </cell>
          <cell r="F62">
            <v>52.45</v>
          </cell>
          <cell r="G62">
            <v>61.81</v>
          </cell>
          <cell r="I62">
            <v>44.25</v>
          </cell>
          <cell r="R62">
            <v>42.490438256966911</v>
          </cell>
        </row>
        <row r="63">
          <cell r="A63">
            <v>38231</v>
          </cell>
          <cell r="B63">
            <v>44.67</v>
          </cell>
          <cell r="C63">
            <v>44.9</v>
          </cell>
          <cell r="D63">
            <v>41.44</v>
          </cell>
          <cell r="E63">
            <v>47.08</v>
          </cell>
          <cell r="F63">
            <v>43.45</v>
          </cell>
          <cell r="G63">
            <v>50.27</v>
          </cell>
          <cell r="I63">
            <v>28.25</v>
          </cell>
          <cell r="R63">
            <v>42.49813993335033</v>
          </cell>
        </row>
        <row r="64">
          <cell r="A64">
            <v>38261</v>
          </cell>
          <cell r="B64">
            <v>34.83</v>
          </cell>
          <cell r="C64">
            <v>35.619999999999997</v>
          </cell>
          <cell r="D64">
            <v>35.57</v>
          </cell>
          <cell r="E64">
            <v>38.78</v>
          </cell>
          <cell r="F64">
            <v>37.700000000000003</v>
          </cell>
          <cell r="G64">
            <v>37.24</v>
          </cell>
          <cell r="I64">
            <v>28.5</v>
          </cell>
          <cell r="R64">
            <v>42.58258932870141</v>
          </cell>
        </row>
        <row r="65">
          <cell r="A65">
            <v>38292</v>
          </cell>
          <cell r="B65">
            <v>33.549999999999997</v>
          </cell>
          <cell r="C65">
            <v>33.93</v>
          </cell>
          <cell r="D65">
            <v>33.9</v>
          </cell>
          <cell r="E65">
            <v>37</v>
          </cell>
          <cell r="F65">
            <v>37.450000000000003</v>
          </cell>
          <cell r="G65">
            <v>35.53</v>
          </cell>
          <cell r="I65">
            <v>25</v>
          </cell>
          <cell r="R65">
            <v>46.001272576934689</v>
          </cell>
        </row>
        <row r="66">
          <cell r="A66">
            <v>38322</v>
          </cell>
          <cell r="B66">
            <v>33.549999999999997</v>
          </cell>
          <cell r="C66">
            <v>36.47</v>
          </cell>
          <cell r="D66">
            <v>36.43</v>
          </cell>
          <cell r="E66">
            <v>38.659999999999997</v>
          </cell>
          <cell r="F66">
            <v>41.45</v>
          </cell>
          <cell r="G66">
            <v>35.32</v>
          </cell>
          <cell r="I66">
            <v>28.25</v>
          </cell>
          <cell r="R66">
            <v>48.47670969205133</v>
          </cell>
        </row>
        <row r="67">
          <cell r="A67">
            <v>38353</v>
          </cell>
          <cell r="B67">
            <v>35.39</v>
          </cell>
          <cell r="C67">
            <v>37.130000000000003</v>
          </cell>
          <cell r="D67">
            <v>37.21</v>
          </cell>
          <cell r="E67">
            <v>39.5</v>
          </cell>
          <cell r="F67">
            <v>40.450000000000003</v>
          </cell>
          <cell r="G67">
            <v>37.71</v>
          </cell>
          <cell r="I67">
            <v>18.25</v>
          </cell>
          <cell r="R67">
            <v>47.064408259299327</v>
          </cell>
        </row>
        <row r="68">
          <cell r="A68">
            <v>38384</v>
          </cell>
          <cell r="B68">
            <v>35.020000000000003</v>
          </cell>
          <cell r="C68">
            <v>35.340000000000003</v>
          </cell>
          <cell r="D68">
            <v>35.43</v>
          </cell>
          <cell r="E68">
            <v>39.25</v>
          </cell>
          <cell r="F68">
            <v>38.450000000000003</v>
          </cell>
          <cell r="G68">
            <v>37.340000000000003</v>
          </cell>
          <cell r="I68">
            <v>20.5</v>
          </cell>
          <cell r="R68">
            <v>45.388393005984341</v>
          </cell>
        </row>
        <row r="69">
          <cell r="A69">
            <v>38412</v>
          </cell>
          <cell r="B69">
            <v>35.020000000000003</v>
          </cell>
          <cell r="C69">
            <v>32.83</v>
          </cell>
          <cell r="D69">
            <v>32.21</v>
          </cell>
          <cell r="E69">
            <v>38</v>
          </cell>
          <cell r="F69">
            <v>36.450000000000003</v>
          </cell>
          <cell r="G69">
            <v>37.340000000000003</v>
          </cell>
          <cell r="I69">
            <v>17.5</v>
          </cell>
          <cell r="R69">
            <v>43.442864058775712</v>
          </cell>
        </row>
        <row r="70">
          <cell r="A70">
            <v>38443</v>
          </cell>
          <cell r="B70">
            <v>34.659999999999997</v>
          </cell>
          <cell r="C70">
            <v>33.92</v>
          </cell>
          <cell r="D70">
            <v>31.14</v>
          </cell>
          <cell r="E70">
            <v>37</v>
          </cell>
          <cell r="F70">
            <v>36.200000000000003</v>
          </cell>
          <cell r="G70">
            <v>36.979999999999997</v>
          </cell>
          <cell r="I70">
            <v>24.25</v>
          </cell>
          <cell r="R70">
            <v>40.252279459969259</v>
          </cell>
        </row>
        <row r="71">
          <cell r="A71">
            <v>38473</v>
          </cell>
          <cell r="B71">
            <v>34.659999999999997</v>
          </cell>
          <cell r="C71">
            <v>30.86</v>
          </cell>
          <cell r="D71">
            <v>27.92</v>
          </cell>
          <cell r="E71">
            <v>38.5</v>
          </cell>
          <cell r="F71">
            <v>36.700000000000003</v>
          </cell>
          <cell r="G71">
            <v>36.979999999999997</v>
          </cell>
          <cell r="I71">
            <v>24.25</v>
          </cell>
          <cell r="R71">
            <v>40.185440830415757</v>
          </cell>
        </row>
        <row r="72">
          <cell r="A72">
            <v>38504</v>
          </cell>
          <cell r="B72">
            <v>37.950000000000003</v>
          </cell>
          <cell r="C72">
            <v>31.6</v>
          </cell>
          <cell r="D72">
            <v>28.64</v>
          </cell>
          <cell r="E72">
            <v>42.75</v>
          </cell>
          <cell r="F72">
            <v>44.2</v>
          </cell>
          <cell r="G72">
            <v>42.08</v>
          </cell>
          <cell r="I72">
            <v>29.25</v>
          </cell>
          <cell r="R72">
            <v>40.643689504623197</v>
          </cell>
        </row>
        <row r="73">
          <cell r="A73">
            <v>38534</v>
          </cell>
          <cell r="B73">
            <v>48.39</v>
          </cell>
          <cell r="C73">
            <v>46.96</v>
          </cell>
          <cell r="D73">
            <v>43</v>
          </cell>
          <cell r="E73">
            <v>42.25</v>
          </cell>
          <cell r="F73">
            <v>47.95</v>
          </cell>
          <cell r="G73">
            <v>53.59</v>
          </cell>
          <cell r="I73">
            <v>26.25</v>
          </cell>
          <cell r="R73">
            <v>41.302362797794132</v>
          </cell>
        </row>
        <row r="74">
          <cell r="A74">
            <v>38565</v>
          </cell>
          <cell r="B74">
            <v>52.41</v>
          </cell>
          <cell r="C74">
            <v>52.04</v>
          </cell>
          <cell r="D74">
            <v>48.76</v>
          </cell>
          <cell r="E74">
            <v>48.5</v>
          </cell>
          <cell r="F74">
            <v>49.45</v>
          </cell>
          <cell r="G74">
            <v>59.05</v>
          </cell>
          <cell r="I74">
            <v>35.25</v>
          </cell>
          <cell r="R74">
            <v>41.778801328768516</v>
          </cell>
        </row>
        <row r="75">
          <cell r="A75">
            <v>38596</v>
          </cell>
          <cell r="B75">
            <v>43.99</v>
          </cell>
          <cell r="C75">
            <v>44.1</v>
          </cell>
          <cell r="D75">
            <v>40.869999999999997</v>
          </cell>
          <cell r="E75">
            <v>45</v>
          </cell>
          <cell r="F75">
            <v>41.95</v>
          </cell>
          <cell r="G75">
            <v>49.19</v>
          </cell>
          <cell r="I75">
            <v>22.25</v>
          </cell>
          <cell r="R75">
            <v>41.787090567883887</v>
          </cell>
        </row>
        <row r="76">
          <cell r="A76">
            <v>38626</v>
          </cell>
          <cell r="B76">
            <v>35.58</v>
          </cell>
          <cell r="C76">
            <v>36.159999999999997</v>
          </cell>
          <cell r="D76">
            <v>35.85</v>
          </cell>
          <cell r="E76">
            <v>40.5</v>
          </cell>
          <cell r="F76">
            <v>39.200000000000003</v>
          </cell>
          <cell r="G76">
            <v>38.08</v>
          </cell>
          <cell r="I76">
            <v>25.5</v>
          </cell>
          <cell r="R76">
            <v>41.867505455278682</v>
          </cell>
        </row>
        <row r="77">
          <cell r="A77">
            <v>38657</v>
          </cell>
          <cell r="B77">
            <v>34.479999999999997</v>
          </cell>
          <cell r="C77">
            <v>34.729999999999997</v>
          </cell>
          <cell r="D77">
            <v>34.42</v>
          </cell>
          <cell r="E77">
            <v>38.25</v>
          </cell>
          <cell r="F77">
            <v>38.700000000000003</v>
          </cell>
          <cell r="G77">
            <v>36.619999999999997</v>
          </cell>
          <cell r="I77">
            <v>22.5</v>
          </cell>
          <cell r="R77">
            <v>44.990957521006941</v>
          </cell>
        </row>
        <row r="78">
          <cell r="A78">
            <v>38687</v>
          </cell>
          <cell r="B78">
            <v>34.479999999999997</v>
          </cell>
          <cell r="C78">
            <v>36.909999999999997</v>
          </cell>
          <cell r="D78">
            <v>36.590000000000003</v>
          </cell>
          <cell r="E78">
            <v>39.5</v>
          </cell>
          <cell r="F78">
            <v>42.7</v>
          </cell>
          <cell r="G78">
            <v>36.44</v>
          </cell>
          <cell r="I78">
            <v>25.75</v>
          </cell>
          <cell r="R78">
            <v>47.363151840173764</v>
          </cell>
        </row>
        <row r="79">
          <cell r="A79">
            <v>38718</v>
          </cell>
          <cell r="B79">
            <v>36.08</v>
          </cell>
          <cell r="C79">
            <v>37.909999999999997</v>
          </cell>
          <cell r="D79">
            <v>37.340000000000003</v>
          </cell>
          <cell r="E79">
            <v>39.71</v>
          </cell>
          <cell r="F79">
            <v>40.950000000000003</v>
          </cell>
          <cell r="G79">
            <v>38.5</v>
          </cell>
          <cell r="I79">
            <v>18.5</v>
          </cell>
          <cell r="R79">
            <v>42.570205750659291</v>
          </cell>
        </row>
        <row r="80">
          <cell r="A80">
            <v>38749</v>
          </cell>
          <cell r="B80">
            <v>35.770000000000003</v>
          </cell>
          <cell r="C80">
            <v>36.270000000000003</v>
          </cell>
          <cell r="D80">
            <v>35.729999999999997</v>
          </cell>
          <cell r="E80">
            <v>39.700000000000003</v>
          </cell>
          <cell r="F80">
            <v>39.04</v>
          </cell>
          <cell r="G80">
            <v>38.19</v>
          </cell>
          <cell r="I80">
            <v>20.75</v>
          </cell>
          <cell r="R80">
            <v>41.117098725657939</v>
          </cell>
        </row>
        <row r="81">
          <cell r="A81">
            <v>38777</v>
          </cell>
          <cell r="B81">
            <v>35.770000000000003</v>
          </cell>
          <cell r="C81">
            <v>33.97</v>
          </cell>
          <cell r="D81">
            <v>32.81</v>
          </cell>
          <cell r="E81">
            <v>38.700000000000003</v>
          </cell>
          <cell r="F81">
            <v>37.42</v>
          </cell>
          <cell r="G81">
            <v>38.19</v>
          </cell>
          <cell r="I81">
            <v>17.75</v>
          </cell>
          <cell r="R81">
            <v>39.423420690906411</v>
          </cell>
        </row>
        <row r="82">
          <cell r="A82">
            <v>38808</v>
          </cell>
          <cell r="B82">
            <v>35.46</v>
          </cell>
          <cell r="C82">
            <v>34.97</v>
          </cell>
          <cell r="D82">
            <v>31.84</v>
          </cell>
          <cell r="E82">
            <v>38.380000000000003</v>
          </cell>
          <cell r="F82">
            <v>37.4</v>
          </cell>
          <cell r="G82">
            <v>37.880000000000003</v>
          </cell>
          <cell r="I82">
            <v>24.5</v>
          </cell>
          <cell r="R82">
            <v>36.629498868557967</v>
          </cell>
        </row>
        <row r="83">
          <cell r="A83">
            <v>38838</v>
          </cell>
          <cell r="B83">
            <v>35.46</v>
          </cell>
          <cell r="C83">
            <v>32.17</v>
          </cell>
          <cell r="D83">
            <v>28.93</v>
          </cell>
          <cell r="E83">
            <v>39.69</v>
          </cell>
          <cell r="F83">
            <v>37.9</v>
          </cell>
          <cell r="G83">
            <v>37.880000000000003</v>
          </cell>
          <cell r="I83">
            <v>24.5</v>
          </cell>
          <cell r="R83">
            <v>36.586592999333227</v>
          </cell>
        </row>
        <row r="84">
          <cell r="A84">
            <v>38869</v>
          </cell>
          <cell r="B84">
            <v>38.28</v>
          </cell>
          <cell r="C84">
            <v>32.85</v>
          </cell>
          <cell r="D84">
            <v>29.58</v>
          </cell>
          <cell r="E84">
            <v>43.63</v>
          </cell>
          <cell r="F84">
            <v>44.55</v>
          </cell>
          <cell r="G84">
            <v>42.24</v>
          </cell>
          <cell r="I84">
            <v>29.5</v>
          </cell>
          <cell r="R84">
            <v>37.008278817074974</v>
          </cell>
        </row>
        <row r="85">
          <cell r="A85">
            <v>38899</v>
          </cell>
          <cell r="B85">
            <v>47.21</v>
          </cell>
          <cell r="C85">
            <v>46.96</v>
          </cell>
          <cell r="D85">
            <v>42.6</v>
          </cell>
          <cell r="E85">
            <v>40.97</v>
          </cell>
          <cell r="F85">
            <v>46.4</v>
          </cell>
          <cell r="G85">
            <v>52.07</v>
          </cell>
          <cell r="I85">
            <v>26.5</v>
          </cell>
          <cell r="R85">
            <v>37.60573392949091</v>
          </cell>
        </row>
        <row r="86">
          <cell r="A86">
            <v>38930</v>
          </cell>
          <cell r="B86">
            <v>50.65</v>
          </cell>
          <cell r="C86">
            <v>51.62</v>
          </cell>
          <cell r="D86">
            <v>47.81</v>
          </cell>
          <cell r="E86">
            <v>46.33</v>
          </cell>
          <cell r="F86">
            <v>46.95</v>
          </cell>
          <cell r="G86">
            <v>56.73</v>
          </cell>
          <cell r="I86">
            <v>35.5</v>
          </cell>
          <cell r="R86">
            <v>38.042097134983969</v>
          </cell>
        </row>
        <row r="87">
          <cell r="A87">
            <v>38961</v>
          </cell>
          <cell r="B87">
            <v>43.45</v>
          </cell>
          <cell r="C87">
            <v>44.34</v>
          </cell>
          <cell r="D87">
            <v>40.659999999999997</v>
          </cell>
          <cell r="E87">
            <v>43.33</v>
          </cell>
          <cell r="F87">
            <v>40.86</v>
          </cell>
          <cell r="G87">
            <v>48.31</v>
          </cell>
          <cell r="I87">
            <v>22.5</v>
          </cell>
          <cell r="R87">
            <v>38.065439359408138</v>
          </cell>
        </row>
        <row r="88">
          <cell r="A88">
            <v>38991</v>
          </cell>
          <cell r="B88">
            <v>36.25</v>
          </cell>
          <cell r="C88">
            <v>37.049999999999997</v>
          </cell>
          <cell r="D88">
            <v>36.119999999999997</v>
          </cell>
          <cell r="E88">
            <v>41.97</v>
          </cell>
          <cell r="F88">
            <v>40.380000000000003</v>
          </cell>
          <cell r="G88">
            <v>38.82</v>
          </cell>
          <cell r="I88">
            <v>25.75</v>
          </cell>
          <cell r="R88">
            <v>38.151355008343458</v>
          </cell>
        </row>
        <row r="89">
          <cell r="A89">
            <v>39022</v>
          </cell>
          <cell r="B89">
            <v>35.31</v>
          </cell>
          <cell r="C89">
            <v>35.74</v>
          </cell>
          <cell r="D89">
            <v>34.82</v>
          </cell>
          <cell r="E89">
            <v>39.28</v>
          </cell>
          <cell r="F89">
            <v>39.83</v>
          </cell>
          <cell r="G89">
            <v>37.57</v>
          </cell>
          <cell r="I89">
            <v>22.75</v>
          </cell>
          <cell r="R89">
            <v>40.974020032620508</v>
          </cell>
        </row>
        <row r="90">
          <cell r="A90">
            <v>39052</v>
          </cell>
          <cell r="B90">
            <v>35.31</v>
          </cell>
          <cell r="C90">
            <v>37.75</v>
          </cell>
          <cell r="D90">
            <v>36.78</v>
          </cell>
          <cell r="E90">
            <v>40.33</v>
          </cell>
          <cell r="F90">
            <v>43.73</v>
          </cell>
          <cell r="G90">
            <v>37.42</v>
          </cell>
          <cell r="I90">
            <v>26</v>
          </cell>
          <cell r="R90">
            <v>43.069062767114154</v>
          </cell>
        </row>
        <row r="91">
          <cell r="A91">
            <v>39083</v>
          </cell>
          <cell r="B91">
            <v>36.58</v>
          </cell>
          <cell r="C91">
            <v>38.9</v>
          </cell>
          <cell r="D91">
            <v>37.47</v>
          </cell>
          <cell r="E91">
            <v>39.94</v>
          </cell>
          <cell r="F91">
            <v>41.35</v>
          </cell>
          <cell r="G91">
            <v>39.03</v>
          </cell>
          <cell r="I91">
            <v>27.85</v>
          </cell>
          <cell r="R91">
            <v>44.040939765212848</v>
          </cell>
        </row>
        <row r="92">
          <cell r="A92">
            <v>39114</v>
          </cell>
          <cell r="B92">
            <v>36.299999999999997</v>
          </cell>
          <cell r="C92">
            <v>37.39</v>
          </cell>
          <cell r="D92">
            <v>36.01</v>
          </cell>
          <cell r="E92">
            <v>40.06</v>
          </cell>
          <cell r="F92">
            <v>39.479999999999997</v>
          </cell>
          <cell r="G92">
            <v>38.75</v>
          </cell>
          <cell r="I92">
            <v>30.1</v>
          </cell>
          <cell r="R92">
            <v>42.568827220115146</v>
          </cell>
        </row>
        <row r="93">
          <cell r="A93">
            <v>39142</v>
          </cell>
          <cell r="B93">
            <v>36.299999999999997</v>
          </cell>
          <cell r="C93">
            <v>35.26</v>
          </cell>
          <cell r="D93">
            <v>33.369999999999997</v>
          </cell>
          <cell r="E93">
            <v>39.19</v>
          </cell>
          <cell r="F93">
            <v>38.07</v>
          </cell>
          <cell r="G93">
            <v>38.75</v>
          </cell>
          <cell r="I93">
            <v>27.1</v>
          </cell>
          <cell r="R93">
            <v>40.856192667508303</v>
          </cell>
        </row>
        <row r="94">
          <cell r="A94">
            <v>39173</v>
          </cell>
          <cell r="B94">
            <v>36.020000000000003</v>
          </cell>
          <cell r="C94">
            <v>36.19</v>
          </cell>
          <cell r="D94">
            <v>32.5</v>
          </cell>
          <cell r="E94">
            <v>39.25</v>
          </cell>
          <cell r="F94">
            <v>38.17</v>
          </cell>
          <cell r="G94">
            <v>38.479999999999997</v>
          </cell>
          <cell r="I94">
            <v>33.85</v>
          </cell>
          <cell r="R94">
            <v>37.974375160850002</v>
          </cell>
        </row>
        <row r="95">
          <cell r="A95">
            <v>39203</v>
          </cell>
          <cell r="B95">
            <v>36.020000000000003</v>
          </cell>
          <cell r="C95">
            <v>33.61</v>
          </cell>
          <cell r="D95">
            <v>29.86</v>
          </cell>
          <cell r="E95">
            <v>40.450000000000003</v>
          </cell>
          <cell r="F95">
            <v>38.67</v>
          </cell>
          <cell r="G95">
            <v>38.47</v>
          </cell>
          <cell r="I95">
            <v>33.85</v>
          </cell>
          <cell r="R95">
            <v>37.92078025505711</v>
          </cell>
        </row>
        <row r="96">
          <cell r="A96">
            <v>39234</v>
          </cell>
          <cell r="B96">
            <v>38.58</v>
          </cell>
          <cell r="C96">
            <v>34.229999999999997</v>
          </cell>
          <cell r="D96">
            <v>30.46</v>
          </cell>
          <cell r="E96">
            <v>44.23</v>
          </cell>
          <cell r="F96">
            <v>44.85</v>
          </cell>
          <cell r="G96">
            <v>42.42</v>
          </cell>
          <cell r="I96">
            <v>39.85</v>
          </cell>
          <cell r="R96">
            <v>38.33300215108671</v>
          </cell>
        </row>
        <row r="97">
          <cell r="A97">
            <v>39264</v>
          </cell>
          <cell r="B97">
            <v>46.66</v>
          </cell>
          <cell r="C97">
            <v>47.25</v>
          </cell>
          <cell r="D97">
            <v>42.25</v>
          </cell>
          <cell r="E97">
            <v>40.369999999999997</v>
          </cell>
          <cell r="F97">
            <v>45.66</v>
          </cell>
          <cell r="G97">
            <v>51.3</v>
          </cell>
          <cell r="I97">
            <v>46.85</v>
          </cell>
          <cell r="R97">
            <v>38.92133982098143</v>
          </cell>
        </row>
        <row r="98">
          <cell r="A98">
            <v>39295</v>
          </cell>
          <cell r="B98">
            <v>49.78</v>
          </cell>
          <cell r="C98">
            <v>51.55</v>
          </cell>
          <cell r="D98">
            <v>46.99</v>
          </cell>
          <cell r="E98">
            <v>45.25</v>
          </cell>
          <cell r="F98">
            <v>45.69</v>
          </cell>
          <cell r="G98">
            <v>55.52</v>
          </cell>
          <cell r="I98">
            <v>55.85</v>
          </cell>
          <cell r="R98">
            <v>39.346720039580575</v>
          </cell>
        </row>
        <row r="99">
          <cell r="A99">
            <v>39326</v>
          </cell>
          <cell r="B99">
            <v>43.26</v>
          </cell>
          <cell r="C99">
            <v>44.84</v>
          </cell>
          <cell r="D99">
            <v>40.51</v>
          </cell>
          <cell r="E99">
            <v>42.51</v>
          </cell>
          <cell r="F99">
            <v>40.369999999999997</v>
          </cell>
          <cell r="G99">
            <v>47.9</v>
          </cell>
          <cell r="I99">
            <v>38.85</v>
          </cell>
          <cell r="R99">
            <v>39.356899636338063</v>
          </cell>
        </row>
        <row r="100">
          <cell r="A100">
            <v>39356</v>
          </cell>
          <cell r="B100">
            <v>36.74</v>
          </cell>
          <cell r="C100">
            <v>38.119999999999997</v>
          </cell>
          <cell r="D100">
            <v>36.39</v>
          </cell>
          <cell r="E100">
            <v>42.89</v>
          </cell>
          <cell r="F100">
            <v>41.14</v>
          </cell>
          <cell r="G100">
            <v>39.32</v>
          </cell>
          <cell r="I100">
            <v>38.1</v>
          </cell>
          <cell r="R100">
            <v>39.429775719040371</v>
          </cell>
        </row>
        <row r="101">
          <cell r="A101">
            <v>39387</v>
          </cell>
          <cell r="B101">
            <v>35.89</v>
          </cell>
          <cell r="C101">
            <v>36.9</v>
          </cell>
          <cell r="D101">
            <v>35.22</v>
          </cell>
          <cell r="E101">
            <v>39.96</v>
          </cell>
          <cell r="F101">
            <v>40.56</v>
          </cell>
          <cell r="G101">
            <v>38.200000000000003</v>
          </cell>
          <cell r="I101">
            <v>35.1</v>
          </cell>
          <cell r="R101">
            <v>41.94682405330505</v>
          </cell>
        </row>
        <row r="102">
          <cell r="A102">
            <v>39417</v>
          </cell>
          <cell r="B102">
            <v>35.89</v>
          </cell>
          <cell r="C102">
            <v>38.76</v>
          </cell>
          <cell r="D102">
            <v>37.01</v>
          </cell>
          <cell r="E102">
            <v>40.9</v>
          </cell>
          <cell r="F102">
            <v>44.41</v>
          </cell>
          <cell r="G102">
            <v>38.06</v>
          </cell>
          <cell r="I102">
            <v>38.35</v>
          </cell>
          <cell r="R102">
            <v>44.04907924888726</v>
          </cell>
        </row>
        <row r="103">
          <cell r="A103">
            <v>39448</v>
          </cell>
          <cell r="B103">
            <v>37.01</v>
          </cell>
          <cell r="C103">
            <v>39.869999999999997</v>
          </cell>
          <cell r="D103">
            <v>37.9</v>
          </cell>
          <cell r="E103">
            <v>40.17</v>
          </cell>
          <cell r="F103">
            <v>41.58</v>
          </cell>
          <cell r="G103">
            <v>39.47</v>
          </cell>
          <cell r="I103">
            <v>28.2</v>
          </cell>
          <cell r="R103">
            <v>45.05638413669417</v>
          </cell>
        </row>
        <row r="104">
          <cell r="A104">
            <v>39479</v>
          </cell>
          <cell r="B104">
            <v>36.75</v>
          </cell>
          <cell r="C104">
            <v>38.450000000000003</v>
          </cell>
          <cell r="D104">
            <v>36.54</v>
          </cell>
          <cell r="E104">
            <v>40.39</v>
          </cell>
          <cell r="F104">
            <v>39.71</v>
          </cell>
          <cell r="G104">
            <v>39.21</v>
          </cell>
          <cell r="I104">
            <v>30.45</v>
          </cell>
          <cell r="R104">
            <v>43.580799341961168</v>
          </cell>
        </row>
        <row r="105">
          <cell r="A105">
            <v>39508</v>
          </cell>
          <cell r="B105">
            <v>36.75</v>
          </cell>
          <cell r="C105">
            <v>36.450000000000003</v>
          </cell>
          <cell r="D105">
            <v>34.08</v>
          </cell>
          <cell r="E105">
            <v>39.61</v>
          </cell>
          <cell r="F105">
            <v>38.28</v>
          </cell>
          <cell r="G105">
            <v>39.21</v>
          </cell>
          <cell r="I105">
            <v>27.45</v>
          </cell>
          <cell r="R105">
            <v>41.864176019988577</v>
          </cell>
        </row>
        <row r="106">
          <cell r="A106">
            <v>39539</v>
          </cell>
          <cell r="B106">
            <v>36.49</v>
          </cell>
          <cell r="C106">
            <v>37.33</v>
          </cell>
          <cell r="D106">
            <v>33.270000000000003</v>
          </cell>
          <cell r="E106">
            <v>39.94</v>
          </cell>
          <cell r="F106">
            <v>38.369999999999997</v>
          </cell>
          <cell r="G106">
            <v>38.96</v>
          </cell>
          <cell r="I106">
            <v>34.200000000000003</v>
          </cell>
          <cell r="R106">
            <v>38.78522827940192</v>
          </cell>
        </row>
        <row r="107">
          <cell r="A107">
            <v>39569</v>
          </cell>
          <cell r="B107">
            <v>36.49</v>
          </cell>
          <cell r="C107">
            <v>34.89</v>
          </cell>
          <cell r="D107">
            <v>30.81</v>
          </cell>
          <cell r="E107">
            <v>41.06</v>
          </cell>
          <cell r="F107">
            <v>38.869999999999997</v>
          </cell>
          <cell r="G107">
            <v>38.96</v>
          </cell>
          <cell r="I107">
            <v>34.200000000000003</v>
          </cell>
          <cell r="R107">
            <v>38.732294091865647</v>
          </cell>
        </row>
        <row r="108">
          <cell r="A108">
            <v>39600</v>
          </cell>
          <cell r="B108">
            <v>38.86</v>
          </cell>
          <cell r="C108">
            <v>35.479999999999997</v>
          </cell>
          <cell r="D108">
            <v>31.37</v>
          </cell>
          <cell r="E108">
            <v>44.73</v>
          </cell>
          <cell r="F108">
            <v>45.12</v>
          </cell>
          <cell r="G108">
            <v>42.6</v>
          </cell>
          <cell r="I108">
            <v>40.200000000000003</v>
          </cell>
          <cell r="R108">
            <v>39.146656224530396</v>
          </cell>
        </row>
        <row r="109">
          <cell r="A109">
            <v>39630</v>
          </cell>
          <cell r="B109">
            <v>46.34</v>
          </cell>
          <cell r="C109">
            <v>47.75</v>
          </cell>
          <cell r="D109">
            <v>42.37</v>
          </cell>
          <cell r="E109">
            <v>40.03</v>
          </cell>
          <cell r="F109">
            <v>45.99</v>
          </cell>
          <cell r="G109">
            <v>50.81</v>
          </cell>
          <cell r="I109">
            <v>47.2</v>
          </cell>
          <cell r="R109">
            <v>39.737673766850925</v>
          </cell>
        </row>
        <row r="110">
          <cell r="A110">
            <v>39661</v>
          </cell>
          <cell r="B110">
            <v>49.23</v>
          </cell>
          <cell r="C110">
            <v>51.8</v>
          </cell>
          <cell r="D110">
            <v>46.78</v>
          </cell>
          <cell r="E110">
            <v>44.56</v>
          </cell>
          <cell r="F110">
            <v>46.05</v>
          </cell>
          <cell r="G110">
            <v>54.71</v>
          </cell>
          <cell r="I110">
            <v>56.2</v>
          </cell>
          <cell r="R110">
            <v>40.165269334226103</v>
          </cell>
        </row>
        <row r="111">
          <cell r="A111">
            <v>39692</v>
          </cell>
          <cell r="B111">
            <v>43.2</v>
          </cell>
          <cell r="C111">
            <v>45.48</v>
          </cell>
          <cell r="D111">
            <v>40.74</v>
          </cell>
          <cell r="E111">
            <v>42.01</v>
          </cell>
          <cell r="F111">
            <v>40.659999999999997</v>
          </cell>
          <cell r="G111">
            <v>47.67</v>
          </cell>
          <cell r="I111">
            <v>39.200000000000003</v>
          </cell>
          <cell r="R111">
            <v>40.176363449628816</v>
          </cell>
        </row>
        <row r="112">
          <cell r="A112">
            <v>39722</v>
          </cell>
          <cell r="B112">
            <v>37.159999999999997</v>
          </cell>
          <cell r="C112">
            <v>39.15</v>
          </cell>
          <cell r="D112">
            <v>36.9</v>
          </cell>
          <cell r="E112">
            <v>43.62</v>
          </cell>
          <cell r="F112">
            <v>41.36</v>
          </cell>
          <cell r="G112">
            <v>39.74</v>
          </cell>
          <cell r="I112">
            <v>38.450000000000003</v>
          </cell>
          <cell r="R112">
            <v>40.2503266988207</v>
          </cell>
        </row>
        <row r="113">
          <cell r="A113">
            <v>39753</v>
          </cell>
          <cell r="B113">
            <v>36.369999999999997</v>
          </cell>
          <cell r="C113">
            <v>38.01</v>
          </cell>
          <cell r="D113">
            <v>35.81</v>
          </cell>
          <cell r="E113">
            <v>40.51</v>
          </cell>
          <cell r="F113">
            <v>40.78</v>
          </cell>
          <cell r="G113">
            <v>38.700000000000003</v>
          </cell>
          <cell r="I113">
            <v>35.450000000000003</v>
          </cell>
          <cell r="R113">
            <v>42.855736015310477</v>
          </cell>
        </row>
        <row r="114">
          <cell r="A114">
            <v>39783</v>
          </cell>
          <cell r="B114">
            <v>36.369999999999997</v>
          </cell>
          <cell r="C114">
            <v>39.76</v>
          </cell>
          <cell r="D114">
            <v>37.47</v>
          </cell>
          <cell r="E114">
            <v>41.37</v>
          </cell>
          <cell r="F114">
            <v>44.65</v>
          </cell>
          <cell r="G114">
            <v>38.57</v>
          </cell>
          <cell r="I114">
            <v>38.700000000000003</v>
          </cell>
          <cell r="R114">
            <v>44.98655282501425</v>
          </cell>
        </row>
        <row r="115">
          <cell r="A115">
            <v>39814</v>
          </cell>
          <cell r="B115">
            <v>37.43</v>
          </cell>
          <cell r="C115">
            <v>40.94</v>
          </cell>
          <cell r="D115">
            <v>38.340000000000003</v>
          </cell>
          <cell r="E115">
            <v>40.409999999999997</v>
          </cell>
          <cell r="F115">
            <v>41.82</v>
          </cell>
          <cell r="G115">
            <v>39.9</v>
          </cell>
          <cell r="I115">
            <v>28.7</v>
          </cell>
          <cell r="R115">
            <v>46.052296109670301</v>
          </cell>
        </row>
        <row r="116">
          <cell r="A116">
            <v>39845</v>
          </cell>
          <cell r="B116">
            <v>37.18</v>
          </cell>
          <cell r="C116">
            <v>39.6</v>
          </cell>
          <cell r="D116">
            <v>37.07</v>
          </cell>
          <cell r="E116">
            <v>40.72</v>
          </cell>
          <cell r="F116">
            <v>39.93</v>
          </cell>
          <cell r="G116">
            <v>39.65</v>
          </cell>
          <cell r="I116">
            <v>30.95</v>
          </cell>
          <cell r="R116">
            <v>44.592507370438639</v>
          </cell>
        </row>
        <row r="117">
          <cell r="A117">
            <v>39873</v>
          </cell>
          <cell r="B117">
            <v>37.19</v>
          </cell>
          <cell r="C117">
            <v>37.71</v>
          </cell>
          <cell r="D117">
            <v>34.78</v>
          </cell>
          <cell r="E117">
            <v>40.03</v>
          </cell>
          <cell r="F117">
            <v>38.5</v>
          </cell>
          <cell r="G117">
            <v>39.659999999999997</v>
          </cell>
          <cell r="I117">
            <v>27.95</v>
          </cell>
          <cell r="R117">
            <v>42.886809731860893</v>
          </cell>
        </row>
        <row r="118">
          <cell r="A118">
            <v>39904</v>
          </cell>
          <cell r="B118">
            <v>36.94</v>
          </cell>
          <cell r="C118">
            <v>38.54</v>
          </cell>
          <cell r="D118">
            <v>34.020000000000003</v>
          </cell>
          <cell r="E118">
            <v>40.6</v>
          </cell>
          <cell r="F118">
            <v>38.57</v>
          </cell>
          <cell r="G118">
            <v>39.409999999999997</v>
          </cell>
          <cell r="I118">
            <v>34.75</v>
          </cell>
          <cell r="R118">
            <v>39.304293859460117</v>
          </cell>
        </row>
        <row r="119">
          <cell r="A119">
            <v>39934</v>
          </cell>
          <cell r="B119">
            <v>36.950000000000003</v>
          </cell>
          <cell r="C119">
            <v>36.25</v>
          </cell>
          <cell r="D119">
            <v>31.73</v>
          </cell>
          <cell r="E119">
            <v>41.65</v>
          </cell>
          <cell r="F119">
            <v>39.08</v>
          </cell>
          <cell r="G119">
            <v>39.42</v>
          </cell>
          <cell r="I119">
            <v>34.75</v>
          </cell>
          <cell r="R119">
            <v>39.271287417965198</v>
          </cell>
        </row>
        <row r="120">
          <cell r="A120">
            <v>39965</v>
          </cell>
          <cell r="B120">
            <v>39.14</v>
          </cell>
          <cell r="C120">
            <v>36.81</v>
          </cell>
          <cell r="D120">
            <v>32.25</v>
          </cell>
          <cell r="E120">
            <v>45.21</v>
          </cell>
          <cell r="F120">
            <v>45.39</v>
          </cell>
          <cell r="G120">
            <v>42.79</v>
          </cell>
          <cell r="I120">
            <v>40.75</v>
          </cell>
          <cell r="R120">
            <v>39.70993314697207</v>
          </cell>
        </row>
        <row r="121">
          <cell r="A121">
            <v>39995</v>
          </cell>
          <cell r="B121">
            <v>46.07</v>
          </cell>
          <cell r="C121">
            <v>48.38</v>
          </cell>
          <cell r="D121">
            <v>42.51</v>
          </cell>
          <cell r="E121">
            <v>39.729999999999997</v>
          </cell>
          <cell r="F121">
            <v>46.32</v>
          </cell>
          <cell r="G121">
            <v>50.37</v>
          </cell>
          <cell r="I121">
            <v>47.75</v>
          </cell>
          <cell r="R121">
            <v>40.326751761595077</v>
          </cell>
        </row>
        <row r="122">
          <cell r="A122">
            <v>40026</v>
          </cell>
          <cell r="B122">
            <v>48.74</v>
          </cell>
          <cell r="C122">
            <v>52.21</v>
          </cell>
          <cell r="D122">
            <v>46.62</v>
          </cell>
          <cell r="E122">
            <v>43.93</v>
          </cell>
          <cell r="F122">
            <v>46.42</v>
          </cell>
          <cell r="G122">
            <v>53.97</v>
          </cell>
          <cell r="I122">
            <v>56.75</v>
          </cell>
          <cell r="R122">
            <v>40.780622794131922</v>
          </cell>
        </row>
        <row r="123">
          <cell r="A123">
            <v>40057</v>
          </cell>
          <cell r="B123">
            <v>43.15</v>
          </cell>
          <cell r="C123">
            <v>46.24</v>
          </cell>
          <cell r="D123">
            <v>40.99</v>
          </cell>
          <cell r="E123">
            <v>41.57</v>
          </cell>
          <cell r="F123">
            <v>40.96</v>
          </cell>
          <cell r="G123">
            <v>47.46</v>
          </cell>
          <cell r="I123">
            <v>39.700000000000003</v>
          </cell>
          <cell r="R123">
            <v>40.815282022161689</v>
          </cell>
        </row>
        <row r="124">
          <cell r="A124">
            <v>40087</v>
          </cell>
          <cell r="B124">
            <v>37.56</v>
          </cell>
          <cell r="C124">
            <v>40.270000000000003</v>
          </cell>
          <cell r="D124">
            <v>37.409999999999997</v>
          </cell>
          <cell r="E124">
            <v>44.31</v>
          </cell>
          <cell r="F124">
            <v>41.58</v>
          </cell>
          <cell r="G124">
            <v>40.130000000000003</v>
          </cell>
          <cell r="I124">
            <v>39</v>
          </cell>
          <cell r="R124">
            <v>40.91308372567196</v>
          </cell>
        </row>
        <row r="125">
          <cell r="A125">
            <v>40118</v>
          </cell>
          <cell r="B125">
            <v>36.840000000000003</v>
          </cell>
          <cell r="C125">
            <v>39.200000000000003</v>
          </cell>
          <cell r="D125">
            <v>36.4</v>
          </cell>
          <cell r="E125">
            <v>41.04</v>
          </cell>
          <cell r="F125">
            <v>40.99</v>
          </cell>
          <cell r="G125">
            <v>39.18</v>
          </cell>
          <cell r="I125">
            <v>36</v>
          </cell>
          <cell r="R125">
            <v>44.50960842953036</v>
          </cell>
        </row>
        <row r="126">
          <cell r="A126">
            <v>40148</v>
          </cell>
          <cell r="B126">
            <v>36.840000000000003</v>
          </cell>
          <cell r="C126">
            <v>40.85</v>
          </cell>
          <cell r="D126">
            <v>37.950000000000003</v>
          </cell>
          <cell r="E126">
            <v>41.83</v>
          </cell>
          <cell r="F126">
            <v>44.89</v>
          </cell>
          <cell r="G126">
            <v>39.06</v>
          </cell>
          <cell r="I126">
            <v>39.200000000000003</v>
          </cell>
          <cell r="R126">
            <v>46.668180237780184</v>
          </cell>
        </row>
        <row r="127">
          <cell r="A127">
            <v>40179</v>
          </cell>
          <cell r="B127">
            <v>37.83</v>
          </cell>
          <cell r="C127">
            <v>42.01</v>
          </cell>
          <cell r="D127">
            <v>38.78</v>
          </cell>
          <cell r="E127">
            <v>40.89</v>
          </cell>
          <cell r="F127">
            <v>42.05</v>
          </cell>
          <cell r="G127">
            <v>40.25</v>
          </cell>
          <cell r="I127">
            <v>29.2</v>
          </cell>
          <cell r="R127">
            <v>47.784030271991391</v>
          </cell>
        </row>
        <row r="128">
          <cell r="A128">
            <v>40210</v>
          </cell>
          <cell r="B128">
            <v>37.6</v>
          </cell>
          <cell r="C128">
            <v>40.75</v>
          </cell>
          <cell r="D128">
            <v>37.6</v>
          </cell>
          <cell r="E128">
            <v>41.28</v>
          </cell>
          <cell r="F128">
            <v>40.159999999999997</v>
          </cell>
          <cell r="G128">
            <v>40.020000000000003</v>
          </cell>
          <cell r="I128">
            <v>31.45</v>
          </cell>
          <cell r="R128">
            <v>46.317517935307691</v>
          </cell>
        </row>
        <row r="129">
          <cell r="A129">
            <v>40238</v>
          </cell>
          <cell r="B129">
            <v>37.61</v>
          </cell>
          <cell r="C129">
            <v>38.97</v>
          </cell>
          <cell r="D129">
            <v>35.46</v>
          </cell>
          <cell r="E129">
            <v>40.68</v>
          </cell>
          <cell r="F129">
            <v>38.71</v>
          </cell>
          <cell r="G129">
            <v>40.04</v>
          </cell>
          <cell r="I129">
            <v>28.45</v>
          </cell>
          <cell r="R129">
            <v>44.601479202218208</v>
          </cell>
        </row>
        <row r="130">
          <cell r="A130">
            <v>40269</v>
          </cell>
          <cell r="B130">
            <v>37.380000000000003</v>
          </cell>
          <cell r="C130">
            <v>39.75</v>
          </cell>
          <cell r="D130">
            <v>34.76</v>
          </cell>
          <cell r="E130">
            <v>41.48</v>
          </cell>
          <cell r="F130">
            <v>38.76</v>
          </cell>
          <cell r="G130">
            <v>39.81</v>
          </cell>
          <cell r="I130">
            <v>35.5</v>
          </cell>
          <cell r="R130">
            <v>40.861427877799031</v>
          </cell>
        </row>
        <row r="131">
          <cell r="A131">
            <v>40299</v>
          </cell>
          <cell r="B131">
            <v>37.39</v>
          </cell>
          <cell r="C131">
            <v>37.590000000000003</v>
          </cell>
          <cell r="D131">
            <v>32.619999999999997</v>
          </cell>
          <cell r="E131">
            <v>42.46</v>
          </cell>
          <cell r="F131">
            <v>39.28</v>
          </cell>
          <cell r="G131">
            <v>39.82</v>
          </cell>
          <cell r="I131">
            <v>35.5</v>
          </cell>
          <cell r="R131">
            <v>40.834659528486519</v>
          </cell>
        </row>
        <row r="132">
          <cell r="A132">
            <v>40330</v>
          </cell>
          <cell r="B132">
            <v>39.409999999999997</v>
          </cell>
          <cell r="C132">
            <v>38.119999999999997</v>
          </cell>
          <cell r="D132">
            <v>33.1</v>
          </cell>
          <cell r="E132">
            <v>45.92</v>
          </cell>
          <cell r="F132">
            <v>45.65</v>
          </cell>
          <cell r="G132">
            <v>42.91</v>
          </cell>
          <cell r="I132">
            <v>41.5</v>
          </cell>
          <cell r="R132">
            <v>41.284743319648832</v>
          </cell>
        </row>
        <row r="133">
          <cell r="A133">
            <v>40360</v>
          </cell>
          <cell r="B133">
            <v>45.83</v>
          </cell>
          <cell r="C133">
            <v>49.04</v>
          </cell>
          <cell r="D133">
            <v>42.67</v>
          </cell>
          <cell r="E133">
            <v>39.71</v>
          </cell>
          <cell r="F133">
            <v>46.65</v>
          </cell>
          <cell r="G133">
            <v>49.92</v>
          </cell>
          <cell r="I133">
            <v>48.5</v>
          </cell>
          <cell r="R133">
            <v>41.914822395517156</v>
          </cell>
        </row>
        <row r="134">
          <cell r="A134">
            <v>40391</v>
          </cell>
          <cell r="B134">
            <v>48.31</v>
          </cell>
          <cell r="C134">
            <v>52.65</v>
          </cell>
          <cell r="D134">
            <v>46.5</v>
          </cell>
          <cell r="E134">
            <v>43.62</v>
          </cell>
          <cell r="F134">
            <v>46.78</v>
          </cell>
          <cell r="G134">
            <v>53.25</v>
          </cell>
          <cell r="I134">
            <v>57.5</v>
          </cell>
          <cell r="R134">
            <v>42.380604353367247</v>
          </cell>
        </row>
        <row r="135">
          <cell r="A135">
            <v>40422</v>
          </cell>
          <cell r="B135">
            <v>43.13</v>
          </cell>
          <cell r="C135">
            <v>47.02</v>
          </cell>
          <cell r="D135">
            <v>41.26</v>
          </cell>
          <cell r="E135">
            <v>41.42</v>
          </cell>
          <cell r="F135">
            <v>41.26</v>
          </cell>
          <cell r="G135">
            <v>47.23</v>
          </cell>
          <cell r="I135">
            <v>40.200000000000003</v>
          </cell>
          <cell r="R135">
            <v>42.422718116323594</v>
          </cell>
        </row>
        <row r="136">
          <cell r="A136">
            <v>40452</v>
          </cell>
          <cell r="B136">
            <v>37.96</v>
          </cell>
          <cell r="C136">
            <v>41.39</v>
          </cell>
          <cell r="D136">
            <v>37.92</v>
          </cell>
          <cell r="E136">
            <v>45.22</v>
          </cell>
          <cell r="F136">
            <v>41.79</v>
          </cell>
          <cell r="G136">
            <v>40.479999999999997</v>
          </cell>
          <cell r="I136">
            <v>39.75</v>
          </cell>
          <cell r="R136">
            <v>42.528472325602145</v>
          </cell>
        </row>
        <row r="137">
          <cell r="A137">
            <v>40483</v>
          </cell>
          <cell r="B137">
            <v>37.28</v>
          </cell>
          <cell r="C137">
            <v>40.369999999999997</v>
          </cell>
          <cell r="D137">
            <v>36.97</v>
          </cell>
          <cell r="E137">
            <v>41.8</v>
          </cell>
          <cell r="F137">
            <v>41.2</v>
          </cell>
          <cell r="G137">
            <v>39.590000000000003</v>
          </cell>
          <cell r="I137">
            <v>36.75</v>
          </cell>
          <cell r="R137">
            <v>45.269190985930464</v>
          </cell>
        </row>
        <row r="138">
          <cell r="A138">
            <v>40513</v>
          </cell>
          <cell r="B138">
            <v>37.29</v>
          </cell>
          <cell r="C138">
            <v>41.93</v>
          </cell>
          <cell r="D138">
            <v>38.42</v>
          </cell>
          <cell r="E138">
            <v>42.52</v>
          </cell>
          <cell r="F138">
            <v>45.13</v>
          </cell>
          <cell r="G138">
            <v>39.49</v>
          </cell>
          <cell r="I138">
            <v>39.700000000000003</v>
          </cell>
          <cell r="R138">
            <v>47.458897384946944</v>
          </cell>
        </row>
        <row r="139">
          <cell r="A139">
            <v>40544</v>
          </cell>
          <cell r="B139">
            <v>38.22</v>
          </cell>
          <cell r="C139">
            <v>43.08</v>
          </cell>
          <cell r="D139">
            <v>39.229999999999997</v>
          </cell>
          <cell r="E139">
            <v>41.38</v>
          </cell>
          <cell r="F139">
            <v>42.28</v>
          </cell>
          <cell r="G139">
            <v>40.590000000000003</v>
          </cell>
          <cell r="I139">
            <v>29.7</v>
          </cell>
          <cell r="R139">
            <v>43.700597905448141</v>
          </cell>
        </row>
        <row r="140">
          <cell r="A140">
            <v>40575</v>
          </cell>
          <cell r="B140">
            <v>38.01</v>
          </cell>
          <cell r="C140">
            <v>41.89</v>
          </cell>
          <cell r="D140">
            <v>38.119999999999997</v>
          </cell>
          <cell r="E140">
            <v>41.85</v>
          </cell>
          <cell r="F140">
            <v>40.380000000000003</v>
          </cell>
          <cell r="G140">
            <v>40.380000000000003</v>
          </cell>
          <cell r="I140">
            <v>31.95</v>
          </cell>
          <cell r="R140">
            <v>42.315354473326025</v>
          </cell>
        </row>
        <row r="141">
          <cell r="A141">
            <v>40603</v>
          </cell>
          <cell r="B141">
            <v>38.01</v>
          </cell>
          <cell r="C141">
            <v>40.22</v>
          </cell>
          <cell r="D141">
            <v>36.130000000000003</v>
          </cell>
          <cell r="E141">
            <v>41.31</v>
          </cell>
          <cell r="F141">
            <v>38.92</v>
          </cell>
          <cell r="G141">
            <v>40.39</v>
          </cell>
          <cell r="I141">
            <v>28.95</v>
          </cell>
          <cell r="R141">
            <v>40.696759681130494</v>
          </cell>
        </row>
        <row r="142">
          <cell r="A142">
            <v>40634</v>
          </cell>
          <cell r="B142">
            <v>37.81</v>
          </cell>
          <cell r="C142">
            <v>40.96</v>
          </cell>
          <cell r="D142">
            <v>35.47</v>
          </cell>
          <cell r="E142">
            <v>42.33</v>
          </cell>
          <cell r="F142">
            <v>38.96</v>
          </cell>
          <cell r="G142">
            <v>40.19</v>
          </cell>
          <cell r="I142">
            <v>36</v>
          </cell>
          <cell r="R142">
            <v>37.297187914788161</v>
          </cell>
        </row>
        <row r="143">
          <cell r="A143">
            <v>40664</v>
          </cell>
          <cell r="B143">
            <v>37.81</v>
          </cell>
          <cell r="C143">
            <v>38.92</v>
          </cell>
          <cell r="D143">
            <v>33.479999999999997</v>
          </cell>
          <cell r="E143">
            <v>43.26</v>
          </cell>
          <cell r="F143">
            <v>39.49</v>
          </cell>
          <cell r="G143">
            <v>40.19</v>
          </cell>
          <cell r="I143">
            <v>36</v>
          </cell>
          <cell r="R143">
            <v>37.26586697425082</v>
          </cell>
        </row>
        <row r="144">
          <cell r="A144">
            <v>40695</v>
          </cell>
          <cell r="B144">
            <v>39.69</v>
          </cell>
          <cell r="C144">
            <v>39.42</v>
          </cell>
          <cell r="D144">
            <v>33.93</v>
          </cell>
          <cell r="E144">
            <v>46.62</v>
          </cell>
          <cell r="F144">
            <v>45.92</v>
          </cell>
          <cell r="G144">
            <v>43.05</v>
          </cell>
          <cell r="I144">
            <v>42</v>
          </cell>
          <cell r="R144">
            <v>37.682112899983203</v>
          </cell>
        </row>
        <row r="145">
          <cell r="A145">
            <v>40725</v>
          </cell>
          <cell r="B145">
            <v>45.63</v>
          </cell>
          <cell r="C145">
            <v>49.71</v>
          </cell>
          <cell r="D145">
            <v>42.85</v>
          </cell>
          <cell r="E145">
            <v>39.729999999999997</v>
          </cell>
          <cell r="F145">
            <v>46.98</v>
          </cell>
          <cell r="G145">
            <v>49.52</v>
          </cell>
          <cell r="I145">
            <v>49</v>
          </cell>
          <cell r="R145">
            <v>38.267433167056168</v>
          </cell>
        </row>
        <row r="146">
          <cell r="A146">
            <v>40756</v>
          </cell>
          <cell r="B146">
            <v>47.92</v>
          </cell>
          <cell r="C146">
            <v>53.12</v>
          </cell>
          <cell r="D146">
            <v>46.43</v>
          </cell>
          <cell r="E146">
            <v>43.36</v>
          </cell>
          <cell r="F146">
            <v>47.14</v>
          </cell>
          <cell r="G146">
            <v>52.59</v>
          </cell>
          <cell r="I146">
            <v>58</v>
          </cell>
          <cell r="R146">
            <v>38.698126903728685</v>
          </cell>
        </row>
        <row r="147">
          <cell r="A147">
            <v>40787</v>
          </cell>
          <cell r="B147">
            <v>43.13</v>
          </cell>
          <cell r="C147">
            <v>47.82</v>
          </cell>
          <cell r="D147">
            <v>41.54</v>
          </cell>
          <cell r="E147">
            <v>41.31</v>
          </cell>
          <cell r="F147">
            <v>41.55</v>
          </cell>
          <cell r="G147">
            <v>47.03</v>
          </cell>
          <cell r="I147">
            <v>40.700000000000003</v>
          </cell>
          <cell r="R147">
            <v>38.731016229903325</v>
          </cell>
        </row>
        <row r="148">
          <cell r="A148">
            <v>40817</v>
          </cell>
          <cell r="B148">
            <v>38.340000000000003</v>
          </cell>
          <cell r="C148">
            <v>42.5</v>
          </cell>
          <cell r="D148">
            <v>38.43</v>
          </cell>
          <cell r="E148">
            <v>46.1</v>
          </cell>
          <cell r="F148">
            <v>42.01</v>
          </cell>
          <cell r="G148">
            <v>40.799999999999997</v>
          </cell>
          <cell r="I148">
            <v>40.25</v>
          </cell>
          <cell r="R148">
            <v>38.823823609352814</v>
          </cell>
        </row>
        <row r="149">
          <cell r="A149">
            <v>40848</v>
          </cell>
          <cell r="B149">
            <v>37.72</v>
          </cell>
          <cell r="C149">
            <v>41.55</v>
          </cell>
          <cell r="D149">
            <v>37.54</v>
          </cell>
          <cell r="E149">
            <v>42.54</v>
          </cell>
          <cell r="F149">
            <v>41.41</v>
          </cell>
          <cell r="G149">
            <v>39.99</v>
          </cell>
          <cell r="I149">
            <v>37.25</v>
          </cell>
          <cell r="R149">
            <v>42.236688834705241</v>
          </cell>
        </row>
        <row r="150">
          <cell r="A150">
            <v>40878</v>
          </cell>
          <cell r="B150">
            <v>37.72</v>
          </cell>
          <cell r="C150">
            <v>43.02</v>
          </cell>
          <cell r="D150">
            <v>38.89</v>
          </cell>
          <cell r="E150">
            <v>43.2</v>
          </cell>
          <cell r="F150">
            <v>45.37</v>
          </cell>
          <cell r="G150">
            <v>39.880000000000003</v>
          </cell>
          <cell r="I150">
            <v>40.200000000000003</v>
          </cell>
          <cell r="R150">
            <v>44.285031406326851</v>
          </cell>
        </row>
        <row r="151">
          <cell r="A151">
            <v>40909</v>
          </cell>
          <cell r="B151">
            <v>38.6</v>
          </cell>
          <cell r="C151">
            <v>44.2</v>
          </cell>
          <cell r="D151">
            <v>39.67</v>
          </cell>
          <cell r="E151">
            <v>41.87</v>
          </cell>
          <cell r="F151">
            <v>42.51</v>
          </cell>
          <cell r="G151">
            <v>40.92</v>
          </cell>
          <cell r="I151">
            <v>29.95</v>
          </cell>
          <cell r="R151">
            <v>43.700597905448141</v>
          </cell>
        </row>
        <row r="152">
          <cell r="A152">
            <v>40940</v>
          </cell>
          <cell r="B152">
            <v>38.409999999999997</v>
          </cell>
          <cell r="C152">
            <v>43.08</v>
          </cell>
          <cell r="D152">
            <v>38.65</v>
          </cell>
          <cell r="E152">
            <v>42.41</v>
          </cell>
          <cell r="F152">
            <v>40.61</v>
          </cell>
          <cell r="G152">
            <v>40.729999999999997</v>
          </cell>
          <cell r="I152">
            <v>32.200000000000003</v>
          </cell>
          <cell r="R152">
            <v>42.315354473326025</v>
          </cell>
        </row>
      </sheetData>
      <sheetData sheetId="16" refreshError="1"/>
      <sheetData sheetId="17" refreshError="1"/>
      <sheetData sheetId="18">
        <row r="38">
          <cell r="B38">
            <v>25.25</v>
          </cell>
          <cell r="C38">
            <v>28.5</v>
          </cell>
          <cell r="D38">
            <v>27.75</v>
          </cell>
          <cell r="E38">
            <v>27.9</v>
          </cell>
          <cell r="F38">
            <v>26.1</v>
          </cell>
          <cell r="G38">
            <v>26.25</v>
          </cell>
          <cell r="I38">
            <v>26.1</v>
          </cell>
          <cell r="R38">
            <v>39.199996948242188</v>
          </cell>
        </row>
      </sheetData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s Average Basis"/>
      <sheetName val="CurveFetch"/>
      <sheetName val="BasisCurves"/>
      <sheetName val="PowerPrices"/>
      <sheetName val="Procedures"/>
      <sheetName val="Copy Price Macro"/>
    </sheetNames>
    <sheetDataSet>
      <sheetData sheetId="0">
        <row r="28">
          <cell r="M28">
            <v>6.0000000000000053E-2</v>
          </cell>
          <cell r="P28">
            <v>-4.0000000000000036E-2</v>
          </cell>
          <cell r="R28">
            <v>9.5000000000000001E-2</v>
          </cell>
          <cell r="V28">
            <v>0.17199999999999999</v>
          </cell>
          <cell r="AB28">
            <v>0.17</v>
          </cell>
          <cell r="AH28">
            <v>0.38600000000000001</v>
          </cell>
        </row>
        <row r="29">
          <cell r="M29">
            <v>-6.5000000000000169E-2</v>
          </cell>
          <cell r="P29">
            <v>-0.12000000000000011</v>
          </cell>
          <cell r="R29">
            <v>-1.4999999999999999E-2</v>
          </cell>
          <cell r="S29">
            <v>-1.4999999999999999E-2</v>
          </cell>
          <cell r="V29">
            <v>-1.0000000200000001E-2</v>
          </cell>
          <cell r="W29">
            <v>-2.00000002E-2</v>
          </cell>
          <cell r="Y29">
            <v>-7.3333333666666667E-2</v>
          </cell>
          <cell r="AB29">
            <v>-7.9999999999999988E-2</v>
          </cell>
          <cell r="AC29">
            <v>-9.999999999999995E-3</v>
          </cell>
          <cell r="AE29">
            <v>2.4999999999999991E-2</v>
          </cell>
          <cell r="AH29">
            <v>0.186</v>
          </cell>
        </row>
        <row r="30">
          <cell r="M30">
            <v>-0.18500000000000005</v>
          </cell>
          <cell r="P30">
            <v>-0.24</v>
          </cell>
          <cell r="R30">
            <v>-0.16500000000000001</v>
          </cell>
          <cell r="S30">
            <v>-1.5000000000000013E-2</v>
          </cell>
          <cell r="V30">
            <v>-5.8999999999999997E-2</v>
          </cell>
          <cell r="W30">
            <v>-2.0000000000000004E-2</v>
          </cell>
          <cell r="Y30">
            <v>-8.2666666666666666E-2</v>
          </cell>
          <cell r="AB30">
            <v>-9.5000000000000001E-2</v>
          </cell>
          <cell r="AC30">
            <v>-5.0000000000000044E-3</v>
          </cell>
          <cell r="AE30">
            <v>-3.0000000000000006E-2</v>
          </cell>
          <cell r="AH30">
            <v>0.1</v>
          </cell>
        </row>
        <row r="31">
          <cell r="M31">
            <v>-3.0000000000000027E-2</v>
          </cell>
          <cell r="P31">
            <v>-6.0000000000000053E-2</v>
          </cell>
          <cell r="R31">
            <v>-0.04</v>
          </cell>
          <cell r="S31">
            <v>-2.5000000000000001E-2</v>
          </cell>
          <cell r="V31">
            <v>-1.3000000000000001E-2</v>
          </cell>
          <cell r="W31">
            <v>-2.1000000000000005E-2</v>
          </cell>
          <cell r="Y31">
            <v>-3.2000000000000001E-2</v>
          </cell>
          <cell r="AB31">
            <v>0.08</v>
          </cell>
          <cell r="AC31">
            <v>-1.4999999999999999E-2</v>
          </cell>
          <cell r="AE31">
            <v>0.17500000000000002</v>
          </cell>
          <cell r="AH31">
            <v>0.10100000000000001</v>
          </cell>
        </row>
        <row r="33">
          <cell r="M33">
            <v>-0.29000000000000004</v>
          </cell>
          <cell r="P33">
            <v>-0.34000000000000008</v>
          </cell>
          <cell r="R33">
            <v>-0.315</v>
          </cell>
          <cell r="S33">
            <v>-1.5000000000000013E-2</v>
          </cell>
          <cell r="V33">
            <v>-0.26</v>
          </cell>
          <cell r="W33">
            <v>-8.0000000000000626E-3</v>
          </cell>
          <cell r="Y33">
            <v>-0.26333333333333342</v>
          </cell>
          <cell r="AB33">
            <v>-0.36571428571428571</v>
          </cell>
          <cell r="AC33">
            <v>0</v>
          </cell>
          <cell r="AE33">
            <v>-0.34928571428571425</v>
          </cell>
          <cell r="AH33">
            <v>-0.2</v>
          </cell>
        </row>
        <row r="34">
          <cell r="M34">
            <v>-0.17500000000000004</v>
          </cell>
          <cell r="P34">
            <v>-0.21999999999999997</v>
          </cell>
          <cell r="R34">
            <v>-0.185</v>
          </cell>
          <cell r="S34">
            <v>5.0000000000000044E-3</v>
          </cell>
          <cell r="V34">
            <v>-0.16999999999999998</v>
          </cell>
          <cell r="W34">
            <v>1.0000000000000286E-3</v>
          </cell>
          <cell r="Y34">
            <v>-0.16533333333333333</v>
          </cell>
          <cell r="AB34">
            <v>-0.12714285714285717</v>
          </cell>
          <cell r="AC34">
            <v>0</v>
          </cell>
          <cell r="AE34">
            <v>-0.10702380952380948</v>
          </cell>
          <cell r="AH34">
            <v>-0.1275</v>
          </cell>
        </row>
        <row r="35">
          <cell r="M35">
            <v>-0.14000000000000012</v>
          </cell>
          <cell r="P35">
            <v>-0.18999999999999995</v>
          </cell>
          <cell r="R35">
            <v>-0.15</v>
          </cell>
          <cell r="S35">
            <v>1.0000000000000009E-2</v>
          </cell>
          <cell r="V35">
            <v>-0.13499999999999998</v>
          </cell>
          <cell r="W35">
            <v>7.0000000000000062E-3</v>
          </cell>
          <cell r="Y35">
            <v>-0.12666666666666668</v>
          </cell>
          <cell r="AB35">
            <v>-9.3214285714285708E-2</v>
          </cell>
          <cell r="AC35">
            <v>0</v>
          </cell>
          <cell r="AE35">
            <v>-7.4285714285714316E-2</v>
          </cell>
          <cell r="AH35">
            <v>-0.1125</v>
          </cell>
        </row>
        <row r="36">
          <cell r="M36">
            <v>4.0000000000000036E-2</v>
          </cell>
          <cell r="P36">
            <v>-0.39000000000000012</v>
          </cell>
          <cell r="R36">
            <v>-0.14000000000000001</v>
          </cell>
          <cell r="S36">
            <v>-1.0000000000000009E-2</v>
          </cell>
          <cell r="V36">
            <v>-0.13999999999999999</v>
          </cell>
          <cell r="W36">
            <v>-9.9999999999999811E-3</v>
          </cell>
          <cell r="Y36">
            <v>-0.13916666666666666</v>
          </cell>
          <cell r="AB36">
            <v>-0.14000000000000001</v>
          </cell>
          <cell r="AC36">
            <v>0</v>
          </cell>
          <cell r="AE36">
            <v>-0.14000000000000001</v>
          </cell>
          <cell r="AH36">
            <v>-0.13999999999999999</v>
          </cell>
        </row>
        <row r="39">
          <cell r="M39">
            <v>-0.42500000000000004</v>
          </cell>
          <cell r="P39">
            <v>-0.42999999999999994</v>
          </cell>
          <cell r="R39">
            <v>-0.41</v>
          </cell>
          <cell r="S39">
            <v>-9.9999999999999534E-3</v>
          </cell>
          <cell r="V39">
            <v>-0.35500000000000004</v>
          </cell>
          <cell r="W39">
            <v>-2.0000000000000018E-3</v>
          </cell>
          <cell r="Y39">
            <v>-0.35233333333333333</v>
          </cell>
          <cell r="AB39">
            <v>-0.56000000000000005</v>
          </cell>
          <cell r="AC39">
            <v>0</v>
          </cell>
          <cell r="AE39">
            <v>-0.57999999999999996</v>
          </cell>
          <cell r="AH39">
            <v>-0.27</v>
          </cell>
        </row>
        <row r="40">
          <cell r="M40">
            <v>-0.36499999999999999</v>
          </cell>
          <cell r="P40">
            <v>-0.76</v>
          </cell>
          <cell r="R40">
            <v>-0.14000000000000001</v>
          </cell>
          <cell r="S40">
            <v>0</v>
          </cell>
          <cell r="V40">
            <v>-0.129</v>
          </cell>
          <cell r="W40">
            <v>0</v>
          </cell>
          <cell r="Y40">
            <v>-0.12166666666666666</v>
          </cell>
          <cell r="AB40">
            <v>-0.115</v>
          </cell>
          <cell r="AC40">
            <v>0</v>
          </cell>
          <cell r="AE40">
            <v>-0.115</v>
          </cell>
          <cell r="AH40">
            <v>-0.11000000000000001</v>
          </cell>
        </row>
        <row r="41">
          <cell r="M41">
            <v>-0.36499999999999999</v>
          </cell>
          <cell r="P41">
            <v>-0.40000000000000013</v>
          </cell>
          <cell r="R41">
            <v>-0.21</v>
          </cell>
          <cell r="S41">
            <v>0</v>
          </cell>
          <cell r="V41">
            <v>-2.4999999999999994E-2</v>
          </cell>
          <cell r="W41">
            <v>0</v>
          </cell>
          <cell r="Y41">
            <v>-4.4999999999999991E-2</v>
          </cell>
          <cell r="AB41">
            <v>-0.315</v>
          </cell>
          <cell r="AC41">
            <v>0</v>
          </cell>
          <cell r="AE41">
            <v>-0.315</v>
          </cell>
          <cell r="AH41">
            <v>0.12999999999999998</v>
          </cell>
        </row>
        <row r="42">
          <cell r="M42">
            <v>-0.39000000000000012</v>
          </cell>
          <cell r="P42">
            <v>-0.44500000000000006</v>
          </cell>
          <cell r="R42">
            <v>-0.46500000000000002</v>
          </cell>
          <cell r="S42">
            <v>0</v>
          </cell>
          <cell r="V42">
            <v>-0.45300000000000001</v>
          </cell>
          <cell r="W42">
            <v>0</v>
          </cell>
          <cell r="Y42">
            <v>-0.44500000000000001</v>
          </cell>
          <cell r="AB42">
            <v>-0.46300000000000002</v>
          </cell>
          <cell r="AC42">
            <v>0</v>
          </cell>
          <cell r="AE42">
            <v>-0.46300000000000002</v>
          </cell>
          <cell r="AH42">
            <v>-0.42000000000000004</v>
          </cell>
        </row>
        <row r="43">
          <cell r="M43">
            <v>-0.40000000000000013</v>
          </cell>
          <cell r="P43">
            <v>-0.49</v>
          </cell>
          <cell r="R43">
            <v>-0.48</v>
          </cell>
          <cell r="S43">
            <v>-1.0000000000000009E-2</v>
          </cell>
          <cell r="V43">
            <v>-0.42499999999999999</v>
          </cell>
          <cell r="W43">
            <v>-2.0000000000000573E-3</v>
          </cell>
          <cell r="Y43">
            <v>-0.4223333333333335</v>
          </cell>
          <cell r="AB43">
            <v>-0.68499999999999994</v>
          </cell>
          <cell r="AC43">
            <v>0</v>
          </cell>
          <cell r="AE43">
            <v>-0.70500000000000007</v>
          </cell>
          <cell r="AH43">
            <v>-0.35</v>
          </cell>
        </row>
        <row r="49">
          <cell r="L49">
            <v>1.9750000000000001</v>
          </cell>
          <cell r="O49">
            <v>2.04</v>
          </cell>
          <cell r="R49">
            <v>2.3199999999999998</v>
          </cell>
          <cell r="V49">
            <v>2.7256</v>
          </cell>
          <cell r="AB49">
            <v>2.8472857142857149</v>
          </cell>
          <cell r="AH49">
            <v>3.2949999999999995</v>
          </cell>
        </row>
        <row r="60">
          <cell r="O60">
            <v>11.942222222222222</v>
          </cell>
          <cell r="R60">
            <v>11.136890951276103</v>
          </cell>
          <cell r="V60">
            <v>10.537763444086103</v>
          </cell>
          <cell r="AB60">
            <v>12.093844077649743</v>
          </cell>
          <cell r="AH60">
            <v>8.9592538046146295</v>
          </cell>
        </row>
        <row r="61">
          <cell r="O61">
            <v>10.470363636363636</v>
          </cell>
          <cell r="R61">
            <v>9.3307839388145304</v>
          </cell>
          <cell r="V61">
            <v>9.3879132231404956</v>
          </cell>
          <cell r="AB61">
            <v>11.134052661959945</v>
          </cell>
          <cell r="AH61">
            <v>8.1486730224169026</v>
          </cell>
        </row>
        <row r="62">
          <cell r="O62">
            <v>9.846233766233766</v>
          </cell>
          <cell r="R62">
            <v>8.773946360153257</v>
          </cell>
          <cell r="V62">
            <v>8.8509827121540781</v>
          </cell>
          <cell r="AB62">
            <v>11.205648875049338</v>
          </cell>
          <cell r="AH62">
            <v>8.2192699946323149</v>
          </cell>
        </row>
        <row r="63">
          <cell r="O63">
            <v>11.665979381443305</v>
          </cell>
          <cell r="R63">
            <v>9.9778270509977833</v>
          </cell>
          <cell r="V63">
            <v>9.6053221707280603</v>
          </cell>
          <cell r="AB63">
            <v>13.505356873396707</v>
          </cell>
          <cell r="AH63">
            <v>8.6438529784537401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1.xml"/><Relationship Id="rId4" Type="http://schemas.openxmlformats.org/officeDocument/2006/relationships/ctrlProp" Target="../ctrlProps/ctrlProp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comments" Target="../comments2.xml"/><Relationship Id="rId4" Type="http://schemas.openxmlformats.org/officeDocument/2006/relationships/ctrlProp" Target="../ctrlProps/ctrlProp3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9.xml"/><Relationship Id="rId13" Type="http://schemas.openxmlformats.org/officeDocument/2006/relationships/ctrlProp" Target="../ctrlProps/ctrlProp14.xml"/><Relationship Id="rId3" Type="http://schemas.openxmlformats.org/officeDocument/2006/relationships/ctrlProp" Target="../ctrlProps/ctrlProp4.xml"/><Relationship Id="rId7" Type="http://schemas.openxmlformats.org/officeDocument/2006/relationships/ctrlProp" Target="../ctrlProps/ctrlProp8.xml"/><Relationship Id="rId12" Type="http://schemas.openxmlformats.org/officeDocument/2006/relationships/ctrlProp" Target="../ctrlProps/ctrlProp13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Relationship Id="rId6" Type="http://schemas.openxmlformats.org/officeDocument/2006/relationships/ctrlProp" Target="../ctrlProps/ctrlProp7.xml"/><Relationship Id="rId11" Type="http://schemas.openxmlformats.org/officeDocument/2006/relationships/ctrlProp" Target="../ctrlProps/ctrlProp12.xml"/><Relationship Id="rId5" Type="http://schemas.openxmlformats.org/officeDocument/2006/relationships/ctrlProp" Target="../ctrlProps/ctrlProp6.xml"/><Relationship Id="rId10" Type="http://schemas.openxmlformats.org/officeDocument/2006/relationships/ctrlProp" Target="../ctrlProps/ctrlProp11.xml"/><Relationship Id="rId4" Type="http://schemas.openxmlformats.org/officeDocument/2006/relationships/ctrlProp" Target="../ctrlProps/ctrlProp5.xml"/><Relationship Id="rId9" Type="http://schemas.openxmlformats.org/officeDocument/2006/relationships/ctrlProp" Target="../ctrlProps/ctrlProp10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AL69"/>
  <sheetViews>
    <sheetView showGridLines="0" tabSelected="1" topLeftCell="A35" zoomScaleNormal="100" workbookViewId="0">
      <selection activeCell="C65" sqref="C65"/>
    </sheetView>
  </sheetViews>
  <sheetFormatPr defaultRowHeight="12.75" x14ac:dyDescent="0.25"/>
  <cols>
    <col min="1" max="1" width="11" style="63" customWidth="1"/>
    <col min="2" max="2" width="1.140625" style="63" customWidth="1"/>
    <col min="3" max="3" width="16.42578125" style="63" customWidth="1"/>
    <col min="4" max="4" width="0.140625" style="63" customWidth="1"/>
    <col min="5" max="5" width="22.7109375" style="63" hidden="1" customWidth="1"/>
    <col min="6" max="8" width="20.7109375" style="63" hidden="1" customWidth="1"/>
    <col min="9" max="9" width="2.140625" style="63" hidden="1" customWidth="1"/>
    <col min="10" max="10" width="10.85546875" style="63" hidden="1" customWidth="1"/>
    <col min="11" max="11" width="10.85546875" style="32" hidden="1" customWidth="1"/>
    <col min="12" max="13" width="10.7109375" style="32" customWidth="1"/>
    <col min="14" max="15" width="9.85546875" style="32" customWidth="1"/>
    <col min="16" max="16" width="10.7109375" style="32" customWidth="1"/>
    <col min="17" max="17" width="9.85546875" style="32" customWidth="1"/>
    <col min="18" max="18" width="10.7109375" style="32" customWidth="1"/>
    <col min="19" max="19" width="9.85546875" style="32" customWidth="1"/>
    <col min="20" max="21" width="9.85546875" style="32" hidden="1" customWidth="1"/>
    <col min="22" max="22" width="10.7109375" style="32" customWidth="1"/>
    <col min="23" max="24" width="9.85546875" style="32" customWidth="1"/>
    <col min="25" max="25" width="9.85546875" style="32" hidden="1" customWidth="1"/>
    <col min="26" max="26" width="9.85546875" style="32" customWidth="1"/>
    <col min="27" max="27" width="9.85546875" style="32" hidden="1" customWidth="1"/>
    <col min="28" max="28" width="10.7109375" style="32" customWidth="1"/>
    <col min="29" max="30" width="9.85546875" style="32" customWidth="1"/>
    <col min="31" max="31" width="9.85546875" style="32" hidden="1" customWidth="1"/>
    <col min="32" max="32" width="10.7109375" style="32" customWidth="1"/>
    <col min="33" max="33" width="9.85546875" style="32" hidden="1" customWidth="1"/>
    <col min="34" max="34" width="10.7109375" style="32" customWidth="1"/>
    <col min="35" max="35" width="9.85546875" style="32" customWidth="1"/>
    <col min="36" max="36" width="18.42578125" style="33" customWidth="1"/>
    <col min="37" max="37" width="3.7109375" style="32" customWidth="1"/>
    <col min="38" max="38" width="13" style="32" customWidth="1"/>
    <col min="39" max="16384" width="9.140625" style="63"/>
  </cols>
  <sheetData>
    <row r="1" spans="1:38" x14ac:dyDescent="0.25">
      <c r="A1" s="63" t="s">
        <v>79</v>
      </c>
    </row>
    <row r="6" spans="1:38" ht="14.25" customHeight="1" x14ac:dyDescent="0.25">
      <c r="S6" s="93"/>
      <c r="T6" s="93"/>
      <c r="U6" s="93"/>
    </row>
    <row r="7" spans="1:38" ht="13.5" customHeight="1" x14ac:dyDescent="0.25">
      <c r="R7" s="217" t="s">
        <v>146</v>
      </c>
      <c r="S7" s="217"/>
      <c r="T7" s="217"/>
      <c r="U7" s="217"/>
      <c r="V7" s="217"/>
      <c r="W7" s="217"/>
    </row>
    <row r="8" spans="1:38" ht="13.5" thickBot="1" x14ac:dyDescent="0.3"/>
    <row r="9" spans="1:38" ht="13.5" customHeight="1" thickBot="1" x14ac:dyDescent="0.3">
      <c r="C9" s="218" t="s">
        <v>82</v>
      </c>
      <c r="D9" s="219"/>
      <c r="E9" s="219"/>
      <c r="F9" s="219"/>
      <c r="G9" s="219"/>
      <c r="H9" s="219"/>
      <c r="I9" s="219"/>
      <c r="J9" s="219"/>
      <c r="K9" s="219"/>
      <c r="L9" s="219"/>
      <c r="M9" s="219"/>
      <c r="N9" s="219"/>
      <c r="O9" s="219"/>
      <c r="P9" s="219"/>
      <c r="Q9" s="219"/>
      <c r="R9" s="219"/>
      <c r="S9" s="219"/>
      <c r="T9" s="219"/>
      <c r="U9" s="219"/>
      <c r="V9" s="219"/>
      <c r="W9" s="219"/>
      <c r="X9" s="219"/>
      <c r="Y9" s="219"/>
      <c r="Z9" s="219"/>
      <c r="AA9" s="219"/>
      <c r="AB9" s="219"/>
      <c r="AC9" s="219"/>
      <c r="AD9" s="219"/>
      <c r="AE9" s="219"/>
      <c r="AF9" s="219"/>
      <c r="AG9" s="219"/>
      <c r="AH9" s="219"/>
      <c r="AI9" s="220"/>
    </row>
    <row r="10" spans="1:38" ht="14.25" customHeight="1" thickBot="1" x14ac:dyDescent="0.3">
      <c r="C10" s="218">
        <f>CurveFetch!E2</f>
        <v>37168</v>
      </c>
      <c r="D10" s="219"/>
      <c r="E10" s="219"/>
      <c r="F10" s="219"/>
      <c r="G10" s="219"/>
      <c r="H10" s="219"/>
      <c r="I10" s="219"/>
      <c r="J10" s="219"/>
      <c r="K10" s="219"/>
      <c r="L10" s="219"/>
      <c r="M10" s="219"/>
      <c r="N10" s="219"/>
      <c r="O10" s="219"/>
      <c r="P10" s="219"/>
      <c r="Q10" s="219"/>
      <c r="R10" s="219"/>
      <c r="S10" s="219"/>
      <c r="T10" s="219"/>
      <c r="U10" s="219"/>
      <c r="V10" s="219"/>
      <c r="W10" s="219"/>
      <c r="X10" s="219"/>
      <c r="Y10" s="219"/>
      <c r="Z10" s="219"/>
      <c r="AA10" s="219"/>
      <c r="AB10" s="219"/>
      <c r="AC10" s="219"/>
      <c r="AD10" s="219"/>
      <c r="AE10" s="219"/>
      <c r="AF10" s="219"/>
      <c r="AG10" s="219"/>
      <c r="AH10" s="219"/>
      <c r="AI10" s="220"/>
    </row>
    <row r="11" spans="1:38" x14ac:dyDescent="0.25">
      <c r="C11" s="98"/>
      <c r="D11" s="94"/>
      <c r="E11" s="94"/>
      <c r="F11" s="94"/>
      <c r="G11" s="94"/>
      <c r="H11" s="94"/>
      <c r="I11" s="94"/>
      <c r="J11" s="94"/>
      <c r="K11" s="95" t="s">
        <v>84</v>
      </c>
      <c r="L11" s="95" t="s">
        <v>86</v>
      </c>
      <c r="M11" s="95" t="s">
        <v>86</v>
      </c>
      <c r="N11" s="83" t="s">
        <v>88</v>
      </c>
      <c r="O11" s="95" t="s">
        <v>132</v>
      </c>
      <c r="P11" s="95" t="s">
        <v>132</v>
      </c>
      <c r="Q11" s="83" t="s">
        <v>88</v>
      </c>
      <c r="R11" s="95" t="s">
        <v>3</v>
      </c>
      <c r="S11" s="83" t="s">
        <v>88</v>
      </c>
      <c r="T11" s="95" t="s">
        <v>133</v>
      </c>
      <c r="U11" s="83" t="s">
        <v>88</v>
      </c>
      <c r="V11" s="95" t="s">
        <v>123</v>
      </c>
      <c r="W11" s="83" t="s">
        <v>88</v>
      </c>
      <c r="X11" s="95" t="s">
        <v>134</v>
      </c>
      <c r="Y11" s="83" t="s">
        <v>88</v>
      </c>
      <c r="Z11" s="95" t="s">
        <v>135</v>
      </c>
      <c r="AA11" s="83" t="s">
        <v>88</v>
      </c>
      <c r="AB11" s="95" t="s">
        <v>93</v>
      </c>
      <c r="AC11" s="83" t="s">
        <v>88</v>
      </c>
      <c r="AD11" s="95" t="s">
        <v>136</v>
      </c>
      <c r="AE11" s="83" t="s">
        <v>88</v>
      </c>
      <c r="AF11" s="95" t="s">
        <v>133</v>
      </c>
      <c r="AG11" s="83" t="s">
        <v>88</v>
      </c>
      <c r="AH11" s="95" t="s">
        <v>125</v>
      </c>
      <c r="AI11" s="83" t="s">
        <v>88</v>
      </c>
    </row>
    <row r="12" spans="1:38" ht="14.25" customHeight="1" thickBot="1" x14ac:dyDescent="0.3">
      <c r="C12" s="99"/>
      <c r="D12" s="96"/>
      <c r="E12" s="96"/>
      <c r="F12" s="96"/>
      <c r="G12" s="96"/>
      <c r="H12" s="96"/>
      <c r="I12" s="96"/>
      <c r="J12" s="96"/>
      <c r="K12" s="97" t="s">
        <v>85</v>
      </c>
      <c r="L12" s="97" t="s">
        <v>131</v>
      </c>
      <c r="M12" s="97" t="s">
        <v>83</v>
      </c>
      <c r="N12" s="84"/>
      <c r="O12" s="97" t="s">
        <v>131</v>
      </c>
      <c r="P12" s="97" t="s">
        <v>83</v>
      </c>
      <c r="Q12" s="84"/>
      <c r="R12" s="97">
        <f>R25</f>
        <v>37196</v>
      </c>
      <c r="S12" s="84"/>
      <c r="T12" s="120">
        <v>2001</v>
      </c>
      <c r="U12" s="84"/>
      <c r="V12" s="97" t="s">
        <v>87</v>
      </c>
      <c r="W12" s="84"/>
      <c r="X12" s="120">
        <v>2002</v>
      </c>
      <c r="Y12" s="84"/>
      <c r="Z12" s="120">
        <v>2002</v>
      </c>
      <c r="AA12" s="84"/>
      <c r="AB12" s="97" t="s">
        <v>94</v>
      </c>
      <c r="AC12" s="84"/>
      <c r="AD12" s="120">
        <v>2002</v>
      </c>
      <c r="AE12" s="84"/>
      <c r="AF12" s="120">
        <v>2002</v>
      </c>
      <c r="AG12" s="84"/>
      <c r="AH12" s="97" t="s">
        <v>124</v>
      </c>
      <c r="AI12" s="84"/>
    </row>
    <row r="13" spans="1:38" ht="14.25" customHeight="1" thickBot="1" x14ac:dyDescent="0.3">
      <c r="C13" s="218" t="s">
        <v>145</v>
      </c>
      <c r="D13" s="219"/>
      <c r="E13" s="219"/>
      <c r="F13" s="219"/>
      <c r="G13" s="219"/>
      <c r="H13" s="219"/>
      <c r="I13" s="219"/>
      <c r="J13" s="219"/>
      <c r="K13" s="219"/>
      <c r="L13" s="219"/>
      <c r="M13" s="219"/>
      <c r="N13" s="219"/>
      <c r="O13" s="219"/>
      <c r="P13" s="219"/>
      <c r="Q13" s="219"/>
      <c r="R13" s="219"/>
      <c r="S13" s="219"/>
      <c r="T13" s="219"/>
      <c r="U13" s="219"/>
      <c r="V13" s="219"/>
      <c r="W13" s="219"/>
      <c r="X13" s="219"/>
      <c r="Y13" s="219"/>
      <c r="Z13" s="219"/>
      <c r="AA13" s="219"/>
      <c r="AB13" s="219"/>
      <c r="AC13" s="219"/>
      <c r="AD13" s="219"/>
      <c r="AE13" s="219"/>
      <c r="AF13" s="219"/>
      <c r="AG13" s="219"/>
      <c r="AH13" s="219"/>
      <c r="AI13" s="220"/>
    </row>
    <row r="14" spans="1:38" s="34" customFormat="1" ht="12" hidden="1" customHeight="1" x14ac:dyDescent="0.25">
      <c r="C14" s="53"/>
      <c r="D14" s="54"/>
      <c r="E14" s="54"/>
      <c r="F14" s="55" t="s">
        <v>62</v>
      </c>
      <c r="G14" s="55" t="s">
        <v>65</v>
      </c>
      <c r="H14" s="55" t="s">
        <v>66</v>
      </c>
      <c r="I14" s="54"/>
      <c r="J14" s="54"/>
      <c r="K14" s="56"/>
      <c r="L14" s="56"/>
      <c r="M14" s="56"/>
      <c r="N14" s="85"/>
      <c r="O14" s="113"/>
      <c r="P14" s="56"/>
      <c r="Q14" s="85"/>
      <c r="R14" s="56"/>
      <c r="S14" s="85"/>
      <c r="T14" s="113"/>
      <c r="U14" s="121"/>
      <c r="V14" s="56"/>
      <c r="W14" s="85"/>
      <c r="X14" s="113"/>
      <c r="Y14" s="85"/>
      <c r="Z14" s="113"/>
      <c r="AA14" s="85"/>
      <c r="AB14" s="56"/>
      <c r="AC14" s="85"/>
      <c r="AD14" s="113"/>
      <c r="AE14" s="85"/>
      <c r="AF14" s="56"/>
      <c r="AG14" s="85"/>
      <c r="AH14" s="56"/>
      <c r="AI14" s="85"/>
      <c r="AJ14" s="36"/>
      <c r="AK14" s="35"/>
      <c r="AL14" s="35"/>
    </row>
    <row r="15" spans="1:38" hidden="1" x14ac:dyDescent="0.25">
      <c r="C15" s="64"/>
      <c r="D15" s="65"/>
      <c r="E15" s="57" t="s">
        <v>1</v>
      </c>
      <c r="F15" s="37" t="s">
        <v>59</v>
      </c>
      <c r="G15" s="37">
        <v>13</v>
      </c>
      <c r="H15" s="37" t="s">
        <v>63</v>
      </c>
      <c r="I15" s="65"/>
      <c r="J15" s="65"/>
      <c r="K15" s="76">
        <f>CurveFetch!E2</f>
        <v>37168</v>
      </c>
      <c r="L15" s="52"/>
      <c r="M15" s="52"/>
      <c r="N15" s="86"/>
      <c r="O15" s="114"/>
      <c r="P15" s="52"/>
      <c r="Q15" s="86"/>
      <c r="R15" s="52"/>
      <c r="S15" s="86"/>
      <c r="T15" s="114"/>
      <c r="U15" s="122"/>
      <c r="V15" s="52"/>
      <c r="W15" s="86"/>
      <c r="X15" s="114"/>
      <c r="Y15" s="86"/>
      <c r="Z15" s="114"/>
      <c r="AA15" s="86"/>
      <c r="AB15" s="52"/>
      <c r="AC15" s="86"/>
      <c r="AD15" s="114"/>
      <c r="AE15" s="86"/>
      <c r="AF15" s="52"/>
      <c r="AG15" s="86"/>
      <c r="AH15" s="52"/>
      <c r="AI15" s="86"/>
    </row>
    <row r="16" spans="1:38" hidden="1" x14ac:dyDescent="0.25">
      <c r="C16" s="64"/>
      <c r="D16" s="65"/>
      <c r="E16" s="57"/>
      <c r="F16" s="37"/>
      <c r="G16" s="37"/>
      <c r="H16" s="37"/>
      <c r="I16" s="65"/>
      <c r="J16" s="65"/>
      <c r="K16" s="52"/>
      <c r="L16" s="52"/>
      <c r="M16" s="52"/>
      <c r="N16" s="86"/>
      <c r="O16" s="114"/>
      <c r="P16" s="52"/>
      <c r="Q16" s="86"/>
      <c r="R16" s="52"/>
      <c r="S16" s="86"/>
      <c r="T16" s="114"/>
      <c r="U16" s="122"/>
      <c r="V16" s="52"/>
      <c r="W16" s="86"/>
      <c r="X16" s="114"/>
      <c r="Y16" s="86"/>
      <c r="Z16" s="114"/>
      <c r="AA16" s="86"/>
      <c r="AB16" s="52"/>
      <c r="AC16" s="86"/>
      <c r="AD16" s="114"/>
      <c r="AE16" s="86"/>
      <c r="AF16" s="52"/>
      <c r="AG16" s="86"/>
      <c r="AH16" s="52"/>
      <c r="AI16" s="86"/>
    </row>
    <row r="17" spans="3:38" hidden="1" x14ac:dyDescent="0.25">
      <c r="C17" s="64"/>
      <c r="D17" s="65"/>
      <c r="E17" s="57"/>
      <c r="F17" s="37"/>
      <c r="G17" s="37"/>
      <c r="H17" s="37"/>
      <c r="I17" s="65"/>
      <c r="J17" s="65"/>
      <c r="K17" s="52"/>
      <c r="L17" s="52"/>
      <c r="M17" s="52"/>
      <c r="N17" s="86"/>
      <c r="O17" s="114"/>
      <c r="P17" s="52"/>
      <c r="Q17" s="86"/>
      <c r="R17" s="52"/>
      <c r="S17" s="86"/>
      <c r="T17" s="114"/>
      <c r="U17" s="122"/>
      <c r="V17" s="52"/>
      <c r="W17" s="86"/>
      <c r="X17" s="114"/>
      <c r="Y17" s="86"/>
      <c r="Z17" s="114"/>
      <c r="AA17" s="86"/>
      <c r="AB17" s="52"/>
      <c r="AC17" s="86"/>
      <c r="AD17" s="114"/>
      <c r="AE17" s="86"/>
      <c r="AF17" s="52"/>
      <c r="AG17" s="86"/>
      <c r="AH17" s="52"/>
      <c r="AI17" s="86"/>
    </row>
    <row r="18" spans="3:38" ht="13.5" hidden="1" customHeight="1" x14ac:dyDescent="0.25">
      <c r="C18" s="64"/>
      <c r="D18" s="65"/>
      <c r="E18" s="57"/>
      <c r="F18" s="37"/>
      <c r="G18" s="37"/>
      <c r="H18" s="37"/>
      <c r="I18" s="65"/>
      <c r="J18" s="65"/>
      <c r="K18" s="52"/>
      <c r="L18" s="52"/>
      <c r="M18" s="52"/>
      <c r="N18" s="86"/>
      <c r="O18" s="114"/>
      <c r="P18" s="52"/>
      <c r="Q18" s="86"/>
      <c r="R18" s="52"/>
      <c r="S18" s="86"/>
      <c r="T18" s="114"/>
      <c r="U18" s="122"/>
      <c r="V18" s="52"/>
      <c r="W18" s="86"/>
      <c r="X18" s="114"/>
      <c r="Y18" s="86"/>
      <c r="Z18" s="114"/>
      <c r="AA18" s="86"/>
      <c r="AB18" s="52"/>
      <c r="AC18" s="86"/>
      <c r="AD18" s="114"/>
      <c r="AE18" s="86"/>
      <c r="AF18" s="52"/>
      <c r="AG18" s="86"/>
      <c r="AH18" s="52"/>
      <c r="AI18" s="86"/>
    </row>
    <row r="19" spans="3:38" ht="13.5" hidden="1" customHeight="1" x14ac:dyDescent="0.25">
      <c r="C19" s="64"/>
      <c r="D19" s="65"/>
      <c r="E19" s="57"/>
      <c r="F19" s="37"/>
      <c r="G19" s="37"/>
      <c r="H19" s="37"/>
      <c r="I19" s="65"/>
      <c r="J19" s="65"/>
      <c r="K19" s="52"/>
      <c r="L19" s="52"/>
      <c r="M19" s="52"/>
      <c r="N19" s="86"/>
      <c r="O19" s="114"/>
      <c r="P19" s="52"/>
      <c r="Q19" s="86"/>
      <c r="R19" s="52"/>
      <c r="S19" s="86"/>
      <c r="T19" s="114"/>
      <c r="U19" s="122"/>
      <c r="V19" s="52"/>
      <c r="W19" s="86"/>
      <c r="X19" s="114"/>
      <c r="Y19" s="86"/>
      <c r="Z19" s="114"/>
      <c r="AA19" s="86"/>
      <c r="AB19" s="52"/>
      <c r="AC19" s="86"/>
      <c r="AD19" s="114"/>
      <c r="AE19" s="86"/>
      <c r="AF19" s="52"/>
      <c r="AG19" s="86"/>
      <c r="AH19" s="52"/>
      <c r="AI19" s="86"/>
    </row>
    <row r="20" spans="3:38" hidden="1" x14ac:dyDescent="0.25">
      <c r="C20" s="64"/>
      <c r="D20" s="65"/>
      <c r="E20" s="57"/>
      <c r="F20" s="37"/>
      <c r="G20" s="37"/>
      <c r="H20" s="37"/>
      <c r="I20" s="65"/>
      <c r="J20" s="65"/>
      <c r="K20" s="52"/>
      <c r="L20" s="52"/>
      <c r="M20" s="52"/>
      <c r="N20" s="86"/>
      <c r="O20" s="114"/>
      <c r="P20" s="52"/>
      <c r="Q20" s="86"/>
      <c r="R20" s="52"/>
      <c r="S20" s="86"/>
      <c r="T20" s="114"/>
      <c r="U20" s="122"/>
      <c r="V20" s="52"/>
      <c r="W20" s="86"/>
      <c r="X20" s="114"/>
      <c r="Y20" s="86"/>
      <c r="Z20" s="114"/>
      <c r="AA20" s="86"/>
      <c r="AB20" s="52"/>
      <c r="AC20" s="86"/>
      <c r="AD20" s="114"/>
      <c r="AE20" s="86"/>
      <c r="AF20" s="114"/>
      <c r="AG20" s="86"/>
      <c r="AH20" s="52"/>
      <c r="AI20" s="86"/>
    </row>
    <row r="21" spans="3:38" hidden="1" x14ac:dyDescent="0.25">
      <c r="C21" s="64" t="s">
        <v>75</v>
      </c>
      <c r="D21" s="65"/>
      <c r="E21" s="57" t="s">
        <v>64</v>
      </c>
      <c r="F21" s="37" t="s">
        <v>60</v>
      </c>
      <c r="G21" s="37">
        <v>4</v>
      </c>
      <c r="H21" s="37" t="s">
        <v>9</v>
      </c>
      <c r="I21" s="65"/>
      <c r="J21" s="65"/>
      <c r="K21" s="52"/>
      <c r="L21" s="52"/>
      <c r="M21" s="52"/>
      <c r="N21" s="86"/>
      <c r="O21" s="114"/>
      <c r="P21" s="52"/>
      <c r="Q21" s="86"/>
      <c r="R21" s="52"/>
      <c r="S21" s="86"/>
      <c r="T21" s="114"/>
      <c r="U21" s="122"/>
      <c r="V21" s="52"/>
      <c r="W21" s="86"/>
      <c r="X21" s="114"/>
      <c r="Y21" s="86"/>
      <c r="Z21" s="114"/>
      <c r="AA21" s="86"/>
      <c r="AB21" s="52"/>
      <c r="AC21" s="86"/>
      <c r="AD21" s="114"/>
      <c r="AE21" s="86"/>
      <c r="AF21" s="114"/>
      <c r="AG21" s="86"/>
      <c r="AH21" s="52"/>
      <c r="AI21" s="86"/>
    </row>
    <row r="22" spans="3:38" hidden="1" x14ac:dyDescent="0.25">
      <c r="C22" s="64"/>
      <c r="D22" s="65"/>
      <c r="E22" s="65"/>
      <c r="F22" s="65"/>
      <c r="G22" s="65"/>
      <c r="H22" s="65"/>
      <c r="I22" s="65"/>
      <c r="J22" s="38" t="s">
        <v>64</v>
      </c>
      <c r="K22" s="77"/>
      <c r="L22" s="39"/>
      <c r="M22" s="39"/>
      <c r="N22" s="87"/>
      <c r="O22" s="115"/>
      <c r="P22" s="39" t="b">
        <f>P25=$F$24</f>
        <v>1</v>
      </c>
      <c r="Q22" s="87"/>
      <c r="R22" s="39" t="b">
        <f>MONTH(R25)=$F$24</f>
        <v>0</v>
      </c>
      <c r="S22" s="87"/>
      <c r="T22" s="39" t="b">
        <f>MONTH(T25)=$F$24</f>
        <v>0</v>
      </c>
      <c r="U22" s="123"/>
      <c r="V22" s="39" t="b">
        <f>MONTH(V25)=$F$24</f>
        <v>0</v>
      </c>
      <c r="W22" s="87"/>
      <c r="X22" s="39" t="b">
        <f>MONTH(X25)=$F$24</f>
        <v>0</v>
      </c>
      <c r="Y22" s="87"/>
      <c r="Z22" s="39" t="b">
        <f>MONTH(Z25)=$F$24</f>
        <v>0</v>
      </c>
      <c r="AA22" s="87"/>
      <c r="AB22" s="39" t="b">
        <f>MONTH(AB25)=$F$24</f>
        <v>0</v>
      </c>
      <c r="AC22" s="87"/>
      <c r="AD22" s="39" t="b">
        <f>MONTH(AD25)=$F$24</f>
        <v>0</v>
      </c>
      <c r="AE22" s="87"/>
      <c r="AF22" s="39" t="b">
        <f>MONTH(AF25)=$F$24</f>
        <v>0</v>
      </c>
      <c r="AG22" s="87"/>
      <c r="AH22" s="39" t="b">
        <f>MONTH(AH25)=$F$24</f>
        <v>0</v>
      </c>
      <c r="AI22" s="87"/>
    </row>
    <row r="23" spans="3:38" hidden="1" x14ac:dyDescent="0.25">
      <c r="C23" s="64"/>
      <c r="D23" s="65"/>
      <c r="E23" s="66" t="s">
        <v>69</v>
      </c>
      <c r="F23" s="40" t="s">
        <v>48</v>
      </c>
      <c r="G23" s="58">
        <f ca="1">MATCH(F23,INDIRECT(CONCATENATE($F$21,"!",$G$21,":",$G$21)),0)</f>
        <v>5</v>
      </c>
      <c r="H23" s="65"/>
      <c r="I23" s="65"/>
      <c r="J23" s="65"/>
      <c r="K23" s="52"/>
      <c r="L23" s="51"/>
      <c r="M23" s="51"/>
      <c r="N23" s="88"/>
      <c r="O23" s="116"/>
      <c r="P23" s="51">
        <f ca="1">IF(P$22,MATCH(EOMONTH(P25,0),INDIRECT(CONCATENATE($F$21,"!",$H$21,":",$H$21)),0),MATCH(P25,INDIRECT(CONCATENATE($F$15,"!",$H$15,":",$H$15)),0))</f>
        <v>38</v>
      </c>
      <c r="Q23" s="88"/>
      <c r="R23" s="51">
        <f ca="1">IF(R$22,MATCH(EOMONTH(R25,0),INDIRECT(CONCATENATE($F$21,"!",$H$21,":",$H$21)),0),MATCH(R25,INDIRECT(CONCATENATE($F$15,"!",$H$15,":",$H$15)),0))</f>
        <v>18</v>
      </c>
      <c r="S23" s="88"/>
      <c r="T23" s="51">
        <f ca="1">IF(T$22,MATCH(EOMONTH(T25,0),INDIRECT(CONCATENATE($F$21,"!",$H$21,":",$H$21)),0),MATCH(T25,INDIRECT(CONCATENATE($F$15,"!",$H$15,":",$H$15)),0))</f>
        <v>17</v>
      </c>
      <c r="U23" s="124"/>
      <c r="V23" s="51">
        <f ca="1">IF(V$22,MATCH(EOMONTH(V25,0),INDIRECT(CONCATENATE($F$21,"!",$H$21,":",$H$21)),0),MATCH(V25,INDIRECT(CONCATENATE($F$15,"!",$H$15,":",$H$15)),0))</f>
        <v>18</v>
      </c>
      <c r="W23" s="88"/>
      <c r="X23" s="51">
        <f ca="1">IF(X$22,MATCH(EOMONTH(X25,0),INDIRECT(CONCATENATE($F$21,"!",$H$21,":",$H$21)),0),MATCH(X25,INDIRECT(CONCATENATE($F$15,"!",$H$15,":",$H$15)),0))</f>
        <v>20</v>
      </c>
      <c r="Y23" s="88"/>
      <c r="Z23" s="51">
        <f ca="1">IF(Z$22,MATCH(EOMONTH(Z25,0),INDIRECT(CONCATENATE($F$21,"!",$H$21,":",$H$21)),0),MATCH(Z25,INDIRECT(CONCATENATE($F$15,"!",$H$15,":",$H$15)),0))</f>
        <v>23</v>
      </c>
      <c r="AA23" s="88"/>
      <c r="AB23" s="51">
        <f ca="1">IF(AB$22,MATCH(EOMONTH(AB25,0),INDIRECT(CONCATENATE($F$21,"!",$H$21,":",$H$21)),0),MATCH(AB25,INDIRECT(CONCATENATE($F$15,"!",$H$15,":",$H$15)),0))</f>
        <v>23</v>
      </c>
      <c r="AC23" s="88"/>
      <c r="AD23" s="51">
        <f ca="1">IF(AD$22,MATCH(EOMONTH(AD25,0),INDIRECT(CONCATENATE($F$21,"!",$H$21,":",$H$21)),0),MATCH(AD25,INDIRECT(CONCATENATE($F$15,"!",$H$15,":",$H$15)),0))</f>
        <v>26</v>
      </c>
      <c r="AE23" s="88"/>
      <c r="AF23" s="51">
        <f ca="1">IF(AF$22,MATCH(EOMONTH(AF25,0),INDIRECT(CONCATENATE($F$21,"!",$H$21,":",$H$21)),0),MATCH(AF25,INDIRECT(CONCATENATE($F$15,"!",$H$15,":",$H$15)),0))</f>
        <v>29</v>
      </c>
      <c r="AG23" s="88"/>
      <c r="AH23" s="51">
        <f ca="1">IF(AH$22,MATCH(EOMONTH(AH25,0),INDIRECT(CONCATENATE($F$21,"!",$H$21,":",$H$21)),0),MATCH(AH25,INDIRECT(CONCATENATE($F$15,"!",$H$15,":",$H$15)),0))</f>
        <v>30</v>
      </c>
      <c r="AI23" s="88"/>
    </row>
    <row r="24" spans="3:38" hidden="1" x14ac:dyDescent="0.25">
      <c r="C24" s="64"/>
      <c r="D24" s="65"/>
      <c r="E24" s="66" t="s">
        <v>61</v>
      </c>
      <c r="F24" s="102">
        <v>37165</v>
      </c>
      <c r="G24" s="65"/>
      <c r="H24" s="65"/>
      <c r="I24" s="65"/>
      <c r="J24" s="65"/>
      <c r="K24" s="52"/>
      <c r="L24" s="51"/>
      <c r="M24" s="51"/>
      <c r="N24" s="88"/>
      <c r="O24" s="116"/>
      <c r="P24" s="51">
        <f ca="1">IF(P$22,MATCH(EOMONTH(P26,0),INDIRECT(CONCATENATE($F$21,"!",$H$21,":",$H$21)),0),MATCH(P26,INDIRECT(CONCATENATE($F$15,"!",$H$15,":",$H$15)),0))</f>
        <v>38</v>
      </c>
      <c r="Q24" s="88"/>
      <c r="R24" s="51">
        <f ca="1">IF(R$22,MATCH(EOMONTH(R26,0),INDIRECT(CONCATENATE($F$21,"!",$H$21,":",$H$21)),0),MATCH(R26,INDIRECT(CONCATENATE($F$15,"!",$H$15,":",$H$15)),0))</f>
        <v>18</v>
      </c>
      <c r="S24" s="88"/>
      <c r="T24" s="51">
        <f ca="1">IF(T$22,MATCH(EOMONTH(T26,0),INDIRECT(CONCATENATE($F$21,"!",$H$21,":",$H$21)),0),MATCH(T26,INDIRECT(CONCATENATE($F$15,"!",$H$15,":",$H$15)),0))</f>
        <v>19</v>
      </c>
      <c r="U24" s="124"/>
      <c r="V24" s="51">
        <f ca="1">IF(V$22,MATCH(EOMONTH(V26,0),INDIRECT(CONCATENATE($F$21,"!",$H$21,":",$H$21)),0),MATCH(V26,INDIRECT(CONCATENATE($F$15,"!",$H$15,":",$H$15)),0))</f>
        <v>22</v>
      </c>
      <c r="W24" s="88"/>
      <c r="X24" s="51">
        <f ca="1">IF(X$22,MATCH(EOMONTH(X26,0),INDIRECT(CONCATENATE($F$21,"!",$H$21,":",$H$21)),0),MATCH(X26,INDIRECT(CONCATENATE($F$15,"!",$H$15,":",$H$15)),0))</f>
        <v>22</v>
      </c>
      <c r="Y24" s="88"/>
      <c r="Z24" s="51">
        <f ca="1">IF(Z$22,MATCH(EOMONTH(Z26,0),INDIRECT(CONCATENATE($F$21,"!",$H$21,":",$H$21)),0),MATCH(Z26,INDIRECT(CONCATENATE($F$15,"!",$H$15,":",$H$15)),0))</f>
        <v>25</v>
      </c>
      <c r="AA24" s="88"/>
      <c r="AB24" s="51">
        <f ca="1">IF(AB$22,MATCH(EOMONTH(AB26,0),INDIRECT(CONCATENATE($F$21,"!",$H$21,":",$H$21)),0),MATCH(AB26,INDIRECT(CONCATENATE($F$15,"!",$H$15,":",$H$15)),0))</f>
        <v>29</v>
      </c>
      <c r="AC24" s="88"/>
      <c r="AD24" s="51">
        <f ca="1">IF(AD$22,MATCH(EOMONTH(AD26,0),INDIRECT(CONCATENATE($F$21,"!",$H$21,":",$H$21)),0),MATCH(AD26,INDIRECT(CONCATENATE($F$15,"!",$H$15,":",$H$15)),0))</f>
        <v>28</v>
      </c>
      <c r="AE24" s="88"/>
      <c r="AF24" s="51">
        <f ca="1">IF(AF$22,MATCH(EOMONTH(AF26,0),INDIRECT(CONCATENATE($F$21,"!",$H$21,":",$H$21)),0),MATCH(AF26,INDIRECT(CONCATENATE($F$15,"!",$H$15,":",$H$15)),0))</f>
        <v>31</v>
      </c>
      <c r="AG24" s="88"/>
      <c r="AH24" s="51">
        <f ca="1">IF(AH$22,MATCH(EOMONTH(AH26,0),INDIRECT(CONCATENATE($F$21,"!",$H$21,":",$H$21)),0),MATCH(AH26,INDIRECT(CONCATENATE($F$15,"!",$H$15,":",$H$15)),0))</f>
        <v>34</v>
      </c>
      <c r="AI24" s="88"/>
    </row>
    <row r="25" spans="3:38" hidden="1" x14ac:dyDescent="0.25">
      <c r="C25" s="64"/>
      <c r="D25" s="65"/>
      <c r="E25" s="65"/>
      <c r="F25" s="102">
        <v>37195</v>
      </c>
      <c r="G25" s="65"/>
      <c r="H25" s="65"/>
      <c r="I25" s="65"/>
      <c r="J25" s="67" t="s">
        <v>57</v>
      </c>
      <c r="K25" s="78"/>
      <c r="L25" s="43"/>
      <c r="M25" s="42"/>
      <c r="N25" s="89"/>
      <c r="O25" s="117"/>
      <c r="P25" s="42">
        <f>F24</f>
        <v>37165</v>
      </c>
      <c r="Q25" s="89"/>
      <c r="R25" s="43">
        <v>37196</v>
      </c>
      <c r="S25" s="89"/>
      <c r="T25" s="117">
        <v>37165</v>
      </c>
      <c r="U25" s="125"/>
      <c r="V25" s="43">
        <v>37196</v>
      </c>
      <c r="W25" s="89"/>
      <c r="X25" s="117">
        <v>37257</v>
      </c>
      <c r="Y25" s="89"/>
      <c r="Z25" s="117">
        <v>37347</v>
      </c>
      <c r="AA25" s="89"/>
      <c r="AB25" s="59">
        <v>37347</v>
      </c>
      <c r="AC25" s="89"/>
      <c r="AD25" s="117">
        <v>37438</v>
      </c>
      <c r="AE25" s="89"/>
      <c r="AF25" s="117">
        <v>37530</v>
      </c>
      <c r="AG25" s="89"/>
      <c r="AH25" s="59">
        <v>37561</v>
      </c>
      <c r="AI25" s="89"/>
    </row>
    <row r="26" spans="3:38" hidden="1" x14ac:dyDescent="0.25">
      <c r="C26" s="64"/>
      <c r="D26" s="65"/>
      <c r="E26" s="65"/>
      <c r="F26" s="65"/>
      <c r="G26" s="65"/>
      <c r="H26" s="65"/>
      <c r="I26" s="65"/>
      <c r="J26" s="68" t="s">
        <v>58</v>
      </c>
      <c r="K26" s="79"/>
      <c r="L26" s="45"/>
      <c r="M26" s="44"/>
      <c r="N26" s="90"/>
      <c r="O26" s="118"/>
      <c r="P26" s="44">
        <f>P25</f>
        <v>37165</v>
      </c>
      <c r="Q26" s="90"/>
      <c r="R26" s="45">
        <f>R25</f>
        <v>37196</v>
      </c>
      <c r="S26" s="90"/>
      <c r="T26" s="118">
        <v>37226</v>
      </c>
      <c r="U26" s="126"/>
      <c r="V26" s="45">
        <v>37316</v>
      </c>
      <c r="W26" s="90"/>
      <c r="X26" s="118">
        <v>37316</v>
      </c>
      <c r="Y26" s="90"/>
      <c r="Z26" s="118">
        <v>37408</v>
      </c>
      <c r="AA26" s="90"/>
      <c r="AB26" s="60">
        <v>37530</v>
      </c>
      <c r="AC26" s="90"/>
      <c r="AD26" s="118">
        <v>37500</v>
      </c>
      <c r="AE26" s="90"/>
      <c r="AF26" s="118">
        <v>37591</v>
      </c>
      <c r="AG26" s="90"/>
      <c r="AH26" s="60">
        <v>37681</v>
      </c>
      <c r="AI26" s="90"/>
    </row>
    <row r="27" spans="3:38" hidden="1" x14ac:dyDescent="0.25">
      <c r="C27" s="69" t="s">
        <v>70</v>
      </c>
      <c r="D27" s="70"/>
      <c r="E27" s="71" t="s">
        <v>49</v>
      </c>
      <c r="F27" s="71" t="s">
        <v>1</v>
      </c>
      <c r="G27" s="71"/>
      <c r="H27" s="71"/>
      <c r="I27" s="72"/>
      <c r="J27" s="70"/>
      <c r="K27" s="41"/>
      <c r="L27" s="41"/>
      <c r="M27" s="41"/>
      <c r="N27" s="91"/>
      <c r="O27" s="119"/>
      <c r="P27" s="41"/>
      <c r="Q27" s="91"/>
      <c r="R27" s="41"/>
      <c r="S27" s="91"/>
      <c r="T27" s="119"/>
      <c r="U27" s="127"/>
      <c r="V27" s="41"/>
      <c r="W27" s="91"/>
      <c r="X27" s="119"/>
      <c r="Y27" s="91"/>
      <c r="Z27" s="119"/>
      <c r="AA27" s="91"/>
      <c r="AB27" s="41"/>
      <c r="AC27" s="91"/>
      <c r="AD27" s="119"/>
      <c r="AE27" s="91"/>
      <c r="AF27" s="119"/>
      <c r="AG27" s="91"/>
      <c r="AH27" s="41"/>
      <c r="AI27" s="91"/>
      <c r="AJ27" s="46" t="s">
        <v>67</v>
      </c>
      <c r="AL27" s="46" t="s">
        <v>68</v>
      </c>
    </row>
    <row r="28" spans="3:38" x14ac:dyDescent="0.25">
      <c r="C28" s="100" t="s">
        <v>44</v>
      </c>
      <c r="D28" s="70"/>
      <c r="E28" s="73" t="s">
        <v>44</v>
      </c>
      <c r="F28" s="73" t="s">
        <v>44</v>
      </c>
      <c r="G28" s="73"/>
      <c r="H28" s="73"/>
      <c r="I28" s="73"/>
      <c r="J28" s="70"/>
      <c r="K28" s="80">
        <f>LOOKUP($K$15,CurveFetch!$D$8:$D$1000,CurveFetch!$F$8:$F$1000)</f>
        <v>2.04</v>
      </c>
      <c r="L28" s="62">
        <f>LOOKUP($K$15+1,CurveFetch!D$8:D$1000,CurveFetch!F$8:F$1000)</f>
        <v>2.13</v>
      </c>
      <c r="M28" s="62">
        <f>L28-$L$49</f>
        <v>4.9999999999998934E-3</v>
      </c>
      <c r="N28" s="128">
        <f>M28-'[7]Gas Average Basis'!M28</f>
        <v>-5.500000000000016E-2</v>
      </c>
      <c r="O28" s="62">
        <f>LOOKUP($K$15+2,CurveFetch!$D$8:$D$1000,CurveFetch!$F$8:$F$1000)</f>
        <v>2.1</v>
      </c>
      <c r="P28" s="62" t="e">
        <f t="shared" ref="P28:P43" ca="1" si="0">IF(P$22,AveragePrices($F$21,P$23,P$24,$AJ28:$AJ28)-INDIRECT(ADDRESS(P$23,$G$23,,,$F$21)),AveragePrices($F$15,P$23,P$24,$AL28:$AL28))</f>
        <v>#NAME?</v>
      </c>
      <c r="Q28" s="128" t="e">
        <f ca="1">P28-'[7]Gas Average Basis'!P28</f>
        <v>#NAME?</v>
      </c>
      <c r="R28" s="62" t="e">
        <f ca="1">IF(R$22,AveragePrices($F$21,R$23,R$24,$AJ28:$AJ28),AveragePrices($F$15,R$23,R$24,$AL28:$AL28))</f>
        <v>#NAME?</v>
      </c>
      <c r="S28" s="128" t="e">
        <f ca="1">R28-'[7]Gas Average Basis'!R28</f>
        <v>#NAME?</v>
      </c>
      <c r="T28" s="62" t="e">
        <f ca="1">IF(T$22,AveragePrices($F$21,T$23,T$24,$AJ28:$AJ28),AveragePrices($F$15,T$23,T$24,$AL28:$AL28))</f>
        <v>#NAME?</v>
      </c>
      <c r="U28" s="128">
        <v>-4.2999999999999997E-2</v>
      </c>
      <c r="V28" s="62" t="e">
        <f t="shared" ref="V28:V43" ca="1" si="1">IF(V$22,AveragePrices($F$21,V$23,V$24,$AJ28:$AJ28),AveragePrices($F$15,V$23,V$24,$AL28:$AL28))</f>
        <v>#NAME?</v>
      </c>
      <c r="W28" s="128" t="e">
        <f ca="1">V28-'[7]Gas Average Basis'!V28</f>
        <v>#NAME?</v>
      </c>
      <c r="X28" s="62" t="e">
        <f ca="1">IF(X$22,AveragePrices($F$21,X$23,X$24,$AJ28:$AJ28),AveragePrices($F$15,X$23,X$24,$AL28:$AL28))</f>
        <v>#NAME?</v>
      </c>
      <c r="Y28" s="128">
        <v>-4.8300000000000003E-2</v>
      </c>
      <c r="Z28" s="62" t="e">
        <f ca="1">IF(Z$22,AveragePrices($F$21,Z$23,Z$24,$AJ28:$AJ28),AveragePrices($F$15,Z$23,Z$24,$AL28:$AL28))</f>
        <v>#NAME?</v>
      </c>
      <c r="AA28" s="128">
        <v>-0.01</v>
      </c>
      <c r="AB28" s="62" t="e">
        <f ca="1">IF(AB$22,AveragePrices($F$21,AB$23,AB$24,$AJ28:$AJ28),AveragePrices($F$15,AB$23,AB$24,$AL28:$AL28))</f>
        <v>#NAME?</v>
      </c>
      <c r="AC28" s="128" t="e">
        <f ca="1">AB28-'[7]Gas Average Basis'!AB28</f>
        <v>#NAME?</v>
      </c>
      <c r="AD28" s="62" t="e">
        <f ca="1">IF(AD$22,AveragePrices($F$21,AD$23,AD$24,$AJ28:$AJ28),AveragePrices($F$15,AD$23,AD$24,$AL28:$AL28))</f>
        <v>#NAME?</v>
      </c>
      <c r="AE28" s="128">
        <v>-4.4999999999999998E-2</v>
      </c>
      <c r="AF28" s="62" t="e">
        <f ca="1">IF(AF$22,AveragePrices($F$21,AF$23,AF$24,$AJ28:$AJ28),AveragePrices($F$15,AF$23,AF$24,$AL28:$AL28))</f>
        <v>#NAME?</v>
      </c>
      <c r="AG28" s="128">
        <v>-0.03</v>
      </c>
      <c r="AH28" s="62" t="e">
        <f ca="1">IF(AH$22,AveragePrices($F$21,AH$23,AH$24,$AJ28:$AJ28),AveragePrices($F$15,AH$23,AH$24,$AL28:$AL28))</f>
        <v>#NAME?</v>
      </c>
      <c r="AI28" s="92" t="e">
        <f ca="1">AH28-'[7]Gas Average Basis'!AH28</f>
        <v>#NAME?</v>
      </c>
      <c r="AJ28" s="48">
        <f ca="1">IF(E28="","",MATCH(E28,INDIRECT(CONCATENATE($F$21,"!",$G$21,":",$G$21)),0))</f>
        <v>6</v>
      </c>
      <c r="AL28" s="48">
        <f ca="1">IF(F28="","",MATCH(F28,INDIRECT(CONCATENATE($F$15,"!",$G$15,":",$G$15)),0))</f>
        <v>5</v>
      </c>
    </row>
    <row r="29" spans="3:38" x14ac:dyDescent="0.25">
      <c r="C29" s="100" t="s">
        <v>105</v>
      </c>
      <c r="D29" s="70"/>
      <c r="E29" s="73" t="s">
        <v>105</v>
      </c>
      <c r="F29" s="73" t="s">
        <v>105</v>
      </c>
      <c r="G29" s="73"/>
      <c r="H29" s="73"/>
      <c r="I29" s="73"/>
      <c r="J29" s="70"/>
      <c r="K29" s="80">
        <f>LOOKUP($K$15,CurveFetch!$D$8:$D$1000,CurveFetch!$Q$8:$Q$1000)</f>
        <v>1.93</v>
      </c>
      <c r="L29" s="62">
        <f>LOOKUP($K$15+1,CurveFetch!D$8:D$1000,CurveFetch!Q$8:Q$1000)</f>
        <v>2.0299999999999998</v>
      </c>
      <c r="M29" s="62">
        <f>L29-$L$49</f>
        <v>-9.5000000000000195E-2</v>
      </c>
      <c r="N29" s="128">
        <f>M29-'[7]Gas Average Basis'!M29</f>
        <v>-3.0000000000000027E-2</v>
      </c>
      <c r="O29" s="62">
        <f>LOOKUP($K$15+2,CurveFetch!$D$8:$D$1000,CurveFetch!$Q$8:$Q$1000)</f>
        <v>2</v>
      </c>
      <c r="P29" s="62" t="e">
        <f t="shared" ca="1" si="0"/>
        <v>#NAME?</v>
      </c>
      <c r="Q29" s="128" t="e">
        <f ca="1">P29-'[7]Gas Average Basis'!P29</f>
        <v>#NAME?</v>
      </c>
      <c r="R29" s="62" t="e">
        <f ca="1">IF(R$22,AveragePrices($F$21,R$23,R$24,$AJ29:$AJ29),AveragePrices($F$15,R$23,R$24,$AL29:$AL29))</f>
        <v>#NAME?</v>
      </c>
      <c r="S29" s="128" t="e">
        <f ca="1">R29-'[7]Gas Average Basis'!R29</f>
        <v>#NAME?</v>
      </c>
      <c r="T29" s="62" t="e">
        <f ca="1">IF(T$22,AveragePrices($F$21,T$23,T$24,$AJ29:$AJ29),AveragePrices($F$15,T$23,T$24,$AL29:$AL29))</f>
        <v>#NAME?</v>
      </c>
      <c r="U29" s="128" t="e">
        <f ca="1">T29-'[7]Gas Average Basis'!S29</f>
        <v>#NAME?</v>
      </c>
      <c r="V29" s="62" t="e">
        <f t="shared" ca="1" si="1"/>
        <v>#NAME?</v>
      </c>
      <c r="W29" s="128" t="e">
        <f ca="1">V29-'[7]Gas Average Basis'!V29</f>
        <v>#NAME?</v>
      </c>
      <c r="X29" s="62" t="e">
        <f ca="1">IF(X$22,AveragePrices($F$21,X$23,X$24,$AJ29:$AJ29),AveragePrices($F$15,X$23,X$24,$AL29:$AL29))</f>
        <v>#NAME?</v>
      </c>
      <c r="Y29" s="128" t="e">
        <f ca="1">X29-'[7]Gas Average Basis'!W29</f>
        <v>#NAME?</v>
      </c>
      <c r="Z29" s="62" t="e">
        <f ca="1">IF(Z$22,AveragePrices($F$21,Z$23,Z$24,$AJ29:$AJ29),AveragePrices($F$15,Z$23,Z$24,$AL29:$AL29))</f>
        <v>#NAME?</v>
      </c>
      <c r="AA29" s="128" t="e">
        <f ca="1">Z29-'[7]Gas Average Basis'!Y29</f>
        <v>#NAME?</v>
      </c>
      <c r="AB29" s="62" t="e">
        <f ca="1">IF(AB$22,AveragePrices($F$21,AB$23,AB$24,$AJ29:$AJ29),AveragePrices($F$15,AB$23,AB$24,$AL29:$AL29))</f>
        <v>#NAME?</v>
      </c>
      <c r="AC29" s="128" t="e">
        <f ca="1">AB29-'[7]Gas Average Basis'!AB29</f>
        <v>#NAME?</v>
      </c>
      <c r="AD29" s="62" t="e">
        <f ca="1">IF(AD$22,AveragePrices($F$21,AD$23,AD$24,$AJ29:$AJ29),AveragePrices($F$15,AD$23,AD$24,$AL29:$AL29))</f>
        <v>#NAME?</v>
      </c>
      <c r="AE29" s="128" t="e">
        <f ca="1">AD29-'[7]Gas Average Basis'!AC29</f>
        <v>#NAME?</v>
      </c>
      <c r="AF29" s="62" t="e">
        <f ca="1">IF(AF$22,AveragePrices($F$21,AF$23,AF$24,$AJ29:$AJ29),AveragePrices($F$15,AF$23,AF$24,$AL29:$AL29))</f>
        <v>#NAME?</v>
      </c>
      <c r="AG29" s="128" t="e">
        <f ca="1">AF29-'[7]Gas Average Basis'!AE29</f>
        <v>#NAME?</v>
      </c>
      <c r="AH29" s="62" t="e">
        <f ca="1">IF(AH$22,AveragePrices($F$21,AH$23,AH$24,$AJ29:$AJ29),AveragePrices($F$15,AH$23,AH$24,$AL29:$AL29))</f>
        <v>#NAME?</v>
      </c>
      <c r="AI29" s="92" t="e">
        <f ca="1">AH29-'[7]Gas Average Basis'!AH29</f>
        <v>#NAME?</v>
      </c>
      <c r="AJ29" s="49">
        <f ca="1">IF(E29="","",MATCH(E29,INDIRECT(CONCATENATE($F$21,"!",$G$21,":",$G$21)),0))</f>
        <v>17</v>
      </c>
      <c r="AL29" s="49">
        <f ca="1">IF(F29="","",MATCH(F29,INDIRECT(CONCATENATE($F$15,"!",$G$15,":",$G$15)),0))</f>
        <v>16</v>
      </c>
    </row>
    <row r="30" spans="3:38" x14ac:dyDescent="0.25">
      <c r="C30" s="100" t="s">
        <v>45</v>
      </c>
      <c r="D30" s="70"/>
      <c r="E30" s="73" t="s">
        <v>45</v>
      </c>
      <c r="F30" s="73" t="s">
        <v>45</v>
      </c>
      <c r="G30" s="73"/>
      <c r="H30" s="73"/>
      <c r="I30" s="73"/>
      <c r="J30" s="70"/>
      <c r="K30" s="80">
        <f>LOOKUP($K$15,CurveFetch!$D$8:$D$1000,CurveFetch!$G$8:$G$1000)</f>
        <v>1.79</v>
      </c>
      <c r="L30" s="62">
        <f>LOOKUP($K$15+1,CurveFetch!D$8:D$1000,CurveFetch!G$8:G$1000)</f>
        <v>1.96</v>
      </c>
      <c r="M30" s="62">
        <f>L30-$L$49</f>
        <v>-0.16500000000000004</v>
      </c>
      <c r="N30" s="128">
        <f>M30-'[7]Gas Average Basis'!M30</f>
        <v>2.0000000000000018E-2</v>
      </c>
      <c r="O30" s="62">
        <f>LOOKUP($K$15+2,CurveFetch!$D$8:$D$1000,CurveFetch!$G$8:$G$1000)</f>
        <v>1.93</v>
      </c>
      <c r="P30" s="62" t="e">
        <f t="shared" ca="1" si="0"/>
        <v>#NAME?</v>
      </c>
      <c r="Q30" s="128" t="e">
        <f ca="1">P30-'[7]Gas Average Basis'!P30</f>
        <v>#NAME?</v>
      </c>
      <c r="R30" s="62" t="e">
        <f ca="1">IF(R$22,AveragePrices($F$21,R$23,R$24,$AJ30:$AJ30),AveragePrices($F$15,R$23,R$24,$AL30:$AL30))</f>
        <v>#NAME?</v>
      </c>
      <c r="S30" s="128" t="e">
        <f ca="1">R30-'[7]Gas Average Basis'!R30</f>
        <v>#NAME?</v>
      </c>
      <c r="T30" s="62" t="e">
        <f ca="1">IF(T$22,AveragePrices($F$21,T$23,T$24,$AJ30:$AJ30),AveragePrices($F$15,T$23,T$24,$AL30:$AL30))</f>
        <v>#NAME?</v>
      </c>
      <c r="U30" s="128" t="e">
        <f ca="1">T30-'[7]Gas Average Basis'!S30</f>
        <v>#NAME?</v>
      </c>
      <c r="V30" s="62" t="e">
        <f t="shared" ca="1" si="1"/>
        <v>#NAME?</v>
      </c>
      <c r="W30" s="128" t="e">
        <f ca="1">V30-'[7]Gas Average Basis'!V30</f>
        <v>#NAME?</v>
      </c>
      <c r="X30" s="62" t="e">
        <f ca="1">IF(X$22,AveragePrices($F$21,X$23,X$24,$AJ30:$AJ30),AveragePrices($F$15,X$23,X$24,$AL30:$AL30))</f>
        <v>#NAME?</v>
      </c>
      <c r="Y30" s="128" t="e">
        <f ca="1">X30-'[7]Gas Average Basis'!W30</f>
        <v>#NAME?</v>
      </c>
      <c r="Z30" s="62" t="e">
        <f ca="1">IF(Z$22,AveragePrices($F$21,Z$23,Z$24,$AJ30:$AJ30),AveragePrices($F$15,Z$23,Z$24,$AL30:$AL30))</f>
        <v>#NAME?</v>
      </c>
      <c r="AA30" s="128" t="e">
        <f ca="1">Z30-'[7]Gas Average Basis'!Y30</f>
        <v>#NAME?</v>
      </c>
      <c r="AB30" s="62" t="e">
        <f ca="1">IF(AB$22,AveragePrices($F$21,AB$23,AB$24,$AJ30:$AJ30),AveragePrices($F$15,AB$23,AB$24,$AL30:$AL30))</f>
        <v>#NAME?</v>
      </c>
      <c r="AC30" s="128" t="e">
        <f ca="1">AB30-'[7]Gas Average Basis'!AB30</f>
        <v>#NAME?</v>
      </c>
      <c r="AD30" s="62" t="e">
        <f ca="1">IF(AD$22,AveragePrices($F$21,AD$23,AD$24,$AJ30:$AJ30),AveragePrices($F$15,AD$23,AD$24,$AL30:$AL30))</f>
        <v>#NAME?</v>
      </c>
      <c r="AE30" s="128" t="e">
        <f ca="1">AD30-'[7]Gas Average Basis'!AC30</f>
        <v>#NAME?</v>
      </c>
      <c r="AF30" s="62" t="e">
        <f ca="1">IF(AF$22,AveragePrices($F$21,AF$23,AF$24,$AJ30:$AJ30),AveragePrices($F$15,AF$23,AF$24,$AL30:$AL30))</f>
        <v>#NAME?</v>
      </c>
      <c r="AG30" s="128" t="e">
        <f ca="1">AF30-'[7]Gas Average Basis'!AE30</f>
        <v>#NAME?</v>
      </c>
      <c r="AH30" s="62" t="e">
        <f ca="1">IF(AH$22,AveragePrices($F$21,AH$23,AH$24,$AJ30:$AJ30),AveragePrices($F$15,AH$23,AH$24,$AL30:$AL30))</f>
        <v>#NAME?</v>
      </c>
      <c r="AI30" s="92" t="e">
        <f ca="1">AH30-'[7]Gas Average Basis'!AH30</f>
        <v>#NAME?</v>
      </c>
      <c r="AJ30" s="49">
        <f ca="1">IF(E30="","",MATCH(E30,INDIRECT(CONCATENATE($F$21,"!",$G$21,":",$G$21)),0))</f>
        <v>7</v>
      </c>
      <c r="AL30" s="49">
        <f ca="1">IF(F30="","",MATCH(F30,INDIRECT(CONCATENATE($F$15,"!",$G$15,":",$G$15)),0))</f>
        <v>6</v>
      </c>
    </row>
    <row r="31" spans="3:38" ht="13.5" thickBot="1" x14ac:dyDescent="0.3">
      <c r="C31" s="100" t="s">
        <v>46</v>
      </c>
      <c r="D31" s="70"/>
      <c r="E31" s="73" t="s">
        <v>46</v>
      </c>
      <c r="F31" s="73" t="s">
        <v>46</v>
      </c>
      <c r="G31" s="73"/>
      <c r="H31" s="73"/>
      <c r="I31" s="73"/>
      <c r="J31" s="70"/>
      <c r="K31" s="80">
        <f>LOOKUP($K$15,CurveFetch!$D$8:$D$1000,CurveFetch!$H$8:$H$1000)</f>
        <v>1.9550000000000001</v>
      </c>
      <c r="L31" s="62">
        <f>LOOKUP($K$15+1,CurveFetch!D$8:D$1000,CurveFetch!H$8:H$1000)</f>
        <v>2.11</v>
      </c>
      <c r="M31" s="62">
        <f>L31-$L$49</f>
        <v>-1.5000000000000124E-2</v>
      </c>
      <c r="N31" s="128">
        <f>M31-'[7]Gas Average Basis'!M31</f>
        <v>1.4999999999999902E-2</v>
      </c>
      <c r="O31" s="62">
        <f>LOOKUP($K$15+2,CurveFetch!$D$8:$D$1000,CurveFetch!$H$8:$H$1000)</f>
        <v>2.09</v>
      </c>
      <c r="P31" s="62" t="e">
        <f t="shared" ca="1" si="0"/>
        <v>#NAME?</v>
      </c>
      <c r="Q31" s="128" t="e">
        <f ca="1">P31-'[7]Gas Average Basis'!P31</f>
        <v>#NAME?</v>
      </c>
      <c r="R31" s="62" t="e">
        <f ca="1">IF(R$22,AveragePrices($F$21,R$23,R$24,$AJ31:$AJ31),AveragePrices($F$15,R$23,R$24,$AL31:$AL31))</f>
        <v>#NAME?</v>
      </c>
      <c r="S31" s="128" t="e">
        <f ca="1">R31-'[7]Gas Average Basis'!R31</f>
        <v>#NAME?</v>
      </c>
      <c r="T31" s="62" t="e">
        <f ca="1">IF(T$22,AveragePrices($F$21,T$23,T$24,$AJ31:$AJ31),AveragePrices($F$15,T$23,T$24,$AL31:$AL31))</f>
        <v>#NAME?</v>
      </c>
      <c r="U31" s="128" t="e">
        <f ca="1">T31-'[7]Gas Average Basis'!S31</f>
        <v>#NAME?</v>
      </c>
      <c r="V31" s="62" t="e">
        <f t="shared" ca="1" si="1"/>
        <v>#NAME?</v>
      </c>
      <c r="W31" s="128" t="e">
        <f ca="1">V31-'[7]Gas Average Basis'!V31</f>
        <v>#NAME?</v>
      </c>
      <c r="X31" s="62" t="e">
        <f ca="1">IF(X$22,AveragePrices($F$21,X$23,X$24,$AJ31:$AJ31),AveragePrices($F$15,X$23,X$24,$AL31:$AL31))</f>
        <v>#NAME?</v>
      </c>
      <c r="Y31" s="128" t="e">
        <f ca="1">X31-'[7]Gas Average Basis'!W31</f>
        <v>#NAME?</v>
      </c>
      <c r="Z31" s="62" t="e">
        <f ca="1">IF(Z$22,AveragePrices($F$21,Z$23,Z$24,$AJ31:$AJ31),AveragePrices($F$15,Z$23,Z$24,$AL31:$AL31))</f>
        <v>#NAME?</v>
      </c>
      <c r="AA31" s="128" t="e">
        <f ca="1">Z31-'[7]Gas Average Basis'!Y31</f>
        <v>#NAME?</v>
      </c>
      <c r="AB31" s="62" t="e">
        <f ca="1">IF(AB$22,AveragePrices($F$21,AB$23,AB$24,$AJ31:$AJ31),AveragePrices($F$15,AB$23,AB$24,$AL31:$AL31))</f>
        <v>#NAME?</v>
      </c>
      <c r="AC31" s="128" t="e">
        <f ca="1">AB31-'[7]Gas Average Basis'!AB31</f>
        <v>#NAME?</v>
      </c>
      <c r="AD31" s="62" t="e">
        <f ca="1">IF(AD$22,AveragePrices($F$21,AD$23,AD$24,$AJ31:$AJ31),AveragePrices($F$15,AD$23,AD$24,$AL31:$AL31))</f>
        <v>#NAME?</v>
      </c>
      <c r="AE31" s="128" t="e">
        <f ca="1">AD31-'[7]Gas Average Basis'!AC31</f>
        <v>#NAME?</v>
      </c>
      <c r="AF31" s="62" t="e">
        <f ca="1">IF(AF$22,AveragePrices($F$21,AF$23,AF$24,$AJ31:$AJ31),AveragePrices($F$15,AF$23,AF$24,$AL31:$AL31))</f>
        <v>#NAME?</v>
      </c>
      <c r="AG31" s="128" t="e">
        <f ca="1">AF31-'[7]Gas Average Basis'!AE31</f>
        <v>#NAME?</v>
      </c>
      <c r="AH31" s="62" t="e">
        <f ca="1">IF(AH$22,AveragePrices($F$21,AH$23,AH$24,$AJ31:$AJ31),AveragePrices($F$15,AH$23,AH$24,$AL31:$AL31))</f>
        <v>#NAME?</v>
      </c>
      <c r="AI31" s="92" t="e">
        <f ca="1">AH31-'[7]Gas Average Basis'!AH31</f>
        <v>#NAME?</v>
      </c>
      <c r="AJ31" s="49">
        <f ca="1">IF(E31="","",MATCH(E31,INDIRECT(CONCATENATE($F$21,"!",$G$21,":",$G$21)),0))</f>
        <v>8</v>
      </c>
      <c r="AL31" s="49">
        <f ca="1">IF(F31="","",MATCH(F31,INDIRECT(CONCATENATE($F$15,"!",$G$15,":",$G$15)),0))</f>
        <v>7</v>
      </c>
    </row>
    <row r="32" spans="3:38" ht="14.25" customHeight="1" thickBot="1" x14ac:dyDescent="0.3">
      <c r="C32" s="218" t="s">
        <v>110</v>
      </c>
      <c r="D32" s="219"/>
      <c r="E32" s="219"/>
      <c r="F32" s="219"/>
      <c r="G32" s="219"/>
      <c r="H32" s="219"/>
      <c r="I32" s="219"/>
      <c r="J32" s="219"/>
      <c r="K32" s="219"/>
      <c r="L32" s="219"/>
      <c r="M32" s="219"/>
      <c r="N32" s="219"/>
      <c r="O32" s="219"/>
      <c r="P32" s="219"/>
      <c r="Q32" s="219"/>
      <c r="R32" s="219"/>
      <c r="S32" s="219"/>
      <c r="T32" s="219"/>
      <c r="U32" s="219"/>
      <c r="V32" s="219"/>
      <c r="W32" s="219"/>
      <c r="X32" s="219"/>
      <c r="Y32" s="219"/>
      <c r="Z32" s="219"/>
      <c r="AA32" s="219"/>
      <c r="AB32" s="219"/>
      <c r="AC32" s="219"/>
      <c r="AD32" s="219"/>
      <c r="AE32" s="219"/>
      <c r="AF32" s="219"/>
      <c r="AG32" s="219"/>
      <c r="AH32" s="219"/>
      <c r="AI32" s="221"/>
      <c r="AJ32" s="49"/>
      <c r="AL32" s="49"/>
    </row>
    <row r="33" spans="3:38" x14ac:dyDescent="0.25">
      <c r="C33" s="100" t="s">
        <v>50</v>
      </c>
      <c r="D33" s="70"/>
      <c r="E33" s="73" t="s">
        <v>47</v>
      </c>
      <c r="F33" s="73" t="s">
        <v>47</v>
      </c>
      <c r="G33" s="73"/>
      <c r="H33" s="73"/>
      <c r="I33" s="73"/>
      <c r="J33" s="70"/>
      <c r="K33" s="80">
        <f>LOOKUP($K$15,CurveFetch!$D$8:$D$1000,CurveFetch!$K$8:$K$1000)</f>
        <v>1.69</v>
      </c>
      <c r="L33" s="62">
        <f>LOOKUP($K$15+1,CurveFetch!D$8:D$1000,CurveFetch!K$8:K$1000)</f>
        <v>1.82</v>
      </c>
      <c r="M33" s="62">
        <f>L33-$L$49</f>
        <v>-0.30499999999999994</v>
      </c>
      <c r="N33" s="128">
        <f>M33-'[7]Gas Average Basis'!M33</f>
        <v>-1.4999999999999902E-2</v>
      </c>
      <c r="O33" s="62">
        <f>LOOKUP($K$15+2,CurveFetch!$D$8:$D$1000,CurveFetch!$K$8:$K$1000)</f>
        <v>1.84</v>
      </c>
      <c r="P33" s="62" t="e">
        <f t="shared" ca="1" si="0"/>
        <v>#NAME?</v>
      </c>
      <c r="Q33" s="128" t="e">
        <f ca="1">P33-'[7]Gas Average Basis'!P33</f>
        <v>#NAME?</v>
      </c>
      <c r="R33" s="62" t="e">
        <f ca="1">IF(R$22,AveragePrices($F$21,R$23,R$24,$AJ33:$AJ33),AveragePrices($F$15,R$23,R$24,$AL33:$AL33))</f>
        <v>#NAME?</v>
      </c>
      <c r="S33" s="128" t="e">
        <f ca="1">R33-'[7]Gas Average Basis'!R33</f>
        <v>#NAME?</v>
      </c>
      <c r="T33" s="62" t="e">
        <f ca="1">IF(T$22,AveragePrices($F$21,T$23,T$24,$AJ33:$AJ33),AveragePrices($F$15,T$23,T$24,$AL33:$AL33))</f>
        <v>#NAME?</v>
      </c>
      <c r="U33" s="128" t="e">
        <f ca="1">T33-'[7]Gas Average Basis'!S33</f>
        <v>#NAME?</v>
      </c>
      <c r="V33" s="62" t="e">
        <f t="shared" ca="1" si="1"/>
        <v>#NAME?</v>
      </c>
      <c r="W33" s="128" t="e">
        <f ca="1">V33-'[7]Gas Average Basis'!V33</f>
        <v>#NAME?</v>
      </c>
      <c r="X33" s="62" t="e">
        <f ca="1">IF(X$22,AveragePrices($F$21,X$23,X$24,$AJ33:$AJ33),AveragePrices($F$15,X$23,X$24,$AL33:$AL33))</f>
        <v>#NAME?</v>
      </c>
      <c r="Y33" s="128" t="e">
        <f ca="1">X33-'[7]Gas Average Basis'!W33</f>
        <v>#NAME?</v>
      </c>
      <c r="Z33" s="62" t="e">
        <f ca="1">IF(Z$22,AveragePrices($F$21,Z$23,Z$24,$AJ33:$AJ33),AveragePrices($F$15,Z$23,Z$24,$AL33:$AL33))</f>
        <v>#NAME?</v>
      </c>
      <c r="AA33" s="128" t="e">
        <f ca="1">Z33-'[7]Gas Average Basis'!Y33</f>
        <v>#NAME?</v>
      </c>
      <c r="AB33" s="62" t="e">
        <f ca="1">IF(AB$22,AveragePrices($F$21,AB$23,AB$24,$AJ33:$AJ33),AveragePrices($F$15,AB$23,AB$24,$AL33:$AL33))</f>
        <v>#NAME?</v>
      </c>
      <c r="AC33" s="128" t="e">
        <f ca="1">AB33-'[7]Gas Average Basis'!AB33</f>
        <v>#NAME?</v>
      </c>
      <c r="AD33" s="62" t="e">
        <f ca="1">IF(AD$22,AveragePrices($F$21,AD$23,AD$24,$AJ33:$AJ33),AveragePrices($F$15,AD$23,AD$24,$AL33:$AL33))</f>
        <v>#NAME?</v>
      </c>
      <c r="AE33" s="128" t="e">
        <f ca="1">AD33-'[7]Gas Average Basis'!AC33</f>
        <v>#NAME?</v>
      </c>
      <c r="AF33" s="62" t="e">
        <f ca="1">IF(AF$22,AveragePrices($F$21,AF$23,AF$24,$AJ33:$AJ33),AveragePrices($F$15,AF$23,AF$24,$AL33:$AL33))</f>
        <v>#NAME?</v>
      </c>
      <c r="AG33" s="128" t="e">
        <f ca="1">AF33-'[7]Gas Average Basis'!AE33</f>
        <v>#NAME?</v>
      </c>
      <c r="AH33" s="62" t="e">
        <f ca="1">IF(AH$22,AveragePrices($F$21,AH$23,AH$24,$AJ33:$AJ33),AveragePrices($F$15,AH$23,AH$24,$AL33:$AL33))</f>
        <v>#NAME?</v>
      </c>
      <c r="AI33" s="92" t="e">
        <f ca="1">AH33-'[7]Gas Average Basis'!AH33</f>
        <v>#NAME?</v>
      </c>
      <c r="AJ33" s="49">
        <f ca="1">IF(E33="","",MATCH(E33,INDIRECT(CONCATENATE($F$21,"!",$G$21,":",$G$21)),0))</f>
        <v>11</v>
      </c>
      <c r="AL33" s="49">
        <f t="shared" ref="AL33:AL40" ca="1" si="2">IF(F33="","",MATCH(F33,INDIRECT(CONCATENATE($F$15,"!",$G$15,":",$G$15)),0))</f>
        <v>10</v>
      </c>
    </row>
    <row r="34" spans="3:38" x14ac:dyDescent="0.25">
      <c r="C34" s="100" t="s">
        <v>106</v>
      </c>
      <c r="D34" s="70"/>
      <c r="E34" s="73" t="s">
        <v>107</v>
      </c>
      <c r="F34" s="73" t="s">
        <v>107</v>
      </c>
      <c r="G34" s="73"/>
      <c r="H34" s="73"/>
      <c r="I34" s="73"/>
      <c r="J34" s="70"/>
      <c r="K34" s="80">
        <f>LOOKUP($K$15,CurveFetch!$D$8:$D$1000,CurveFetch!$R$8:$R$1000)</f>
        <v>1.8</v>
      </c>
      <c r="L34" s="62">
        <f>LOOKUP($K$15+1,CurveFetch!D$8:D$1000,CurveFetch!R$8:R$1000)</f>
        <v>1.95</v>
      </c>
      <c r="M34" s="62">
        <f>L34-$L$49</f>
        <v>-0.17500000000000004</v>
      </c>
      <c r="N34" s="128">
        <f>M34-'[7]Gas Average Basis'!M34</f>
        <v>0</v>
      </c>
      <c r="O34" s="62">
        <f>LOOKUP($K$15+2,CurveFetch!$D$8:$D$1000,CurveFetch!$R$8:$R$1000)</f>
        <v>1.9475</v>
      </c>
      <c r="P34" s="62" t="e">
        <f t="shared" ca="1" si="0"/>
        <v>#NAME?</v>
      </c>
      <c r="Q34" s="128" t="e">
        <f ca="1">P34-'[7]Gas Average Basis'!P34</f>
        <v>#NAME?</v>
      </c>
      <c r="R34" s="62" t="e">
        <f ca="1">IF(R$22,AveragePrices($F$21,R$23,R$24,$AJ34:$AJ34),AveragePrices($F$15,R$23,R$24,$AL34:$AL34))</f>
        <v>#NAME?</v>
      </c>
      <c r="S34" s="128" t="e">
        <f ca="1">R34-'[7]Gas Average Basis'!R34</f>
        <v>#NAME?</v>
      </c>
      <c r="T34" s="62" t="e">
        <f ca="1">IF(T$22,AveragePrices($F$21,T$23,T$24,$AJ34:$AJ34),AveragePrices($F$15,T$23,T$24,$AL34:$AL34))</f>
        <v>#NAME?</v>
      </c>
      <c r="U34" s="128" t="e">
        <f ca="1">T34-'[7]Gas Average Basis'!S34</f>
        <v>#NAME?</v>
      </c>
      <c r="V34" s="62" t="e">
        <f t="shared" ca="1" si="1"/>
        <v>#NAME?</v>
      </c>
      <c r="W34" s="128" t="e">
        <f ca="1">V34-'[7]Gas Average Basis'!V34</f>
        <v>#NAME?</v>
      </c>
      <c r="X34" s="62" t="e">
        <f ca="1">IF(X$22,AveragePrices($F$21,X$23,X$24,$AJ34:$AJ34),AveragePrices($F$15,X$23,X$24,$AL34:$AL34))</f>
        <v>#NAME?</v>
      </c>
      <c r="Y34" s="128" t="e">
        <f ca="1">X34-'[7]Gas Average Basis'!W34</f>
        <v>#NAME?</v>
      </c>
      <c r="Z34" s="62" t="e">
        <f ca="1">IF(Z$22,AveragePrices($F$21,Z$23,Z$24,$AJ34:$AJ34),AveragePrices($F$15,Z$23,Z$24,$AL34:$AL34))</f>
        <v>#NAME?</v>
      </c>
      <c r="AA34" s="128" t="e">
        <f ca="1">Z34-'[7]Gas Average Basis'!Y34</f>
        <v>#NAME?</v>
      </c>
      <c r="AB34" s="62" t="e">
        <f ca="1">IF(AB$22,AveragePrices($F$21,AB$23,AB$24,$AJ34:$AJ34),AveragePrices($F$15,AB$23,AB$24,$AL34:$AL34))</f>
        <v>#NAME?</v>
      </c>
      <c r="AC34" s="128" t="e">
        <f ca="1">AB34-'[7]Gas Average Basis'!AB34</f>
        <v>#NAME?</v>
      </c>
      <c r="AD34" s="62" t="e">
        <f ca="1">IF(AD$22,AveragePrices($F$21,AD$23,AD$24,$AJ34:$AJ34),AveragePrices($F$15,AD$23,AD$24,$AL34:$AL34))</f>
        <v>#NAME?</v>
      </c>
      <c r="AE34" s="128" t="e">
        <f ca="1">AD34-'[7]Gas Average Basis'!AC34</f>
        <v>#NAME?</v>
      </c>
      <c r="AF34" s="62" t="e">
        <f ca="1">IF(AF$22,AveragePrices($F$21,AF$23,AF$24,$AJ34:$AJ34),AveragePrices($F$15,AF$23,AF$24,$AL34:$AL34))</f>
        <v>#NAME?</v>
      </c>
      <c r="AG34" s="128" t="e">
        <f ca="1">AF34-'[7]Gas Average Basis'!AE34</f>
        <v>#NAME?</v>
      </c>
      <c r="AH34" s="62" t="e">
        <f ca="1">IF(AH$22,AveragePrices($F$21,AH$23,AH$24,$AJ34:$AJ34),AveragePrices($F$15,AH$23,AH$24,$AL34:$AL34))</f>
        <v>#NAME?</v>
      </c>
      <c r="AI34" s="92" t="e">
        <f ca="1">AH34-'[7]Gas Average Basis'!AH34</f>
        <v>#NAME?</v>
      </c>
      <c r="AJ34" s="49">
        <f ca="1">IF(E34="","",MATCH(E34,INDIRECT(CONCATENATE($F$21,"!",$G$21,":",$G$21)),0))</f>
        <v>18</v>
      </c>
      <c r="AL34" s="49">
        <f t="shared" ca="1" si="2"/>
        <v>17</v>
      </c>
    </row>
    <row r="35" spans="3:38" x14ac:dyDescent="0.25">
      <c r="C35" s="100" t="s">
        <v>89</v>
      </c>
      <c r="D35" s="70"/>
      <c r="E35" s="73" t="s">
        <v>90</v>
      </c>
      <c r="F35" s="73" t="s">
        <v>90</v>
      </c>
      <c r="G35" s="73"/>
      <c r="H35" s="73"/>
      <c r="I35" s="73"/>
      <c r="J35" s="70"/>
      <c r="K35" s="80">
        <f>LOOKUP($K$15,CurveFetch!$D$8:$D$1000,CurveFetch!$L$8:$L$1000)</f>
        <v>1.81</v>
      </c>
      <c r="L35" s="62">
        <f>LOOKUP($K$15+1,CurveFetch!D$8:D$1000,CurveFetch!L$8:L$1000)</f>
        <v>1.99</v>
      </c>
      <c r="M35" s="62">
        <f>L35-$L$49</f>
        <v>-0.13500000000000001</v>
      </c>
      <c r="N35" s="128">
        <f>M35-'[7]Gas Average Basis'!M35</f>
        <v>5.0000000000001155E-3</v>
      </c>
      <c r="O35" s="62">
        <f>LOOKUP($K$15+2,CurveFetch!$D$8:$D$1000,CurveFetch!$L$8:$L$1000)</f>
        <v>1.96</v>
      </c>
      <c r="P35" s="62" t="e">
        <f t="shared" ca="1" si="0"/>
        <v>#NAME?</v>
      </c>
      <c r="Q35" s="128" t="e">
        <f ca="1">P35-'[7]Gas Average Basis'!P35</f>
        <v>#NAME?</v>
      </c>
      <c r="R35" s="62" t="e">
        <f ca="1">IF(R$22,AveragePrices($F$21,R$23,R$24,$AJ35:$AJ35),AveragePrices($F$15,R$23,R$24,$AL35:$AL35))</f>
        <v>#NAME?</v>
      </c>
      <c r="S35" s="128" t="e">
        <f ca="1">R35-'[7]Gas Average Basis'!R35</f>
        <v>#NAME?</v>
      </c>
      <c r="T35" s="62" t="e">
        <f ca="1">IF(T$22,AveragePrices($F$21,T$23,T$24,$AJ35:$AJ35),AveragePrices($F$15,T$23,T$24,$AL35:$AL35))</f>
        <v>#NAME?</v>
      </c>
      <c r="U35" s="128" t="e">
        <f ca="1">T35-'[7]Gas Average Basis'!S35</f>
        <v>#NAME?</v>
      </c>
      <c r="V35" s="62" t="e">
        <f t="shared" ca="1" si="1"/>
        <v>#NAME?</v>
      </c>
      <c r="W35" s="128" t="e">
        <f ca="1">V35-'[7]Gas Average Basis'!V35</f>
        <v>#NAME?</v>
      </c>
      <c r="X35" s="62" t="e">
        <f ca="1">IF(X$22,AveragePrices($F$21,X$23,X$24,$AJ35:$AJ35),AveragePrices($F$15,X$23,X$24,$AL35:$AL35))</f>
        <v>#NAME?</v>
      </c>
      <c r="Y35" s="128" t="e">
        <f ca="1">X35-'[7]Gas Average Basis'!W35</f>
        <v>#NAME?</v>
      </c>
      <c r="Z35" s="62" t="e">
        <f ca="1">IF(Z$22,AveragePrices($F$21,Z$23,Z$24,$AJ35:$AJ35),AveragePrices($F$15,Z$23,Z$24,$AL35:$AL35))</f>
        <v>#NAME?</v>
      </c>
      <c r="AA35" s="128" t="e">
        <f ca="1">Z35-'[7]Gas Average Basis'!Y35</f>
        <v>#NAME?</v>
      </c>
      <c r="AB35" s="62" t="e">
        <f ca="1">IF(AB$22,AveragePrices($F$21,AB$23,AB$24,$AJ35:$AJ35),AveragePrices($F$15,AB$23,AB$24,$AL35:$AL35))</f>
        <v>#NAME?</v>
      </c>
      <c r="AC35" s="128" t="e">
        <f ca="1">AB35-'[7]Gas Average Basis'!AB35</f>
        <v>#NAME?</v>
      </c>
      <c r="AD35" s="62" t="e">
        <f ca="1">IF(AD$22,AveragePrices($F$21,AD$23,AD$24,$AJ35:$AJ35),AveragePrices($F$15,AD$23,AD$24,$AL35:$AL35))</f>
        <v>#NAME?</v>
      </c>
      <c r="AE35" s="128" t="e">
        <f ca="1">AD35-'[7]Gas Average Basis'!AC35</f>
        <v>#NAME?</v>
      </c>
      <c r="AF35" s="62" t="e">
        <f ca="1">IF(AF$22,AveragePrices($F$21,AF$23,AF$24,$AJ35:$AJ35),AveragePrices($F$15,AF$23,AF$24,$AL35:$AL35))</f>
        <v>#NAME?</v>
      </c>
      <c r="AG35" s="128" t="e">
        <f ca="1">AF35-'[7]Gas Average Basis'!AE35</f>
        <v>#NAME?</v>
      </c>
      <c r="AH35" s="62" t="e">
        <f ca="1">IF(AH$22,AveragePrices($F$21,AH$23,AH$24,$AJ35:$AJ35),AveragePrices($F$15,AH$23,AH$24,$AL35:$AL35))</f>
        <v>#NAME?</v>
      </c>
      <c r="AI35" s="92" t="e">
        <f ca="1">AH35-'[7]Gas Average Basis'!AH35</f>
        <v>#NAME?</v>
      </c>
      <c r="AJ35" s="49">
        <f ca="1">IF(E35="","",MATCH(E35,INDIRECT(CONCATENATE($F$21,"!",$G$21,":",$G$21)),0))</f>
        <v>12</v>
      </c>
      <c r="AL35" s="49">
        <f t="shared" ca="1" si="2"/>
        <v>11</v>
      </c>
    </row>
    <row r="36" spans="3:38" ht="13.5" thickBot="1" x14ac:dyDescent="0.3">
      <c r="C36" s="100" t="s">
        <v>99</v>
      </c>
      <c r="D36" s="70"/>
      <c r="E36" s="50" t="s">
        <v>0</v>
      </c>
      <c r="F36" s="73" t="s">
        <v>0</v>
      </c>
      <c r="G36" s="73"/>
      <c r="H36" s="73"/>
      <c r="I36" s="73"/>
      <c r="J36" s="70"/>
      <c r="K36" s="80">
        <f>LOOKUP($K$15,CurveFetch!$D$8:$D$1000,CurveFetch!$P$8:$P$1000)</f>
        <v>1.855</v>
      </c>
      <c r="L36" s="62">
        <f>LOOKUP($K$15+1,CurveFetch!D$8:D$1000,CurveFetch!P$8:P$1000)</f>
        <v>2</v>
      </c>
      <c r="M36" s="62">
        <f>L36-$L$49</f>
        <v>-0.125</v>
      </c>
      <c r="N36" s="128">
        <f>M36-'[7]Gas Average Basis'!M36</f>
        <v>-0.16500000000000004</v>
      </c>
      <c r="O36" s="62">
        <f>LOOKUP($K$15+2,CurveFetch!$D$8:$D$1000,CurveFetch!$P$8:$P$1000)</f>
        <v>2</v>
      </c>
      <c r="P36" s="62" t="e">
        <f t="shared" ca="1" si="0"/>
        <v>#NAME?</v>
      </c>
      <c r="Q36" s="128" t="e">
        <f ca="1">P36-'[7]Gas Average Basis'!P36</f>
        <v>#NAME?</v>
      </c>
      <c r="R36" s="62" t="e">
        <f ca="1">IF(R$22,AveragePrices($F$21,R$23,R$24,$AJ36:$AJ36),AveragePrices($F$15,R$23,R$24,$AL36:$AL36))</f>
        <v>#NAME?</v>
      </c>
      <c r="S36" s="128" t="e">
        <f ca="1">R36-'[7]Gas Average Basis'!R36</f>
        <v>#NAME?</v>
      </c>
      <c r="T36" s="62" t="e">
        <f ca="1">IF(T$22,AveragePrices($F$21,T$23,T$24,$AJ36:$AJ36),AveragePrices($F$15,T$23,T$24,$AL36:$AL36))</f>
        <v>#NAME?</v>
      </c>
      <c r="U36" s="128" t="e">
        <f ca="1">T36-'[7]Gas Average Basis'!S36</f>
        <v>#NAME?</v>
      </c>
      <c r="V36" s="62" t="e">
        <f t="shared" ca="1" si="1"/>
        <v>#NAME?</v>
      </c>
      <c r="W36" s="128" t="e">
        <f ca="1">V36-'[7]Gas Average Basis'!V36</f>
        <v>#NAME?</v>
      </c>
      <c r="X36" s="62" t="e">
        <f ca="1">IF(X$22,AveragePrices($F$21,X$23,X$24,$AJ36:$AJ36),AveragePrices($F$15,X$23,X$24,$AL36:$AL36))</f>
        <v>#NAME?</v>
      </c>
      <c r="Y36" s="128" t="e">
        <f ca="1">X36-'[7]Gas Average Basis'!W36</f>
        <v>#NAME?</v>
      </c>
      <c r="Z36" s="62" t="e">
        <f ca="1">IF(Z$22,AveragePrices($F$21,Z$23,Z$24,$AJ36:$AJ36),AveragePrices($F$15,Z$23,Z$24,$AL36:$AL36))</f>
        <v>#NAME?</v>
      </c>
      <c r="AA36" s="128" t="e">
        <f ca="1">Z36-'[7]Gas Average Basis'!Y36</f>
        <v>#NAME?</v>
      </c>
      <c r="AB36" s="62" t="e">
        <f ca="1">IF(AB$22,AveragePrices($F$21,AB$23,AB$24,$AJ36:$AJ36),AveragePrices($F$15,AB$23,AB$24,$AL36:$AL36))</f>
        <v>#NAME?</v>
      </c>
      <c r="AC36" s="128" t="e">
        <f ca="1">AB36-'[7]Gas Average Basis'!AB36</f>
        <v>#NAME?</v>
      </c>
      <c r="AD36" s="62" t="e">
        <f ca="1">IF(AD$22,AveragePrices($F$21,AD$23,AD$24,$AJ36:$AJ36),AveragePrices($F$15,AD$23,AD$24,$AL36:$AL36))</f>
        <v>#NAME?</v>
      </c>
      <c r="AE36" s="128" t="e">
        <f ca="1">AD36-'[7]Gas Average Basis'!AC36</f>
        <v>#NAME?</v>
      </c>
      <c r="AF36" s="62" t="e">
        <f ca="1">IF(AF$22,AveragePrices($F$21,AF$23,AF$24,$AJ36:$AJ36),AveragePrices($F$15,AF$23,AF$24,$AL36:$AL36))</f>
        <v>#NAME?</v>
      </c>
      <c r="AG36" s="128" t="e">
        <f ca="1">AF36-'[7]Gas Average Basis'!AE36</f>
        <v>#NAME?</v>
      </c>
      <c r="AH36" s="62" t="e">
        <f ca="1">IF(AH$22,AveragePrices($F$21,AH$23,AH$24,$AJ36:$AJ36),AveragePrices($F$15,AH$23,AH$24,$AL36:$AL36))</f>
        <v>#NAME?</v>
      </c>
      <c r="AI36" s="92" t="e">
        <f ca="1">AH36-'[7]Gas Average Basis'!AH36</f>
        <v>#NAME?</v>
      </c>
      <c r="AJ36" s="49">
        <f ca="1">IF(E36="","",MATCH(E36,INDIRECT(CONCATENATE($F$21,"!",$G$21,":",$G$21)),0))</f>
        <v>16</v>
      </c>
      <c r="AL36" s="49">
        <f t="shared" ca="1" si="2"/>
        <v>15</v>
      </c>
    </row>
    <row r="37" spans="3:38" ht="13.5" hidden="1" thickBot="1" x14ac:dyDescent="0.3">
      <c r="C37" s="100"/>
      <c r="D37" s="70"/>
      <c r="E37" s="73"/>
      <c r="F37" s="73"/>
      <c r="G37" s="73"/>
      <c r="H37" s="73"/>
      <c r="I37" s="73"/>
      <c r="J37" s="70"/>
      <c r="K37" s="80"/>
      <c r="L37" s="62"/>
      <c r="M37" s="62"/>
      <c r="N37" s="92"/>
      <c r="O37" s="92"/>
      <c r="P37" s="62"/>
      <c r="Q37" s="92"/>
      <c r="R37" s="62"/>
      <c r="S37" s="92"/>
      <c r="T37" s="92"/>
      <c r="U37" s="92"/>
      <c r="V37" s="62"/>
      <c r="W37" s="92"/>
      <c r="X37" s="92"/>
      <c r="Y37" s="92"/>
      <c r="Z37" s="92"/>
      <c r="AA37" s="92"/>
      <c r="AB37" s="62"/>
      <c r="AC37" s="92"/>
      <c r="AD37" s="92"/>
      <c r="AE37" s="92"/>
      <c r="AF37" s="62"/>
      <c r="AG37" s="92"/>
      <c r="AH37" s="62"/>
      <c r="AI37" s="92"/>
      <c r="AJ37" s="49"/>
      <c r="AL37" s="49" t="str">
        <f t="shared" ca="1" si="2"/>
        <v/>
      </c>
    </row>
    <row r="38" spans="3:38" ht="14.25" customHeight="1" thickBot="1" x14ac:dyDescent="0.3">
      <c r="C38" s="218" t="s">
        <v>109</v>
      </c>
      <c r="D38" s="219"/>
      <c r="E38" s="219"/>
      <c r="F38" s="219"/>
      <c r="G38" s="219"/>
      <c r="H38" s="219"/>
      <c r="I38" s="219"/>
      <c r="J38" s="219"/>
      <c r="K38" s="219"/>
      <c r="L38" s="219"/>
      <c r="M38" s="219"/>
      <c r="N38" s="219"/>
      <c r="O38" s="219"/>
      <c r="P38" s="219"/>
      <c r="Q38" s="219"/>
      <c r="R38" s="219"/>
      <c r="S38" s="219"/>
      <c r="T38" s="219"/>
      <c r="U38" s="219"/>
      <c r="V38" s="219"/>
      <c r="W38" s="219"/>
      <c r="X38" s="219"/>
      <c r="Y38" s="219"/>
      <c r="Z38" s="219"/>
      <c r="AA38" s="219"/>
      <c r="AB38" s="219"/>
      <c r="AC38" s="219"/>
      <c r="AD38" s="219"/>
      <c r="AE38" s="219"/>
      <c r="AF38" s="219"/>
      <c r="AG38" s="219"/>
      <c r="AH38" s="219"/>
      <c r="AI38" s="221"/>
      <c r="AJ38" s="49" t="str">
        <f t="shared" ref="AJ38:AJ43" ca="1" si="3">IF(E38="","",MATCH(E38,INDIRECT(CONCATENATE($F$21,"!",$G$21,":",$G$21)),0))</f>
        <v/>
      </c>
      <c r="AL38" s="49" t="str">
        <f t="shared" ca="1" si="2"/>
        <v/>
      </c>
    </row>
    <row r="39" spans="3:38" ht="13.5" customHeight="1" x14ac:dyDescent="0.25">
      <c r="C39" s="100" t="s">
        <v>101</v>
      </c>
      <c r="D39" s="70"/>
      <c r="E39" s="73" t="s">
        <v>55</v>
      </c>
      <c r="F39" s="73" t="s">
        <v>55</v>
      </c>
      <c r="G39" s="73"/>
      <c r="H39" s="73"/>
      <c r="I39" s="73"/>
      <c r="J39" s="80"/>
      <c r="K39" s="80">
        <f>LOOKUP($K$15,CurveFetch!$D$8:$D$1000,CurveFetch!$I$8:$I$1000)</f>
        <v>1.54</v>
      </c>
      <c r="L39" s="62">
        <f>LOOKUP($K$15+1,CurveFetch!D$8:D$1000,CurveFetch!I$8:I$1000)</f>
        <v>1.71</v>
      </c>
      <c r="M39" s="62">
        <f>L39-$L$49</f>
        <v>-0.41500000000000004</v>
      </c>
      <c r="N39" s="128">
        <f>M39-'[7]Gas Average Basis'!M39</f>
        <v>1.0000000000000009E-2</v>
      </c>
      <c r="O39" s="62">
        <f>LOOKUP($K$15+2,CurveFetch!$D$8:$D$1000,CurveFetch!$I$8:$I$1000)</f>
        <v>1.75</v>
      </c>
      <c r="P39" s="62" t="e">
        <f ca="1">IF(P$22,AveragePrices($F$21,P$23,P$24,$AJ39:$AJ39)-INDIRECT(ADDRESS(P$23,$G$23,,,$F$21)),AveragePrices($F$15,P$23,P$24,$AL39:$AL39))</f>
        <v>#NAME?</v>
      </c>
      <c r="Q39" s="128" t="e">
        <f ca="1">P39-'[7]Gas Average Basis'!P39</f>
        <v>#NAME?</v>
      </c>
      <c r="R39" s="62" t="e">
        <f ca="1">IF(R$22,AveragePrices($F$21,R$23,R$24,$AJ39:$AJ39),AveragePrices($F$15,R$23,R$24,$AL39:$AL39))</f>
        <v>#NAME?</v>
      </c>
      <c r="S39" s="128" t="e">
        <f ca="1">R39-'[7]Gas Average Basis'!R39</f>
        <v>#NAME?</v>
      </c>
      <c r="T39" s="62" t="e">
        <f ca="1">IF(T$22,AveragePrices($F$21,T$23,T$24,$AJ39:$AJ39),AveragePrices($F$15,T$23,T$24,$AL39:$AL39))</f>
        <v>#NAME?</v>
      </c>
      <c r="U39" s="128" t="e">
        <f ca="1">T39-'[7]Gas Average Basis'!S39</f>
        <v>#NAME?</v>
      </c>
      <c r="V39" s="62" t="e">
        <f ca="1">IF(V$22,AveragePrices($F$21,V$23,V$24,$AJ39:$AJ39),AveragePrices($F$15,V$23,V$24,$AL39:$AL39))</f>
        <v>#NAME?</v>
      </c>
      <c r="W39" s="128" t="e">
        <f ca="1">V39-'[7]Gas Average Basis'!V39</f>
        <v>#NAME?</v>
      </c>
      <c r="X39" s="62" t="e">
        <f ca="1">IF(X$22,AveragePrices($F$21,X$23,X$24,$AJ39:$AJ39),AveragePrices($F$15,X$23,X$24,$AL39:$AL39))</f>
        <v>#NAME?</v>
      </c>
      <c r="Y39" s="128" t="e">
        <f ca="1">X39-'[7]Gas Average Basis'!W39</f>
        <v>#NAME?</v>
      </c>
      <c r="Z39" s="62" t="e">
        <f ca="1">IF(Z$22,AveragePrices($F$21,Z$23,Z$24,$AJ39:$AJ39),AveragePrices($F$15,Z$23,Z$24,$AL39:$AL39))</f>
        <v>#NAME?</v>
      </c>
      <c r="AA39" s="128" t="e">
        <f ca="1">Z39-'[7]Gas Average Basis'!Y39</f>
        <v>#NAME?</v>
      </c>
      <c r="AB39" s="62" t="e">
        <f ca="1">IF(AB$22,AveragePrices($F$21,AB$23,AB$24,$AJ39:$AJ39),AveragePrices($F$15,AB$23,AB$24,$AL39:$AL39))</f>
        <v>#NAME?</v>
      </c>
      <c r="AC39" s="128" t="e">
        <f ca="1">AB39-'[7]Gas Average Basis'!AB39</f>
        <v>#NAME?</v>
      </c>
      <c r="AD39" s="62" t="e">
        <f ca="1">IF(AD$22,AveragePrices($F$21,AD$23,AD$24,$AJ39:$AJ39),AveragePrices($F$15,AD$23,AD$24,$AL39:$AL39))</f>
        <v>#NAME?</v>
      </c>
      <c r="AE39" s="128" t="e">
        <f ca="1">AD39-'[7]Gas Average Basis'!AC39</f>
        <v>#NAME?</v>
      </c>
      <c r="AF39" s="62" t="e">
        <f ca="1">IF(AF$22,AveragePrices($F$21,AF$23,AF$24,$AJ39:$AJ39),AveragePrices($F$15,AF$23,AF$24,$AL39:$AL39))</f>
        <v>#NAME?</v>
      </c>
      <c r="AG39" s="128" t="e">
        <f ca="1">AF39-'[7]Gas Average Basis'!AE39</f>
        <v>#NAME?</v>
      </c>
      <c r="AH39" s="62" t="e">
        <f ca="1">IF(AH$22,AveragePrices($F$21,AH$23,AH$24,$AJ39:$AJ39),AveragePrices($F$15,AH$23,AH$24,$AL39:$AL39))</f>
        <v>#NAME?</v>
      </c>
      <c r="AI39" s="92" t="e">
        <f ca="1">AH39-'[7]Gas Average Basis'!AH39</f>
        <v>#NAME?</v>
      </c>
      <c r="AJ39" s="49">
        <f t="shared" ca="1" si="3"/>
        <v>9</v>
      </c>
      <c r="AL39" s="49">
        <f t="shared" ca="1" si="2"/>
        <v>8</v>
      </c>
    </row>
    <row r="40" spans="3:38" ht="13.5" customHeight="1" x14ac:dyDescent="0.25">
      <c r="C40" s="100" t="s">
        <v>102</v>
      </c>
      <c r="D40" s="70"/>
      <c r="E40" s="73" t="s">
        <v>103</v>
      </c>
      <c r="F40" s="73" t="s">
        <v>103</v>
      </c>
      <c r="G40" s="73"/>
      <c r="H40" s="73"/>
      <c r="I40" s="73"/>
      <c r="J40" s="80"/>
      <c r="K40" s="80">
        <f>LOOKUP($K$15,CurveFetch!$D$8:$D$1000,CurveFetch!$M$8:$M$1000)</f>
        <v>1.62</v>
      </c>
      <c r="L40" s="62">
        <f>LOOKUP($K$15+1,CurveFetch!D$8:D$1000,CurveFetch!M$8:M$1000)</f>
        <v>1.8</v>
      </c>
      <c r="M40" s="62">
        <f>L40-$L$49</f>
        <v>-0.32499999999999996</v>
      </c>
      <c r="N40" s="128">
        <f>M40-'[7]Gas Average Basis'!M40</f>
        <v>4.0000000000000036E-2</v>
      </c>
      <c r="O40" s="62">
        <f>LOOKUP($K$15+2,CurveFetch!$D$8:$D$1000,CurveFetch!$M$8:$M$1000)</f>
        <v>1.79</v>
      </c>
      <c r="P40" s="62" t="e">
        <f ca="1">IF(P$22,AveragePrices($F$21,P$23,P$24,$AJ40:$AJ40)-INDIRECT(ADDRESS(P$23,$G$23,,,$F$21)),AveragePrices($F$15,P$23,P$24,$AL40:$AL40))</f>
        <v>#NAME?</v>
      </c>
      <c r="Q40" s="128" t="e">
        <f ca="1">P40-'[7]Gas Average Basis'!P40</f>
        <v>#NAME?</v>
      </c>
      <c r="R40" s="62" t="e">
        <f ca="1">IF(R$22,AveragePrices($F$21,R$23,R$24,$AJ40:$AJ40),AveragePrices($F$15,R$23,R$24,$AL40:$AL40))</f>
        <v>#NAME?</v>
      </c>
      <c r="S40" s="128" t="e">
        <f ca="1">R40-'[7]Gas Average Basis'!R40</f>
        <v>#NAME?</v>
      </c>
      <c r="T40" s="62" t="e">
        <f ca="1">IF(T$22,AveragePrices($F$21,T$23,T$24,$AJ40:$AJ40),AveragePrices($F$15,T$23,T$24,$AL40:$AL40))</f>
        <v>#NAME?</v>
      </c>
      <c r="U40" s="128" t="e">
        <f ca="1">T40-'[7]Gas Average Basis'!S40</f>
        <v>#NAME?</v>
      </c>
      <c r="V40" s="62" t="e">
        <f ca="1">IF(V$22,AveragePrices($F$21,V$23,V$24,$AJ40:$AJ40),AveragePrices($F$15,V$23,V$24,$AL40:$AL40))</f>
        <v>#NAME?</v>
      </c>
      <c r="W40" s="128" t="e">
        <f ca="1">V40-'[7]Gas Average Basis'!V40</f>
        <v>#NAME?</v>
      </c>
      <c r="X40" s="62" t="e">
        <f ca="1">IF(X$22,AveragePrices($F$21,X$23,X$24,$AJ40:$AJ40),AveragePrices($F$15,X$23,X$24,$AL40:$AL40))</f>
        <v>#NAME?</v>
      </c>
      <c r="Y40" s="128" t="e">
        <f ca="1">X40-'[7]Gas Average Basis'!W40</f>
        <v>#NAME?</v>
      </c>
      <c r="Z40" s="62" t="e">
        <f ca="1">IF(Z$22,AveragePrices($F$21,Z$23,Z$24,$AJ40:$AJ40),AveragePrices($F$15,Z$23,Z$24,$AL40:$AL40))</f>
        <v>#NAME?</v>
      </c>
      <c r="AA40" s="128" t="e">
        <f ca="1">Z40-'[7]Gas Average Basis'!Y40</f>
        <v>#NAME?</v>
      </c>
      <c r="AB40" s="62" t="e">
        <f ca="1">IF(AB$22,AveragePrices($F$21,AB$23,AB$24,$AJ40:$AJ40),AveragePrices($F$15,AB$23,AB$24,$AL40:$AL40))</f>
        <v>#NAME?</v>
      </c>
      <c r="AC40" s="128" t="e">
        <f ca="1">AB40-'[7]Gas Average Basis'!AB40</f>
        <v>#NAME?</v>
      </c>
      <c r="AD40" s="62" t="e">
        <f ca="1">IF(AD$22,AveragePrices($F$21,AD$23,AD$24,$AJ40:$AJ40),AveragePrices($F$15,AD$23,AD$24,$AL40:$AL40))</f>
        <v>#NAME?</v>
      </c>
      <c r="AE40" s="128" t="e">
        <f ca="1">AD40-'[7]Gas Average Basis'!AC40</f>
        <v>#NAME?</v>
      </c>
      <c r="AF40" s="62" t="e">
        <f ca="1">IF(AF$22,AveragePrices($F$21,AF$23,AF$24,$AJ40:$AJ40),AveragePrices($F$15,AF$23,AF$24,$AL40:$AL40))</f>
        <v>#NAME?</v>
      </c>
      <c r="AG40" s="128" t="e">
        <f ca="1">AF40-'[7]Gas Average Basis'!AE40</f>
        <v>#NAME?</v>
      </c>
      <c r="AH40" s="62" t="e">
        <f ca="1">IF(AH$22,AveragePrices($F$21,AH$23,AH$24,$AJ40:$AJ40),AveragePrices($F$15,AH$23,AH$24,$AL40:$AL40))</f>
        <v>#NAME?</v>
      </c>
      <c r="AI40" s="92" t="e">
        <f ca="1">AH40-'[7]Gas Average Basis'!AH40</f>
        <v>#NAME?</v>
      </c>
      <c r="AJ40" s="49">
        <f t="shared" ca="1" si="3"/>
        <v>10</v>
      </c>
      <c r="AL40" s="49">
        <f t="shared" ca="1" si="2"/>
        <v>9</v>
      </c>
    </row>
    <row r="41" spans="3:38" ht="13.5" customHeight="1" x14ac:dyDescent="0.25">
      <c r="C41" s="100" t="s">
        <v>51</v>
      </c>
      <c r="D41" s="70"/>
      <c r="E41" s="73" t="s">
        <v>104</v>
      </c>
      <c r="F41" s="73" t="s">
        <v>56</v>
      </c>
      <c r="G41" s="73"/>
      <c r="H41" s="73"/>
      <c r="I41" s="73"/>
      <c r="J41" s="80"/>
      <c r="K41" s="80">
        <f>LOOKUP($K$15,CurveFetch!$D$8:$D$1000,CurveFetch!$M$8:$M$1000)</f>
        <v>1.62</v>
      </c>
      <c r="L41" s="62">
        <f>LOOKUP($K$15+1,CurveFetch!D$8:D$1000,CurveFetch!M$8:M$1000)</f>
        <v>1.8</v>
      </c>
      <c r="M41" s="62">
        <f>L41-$L$49</f>
        <v>-0.32499999999999996</v>
      </c>
      <c r="N41" s="128">
        <f>M41-'[7]Gas Average Basis'!M41</f>
        <v>4.0000000000000036E-2</v>
      </c>
      <c r="O41" s="62">
        <f>LOOKUP($K$15+2,CurveFetch!$D$8:$D$1000,CurveFetch!$M$8:$M$1000)</f>
        <v>1.79</v>
      </c>
      <c r="P41" s="62" t="e">
        <f ca="1">IF(P$22,AveragePrices($F$21,P$23,P$24,$AJ41:$AJ41)-INDIRECT(ADDRESS(P$23,$G$23,,,$F$21)),AveragePrices($F$15,P$23,P$24,$AL41:$AL41))</f>
        <v>#NAME?</v>
      </c>
      <c r="Q41" s="128" t="e">
        <f ca="1">P41-'[7]Gas Average Basis'!P41</f>
        <v>#NAME?</v>
      </c>
      <c r="R41" s="62" t="e">
        <f ca="1">IF(R$22,AveragePrices($F$21,R$23,R$24,$AJ41:$AJ41),AveragePrices($F$15,R$23,R$24,$AL41:$AL41))</f>
        <v>#NAME?</v>
      </c>
      <c r="S41" s="128" t="e">
        <f ca="1">R41-'[7]Gas Average Basis'!R41</f>
        <v>#NAME?</v>
      </c>
      <c r="T41" s="62" t="e">
        <f ca="1">IF(T$22,AveragePrices($F$21,T$23,T$24,$AJ41:$AJ41),AveragePrices($F$15,T$23,T$24,$AL41:$AL41))</f>
        <v>#NAME?</v>
      </c>
      <c r="U41" s="128" t="e">
        <f ca="1">T41-'[7]Gas Average Basis'!S41</f>
        <v>#NAME?</v>
      </c>
      <c r="V41" s="62" t="e">
        <f ca="1">IF(V$22,AveragePrices($F$21,V$23,V$24,$AJ41:$AJ41),AveragePrices($F$15,V$23,V$24,$AL41:$AL41))</f>
        <v>#NAME?</v>
      </c>
      <c r="W41" s="128" t="e">
        <f ca="1">V41-'[7]Gas Average Basis'!V41</f>
        <v>#NAME?</v>
      </c>
      <c r="X41" s="62" t="e">
        <f ca="1">IF(X$22,AveragePrices($F$21,X$23,X$24,$AJ41:$AJ41),AveragePrices($F$15,X$23,X$24,$AL41:$AL41))</f>
        <v>#NAME?</v>
      </c>
      <c r="Y41" s="128" t="e">
        <f ca="1">X41-'[7]Gas Average Basis'!W41</f>
        <v>#NAME?</v>
      </c>
      <c r="Z41" s="62" t="e">
        <f ca="1">IF(Z$22,AveragePrices($F$21,Z$23,Z$24,$AJ41:$AJ41),AveragePrices($F$15,Z$23,Z$24,$AL41:$AL41))</f>
        <v>#NAME?</v>
      </c>
      <c r="AA41" s="128" t="e">
        <f ca="1">Z41-'[7]Gas Average Basis'!Y41</f>
        <v>#NAME?</v>
      </c>
      <c r="AB41" s="62" t="e">
        <f ca="1">IF(AB$22,AveragePrices($F$21,AB$23,AB$24,$AJ41:$AJ41),AveragePrices($F$15,AB$23,AB$24,$AL41:$AL41))</f>
        <v>#NAME?</v>
      </c>
      <c r="AC41" s="128" t="e">
        <f ca="1">AB41-'[7]Gas Average Basis'!AB41</f>
        <v>#NAME?</v>
      </c>
      <c r="AD41" s="62" t="e">
        <f ca="1">IF(AD$22,AveragePrices($F$21,AD$23,AD$24,$AJ41:$AJ41),AveragePrices($F$15,AD$23,AD$24,$AL41:$AL41))</f>
        <v>#NAME?</v>
      </c>
      <c r="AE41" s="128" t="e">
        <f ca="1">AD41-'[7]Gas Average Basis'!AC41</f>
        <v>#NAME?</v>
      </c>
      <c r="AF41" s="62" t="e">
        <f ca="1">IF(AF$22,AveragePrices($F$21,AF$23,AF$24,$AJ41:$AJ41),AveragePrices($F$15,AF$23,AF$24,$AL41:$AL41))</f>
        <v>#NAME?</v>
      </c>
      <c r="AG41" s="128" t="e">
        <f ca="1">AF41-'[7]Gas Average Basis'!AE41</f>
        <v>#NAME?</v>
      </c>
      <c r="AH41" s="62" t="e">
        <f ca="1">IF(AH$22,AveragePrices($F$21,AH$23,AH$24,$AJ41:$AJ41),AveragePrices($F$15,AH$23,AH$24,$AL41:$AL41))</f>
        <v>#NAME?</v>
      </c>
      <c r="AI41" s="92" t="e">
        <f ca="1">AH41-'[7]Gas Average Basis'!AH41</f>
        <v>#NAME?</v>
      </c>
      <c r="AJ41" s="49">
        <f t="shared" ca="1" si="3"/>
        <v>13</v>
      </c>
      <c r="AL41" s="49">
        <f t="shared" ref="AL41:AL49" ca="1" si="4">IF(F41="","",MATCH(F41,INDIRECT(CONCATENATE($F$15,"!",$G$15,":",$G$15)),0))</f>
        <v>12</v>
      </c>
    </row>
    <row r="42" spans="3:38" x14ac:dyDescent="0.25">
      <c r="C42" s="100" t="s">
        <v>80</v>
      </c>
      <c r="D42" s="70"/>
      <c r="E42" s="50" t="s">
        <v>108</v>
      </c>
      <c r="F42" s="73" t="s">
        <v>54</v>
      </c>
      <c r="G42" s="73"/>
      <c r="H42" s="73"/>
      <c r="I42" s="73"/>
      <c r="J42" s="80"/>
      <c r="K42" s="80">
        <f>LOOKUP($K$15,CurveFetch!$D$8:$D$1000,CurveFetch!$N$8:$N$1000)</f>
        <v>1.5515000000000001</v>
      </c>
      <c r="L42" s="62">
        <f>LOOKUP($K$15+1,CurveFetch!D$8:D$1000,CurveFetch!N$8:N$1000)</f>
        <v>1.7970000000000002</v>
      </c>
      <c r="M42" s="62">
        <f>L42-$L$49</f>
        <v>-0.32799999999999985</v>
      </c>
      <c r="N42" s="128">
        <f>M42-'[7]Gas Average Basis'!M42</f>
        <v>6.2000000000000277E-2</v>
      </c>
      <c r="O42" s="62">
        <f>LOOKUP($K$15+2,CurveFetch!$D$8:$D$1000,CurveFetch!$N$8:$N$1000)</f>
        <v>1.7630000000000001</v>
      </c>
      <c r="P42" s="62" t="e">
        <f t="shared" ca="1" si="0"/>
        <v>#NAME?</v>
      </c>
      <c r="Q42" s="128" t="e">
        <f ca="1">P42-'[7]Gas Average Basis'!P42</f>
        <v>#NAME?</v>
      </c>
      <c r="R42" s="62" t="e">
        <f ca="1">IF(R$22,AveragePrices($F$21,R$23,R$24,$AJ42:$AJ42),AveragePrices($F$15,R$23,R$24,$AL42:$AL42))</f>
        <v>#NAME?</v>
      </c>
      <c r="S42" s="128" t="e">
        <f ca="1">R42-'[7]Gas Average Basis'!R42</f>
        <v>#NAME?</v>
      </c>
      <c r="T42" s="62" t="e">
        <f ca="1">IF(T$22,AveragePrices($F$21,T$23,T$24,$AJ42:$AJ42),AveragePrices($F$15,T$23,T$24,$AL42:$AL42))</f>
        <v>#NAME?</v>
      </c>
      <c r="U42" s="128" t="e">
        <f ca="1">T42-'[7]Gas Average Basis'!S42</f>
        <v>#NAME?</v>
      </c>
      <c r="V42" s="62" t="e">
        <f t="shared" ca="1" si="1"/>
        <v>#NAME?</v>
      </c>
      <c r="W42" s="128" t="e">
        <f ca="1">V42-'[7]Gas Average Basis'!V42</f>
        <v>#NAME?</v>
      </c>
      <c r="X42" s="62" t="e">
        <f ca="1">IF(X$22,AveragePrices($F$21,X$23,X$24,$AJ42:$AJ42),AveragePrices($F$15,X$23,X$24,$AL42:$AL42))</f>
        <v>#NAME?</v>
      </c>
      <c r="Y42" s="128" t="e">
        <f ca="1">X42-'[7]Gas Average Basis'!W42</f>
        <v>#NAME?</v>
      </c>
      <c r="Z42" s="62" t="e">
        <f ca="1">IF(Z$22,AveragePrices($F$21,Z$23,Z$24,$AJ42:$AJ42),AveragePrices($F$15,Z$23,Z$24,$AL42:$AL42))</f>
        <v>#NAME?</v>
      </c>
      <c r="AA42" s="128" t="e">
        <f ca="1">Z42-'[7]Gas Average Basis'!Y42</f>
        <v>#NAME?</v>
      </c>
      <c r="AB42" s="62" t="e">
        <f ca="1">IF(AB$22,AveragePrices($F$21,AB$23,AB$24,$AJ42:$AJ42),AveragePrices($F$15,AB$23,AB$24,$AL42:$AL42))</f>
        <v>#NAME?</v>
      </c>
      <c r="AC42" s="128" t="e">
        <f ca="1">AB42-'[7]Gas Average Basis'!AB42</f>
        <v>#NAME?</v>
      </c>
      <c r="AD42" s="62" t="e">
        <f ca="1">IF(AD$22,AveragePrices($F$21,AD$23,AD$24,$AJ42:$AJ42),AveragePrices($F$15,AD$23,AD$24,$AL42:$AL42))</f>
        <v>#NAME?</v>
      </c>
      <c r="AE42" s="128" t="e">
        <f ca="1">AD42-'[7]Gas Average Basis'!AC42</f>
        <v>#NAME?</v>
      </c>
      <c r="AF42" s="62" t="e">
        <f ca="1">IF(AF$22,AveragePrices($F$21,AF$23,AF$24,$AJ42:$AJ42),AveragePrices($F$15,AF$23,AF$24,$AL42:$AL42))</f>
        <v>#NAME?</v>
      </c>
      <c r="AG42" s="128" t="e">
        <f ca="1">AF42-'[7]Gas Average Basis'!AE42</f>
        <v>#NAME?</v>
      </c>
      <c r="AH42" s="62" t="e">
        <f ca="1">IF(AH$22,AveragePrices($F$21,AH$23,AH$24,$AJ42:$AJ42),AveragePrices($F$15,AH$23,AH$24,$AL42:$AL42))</f>
        <v>#NAME?</v>
      </c>
      <c r="AI42" s="92" t="e">
        <f ca="1">AH42-'[7]Gas Average Basis'!AH42</f>
        <v>#NAME?</v>
      </c>
      <c r="AJ42" s="49">
        <f t="shared" ca="1" si="3"/>
        <v>14</v>
      </c>
      <c r="AL42" s="49">
        <f t="shared" ca="1" si="4"/>
        <v>13</v>
      </c>
    </row>
    <row r="43" spans="3:38" ht="13.5" thickBot="1" x14ac:dyDescent="0.3">
      <c r="C43" s="100" t="s">
        <v>100</v>
      </c>
      <c r="D43" s="70"/>
      <c r="E43" s="50" t="s">
        <v>147</v>
      </c>
      <c r="F43" s="73" t="s">
        <v>147</v>
      </c>
      <c r="G43" s="73"/>
      <c r="H43" s="73"/>
      <c r="I43" s="73"/>
      <c r="J43" s="73"/>
      <c r="K43" s="80">
        <f>LOOKUP($K$15,CurveFetch!$D$8:$D$1000,CurveFetch!$O$8:$O$1000)</f>
        <v>1.57</v>
      </c>
      <c r="L43" s="62">
        <f>LOOKUP($K$15+1,CurveFetch!D$8:D$1000,CurveFetch!O$8:O$1000)</f>
        <v>1.7</v>
      </c>
      <c r="M43" s="62">
        <f>L43-$L$49</f>
        <v>-0.42500000000000004</v>
      </c>
      <c r="N43" s="128">
        <f>M43-'[7]Gas Average Basis'!M43</f>
        <v>-2.4999999999999911E-2</v>
      </c>
      <c r="O43" s="62">
        <f>LOOKUP($K$15+2,CurveFetch!$D$8:$D$1000,CurveFetch!$O$8:$O$1000)</f>
        <v>1.7</v>
      </c>
      <c r="P43" s="62" t="e">
        <f t="shared" ca="1" si="0"/>
        <v>#NAME?</v>
      </c>
      <c r="Q43" s="128" t="e">
        <f ca="1">P43-'[7]Gas Average Basis'!P43</f>
        <v>#NAME?</v>
      </c>
      <c r="R43" s="62" t="e">
        <f ca="1">IF(R$22,AveragePrices($F$21,R$23,R$24,$AJ43:$AJ43),AveragePrices($F$15,R$23,R$24,$AL43:$AL43))</f>
        <v>#NAME?</v>
      </c>
      <c r="S43" s="128" t="e">
        <f ca="1">R43-'[7]Gas Average Basis'!R43</f>
        <v>#NAME?</v>
      </c>
      <c r="T43" s="62" t="e">
        <f ca="1">IF(T$22,AveragePrices($F$21,T$23,T$24,$AJ43:$AJ43),AveragePrices($F$15,T$23,T$24,$AL43:$AL43))</f>
        <v>#NAME?</v>
      </c>
      <c r="U43" s="128" t="e">
        <f ca="1">T43-'[7]Gas Average Basis'!S43</f>
        <v>#NAME?</v>
      </c>
      <c r="V43" s="62" t="e">
        <f t="shared" ca="1" si="1"/>
        <v>#NAME?</v>
      </c>
      <c r="W43" s="128" t="e">
        <f ca="1">V43-'[7]Gas Average Basis'!V43</f>
        <v>#NAME?</v>
      </c>
      <c r="X43" s="62" t="e">
        <f ca="1">IF(X$22,AveragePrices($F$21,X$23,X$24,$AJ43:$AJ43),AveragePrices($F$15,X$23,X$24,$AL43:$AL43))</f>
        <v>#NAME?</v>
      </c>
      <c r="Y43" s="128" t="e">
        <f ca="1">X43-'[7]Gas Average Basis'!W43</f>
        <v>#NAME?</v>
      </c>
      <c r="Z43" s="62" t="e">
        <f ca="1">IF(Z$22,AveragePrices($F$21,Z$23,Z$24,$AJ43:$AJ43),AveragePrices($F$15,Z$23,Z$24,$AL43:$AL43))</f>
        <v>#NAME?</v>
      </c>
      <c r="AA43" s="128" t="e">
        <f ca="1">Z43-'[7]Gas Average Basis'!Y43</f>
        <v>#NAME?</v>
      </c>
      <c r="AB43" s="62" t="e">
        <f ca="1">IF(AB$22,AveragePrices($F$21,AB$23,AB$24,$AJ43:$AJ43),AveragePrices($F$15,AB$23,AB$24,$AL43:$AL43))</f>
        <v>#NAME?</v>
      </c>
      <c r="AC43" s="128" t="e">
        <f ca="1">AB43-'[7]Gas Average Basis'!AB43</f>
        <v>#NAME?</v>
      </c>
      <c r="AD43" s="62" t="e">
        <f ca="1">IF(AD$22,AveragePrices($F$21,AD$23,AD$24,$AJ43:$AJ43),AveragePrices($F$15,AD$23,AD$24,$AL43:$AL43))</f>
        <v>#NAME?</v>
      </c>
      <c r="AE43" s="128" t="e">
        <f ca="1">AD43-'[7]Gas Average Basis'!AC43</f>
        <v>#NAME?</v>
      </c>
      <c r="AF43" s="62" t="e">
        <f ca="1">IF(AF$22,AveragePrices($F$21,AF$23,AF$24,$AJ43:$AJ43),AveragePrices($F$15,AF$23,AF$24,$AL43:$AL43))</f>
        <v>#NAME?</v>
      </c>
      <c r="AG43" s="128" t="e">
        <f ca="1">AF43-'[7]Gas Average Basis'!AE43</f>
        <v>#NAME?</v>
      </c>
      <c r="AH43" s="62" t="e">
        <f ca="1">IF(AH$22,AveragePrices($F$21,AH$23,AH$24,$AJ43:$AJ43),AveragePrices($F$15,AH$23,AH$24,$AL43:$AL43))</f>
        <v>#NAME?</v>
      </c>
      <c r="AI43" s="92" t="e">
        <f ca="1">AH43-'[7]Gas Average Basis'!AH43</f>
        <v>#NAME?</v>
      </c>
      <c r="AJ43" s="49">
        <f t="shared" ca="1" si="3"/>
        <v>15</v>
      </c>
      <c r="AL43" s="49">
        <f t="shared" ca="1" si="4"/>
        <v>14</v>
      </c>
    </row>
    <row r="44" spans="3:38" ht="13.5" hidden="1" customHeight="1" thickBot="1" x14ac:dyDescent="0.3">
      <c r="C44" s="100"/>
      <c r="D44" s="70"/>
      <c r="E44" s="50"/>
      <c r="F44" s="73"/>
      <c r="G44" s="73"/>
      <c r="H44" s="73"/>
      <c r="I44" s="73"/>
      <c r="J44" s="73"/>
      <c r="K44" s="80"/>
      <c r="L44" s="47"/>
      <c r="M44" s="47"/>
      <c r="N44" s="92"/>
      <c r="O44" s="92"/>
      <c r="P44" s="47"/>
      <c r="Q44" s="92"/>
      <c r="R44" s="47"/>
      <c r="S44" s="92"/>
      <c r="T44" s="92"/>
      <c r="U44" s="92"/>
      <c r="V44" s="47"/>
      <c r="W44" s="92"/>
      <c r="X44" s="92"/>
      <c r="Y44" s="92"/>
      <c r="Z44" s="92"/>
      <c r="AA44" s="92"/>
      <c r="AB44" s="47"/>
      <c r="AC44" s="92"/>
      <c r="AD44" s="92"/>
      <c r="AE44" s="92"/>
      <c r="AF44" s="47"/>
      <c r="AG44" s="92"/>
      <c r="AH44" s="47"/>
      <c r="AI44" s="92"/>
      <c r="AJ44" s="49"/>
      <c r="AL44" s="49" t="str">
        <f t="shared" ca="1" si="4"/>
        <v/>
      </c>
    </row>
    <row r="45" spans="3:38" ht="13.5" hidden="1" thickBot="1" x14ac:dyDescent="0.3">
      <c r="C45" s="103" t="s">
        <v>76</v>
      </c>
      <c r="D45" s="104"/>
      <c r="E45" s="104"/>
      <c r="F45" s="104"/>
      <c r="G45" s="104"/>
      <c r="H45" s="104"/>
      <c r="I45" s="104"/>
      <c r="J45" s="104"/>
      <c r="K45" s="104"/>
      <c r="L45" s="104"/>
      <c r="M45" s="104"/>
      <c r="N45" s="104"/>
      <c r="O45" s="104"/>
      <c r="P45" s="104"/>
      <c r="Q45" s="104"/>
      <c r="R45" s="104"/>
      <c r="S45" s="104"/>
      <c r="T45" s="104"/>
      <c r="U45" s="104"/>
      <c r="V45" s="104"/>
      <c r="W45" s="104"/>
      <c r="X45" s="104"/>
      <c r="Y45" s="104"/>
      <c r="Z45" s="104"/>
      <c r="AA45" s="104"/>
      <c r="AB45" s="104"/>
      <c r="AC45" s="104"/>
      <c r="AD45" s="104"/>
      <c r="AE45" s="104"/>
      <c r="AF45" s="104"/>
      <c r="AG45" s="104"/>
      <c r="AH45" s="104"/>
      <c r="AI45" s="104"/>
      <c r="AJ45" s="49" t="str">
        <f ca="1">IF(E45="","",MATCH(E45,INDIRECT(CONCATENATE($F$21,"!",$G$21,":",$G$21)),0))</f>
        <v/>
      </c>
      <c r="AL45" s="49" t="str">
        <f t="shared" ca="1" si="4"/>
        <v/>
      </c>
    </row>
    <row r="46" spans="3:38" ht="13.5" hidden="1" thickBot="1" x14ac:dyDescent="0.3">
      <c r="C46" s="103" t="s">
        <v>77</v>
      </c>
      <c r="D46" s="104"/>
      <c r="E46" s="104"/>
      <c r="F46" s="104"/>
      <c r="G46" s="104"/>
      <c r="H46" s="104"/>
      <c r="I46" s="104"/>
      <c r="J46" s="104"/>
      <c r="K46" s="104"/>
      <c r="L46" s="104"/>
      <c r="M46" s="104"/>
      <c r="N46" s="104"/>
      <c r="O46" s="104"/>
      <c r="P46" s="104"/>
      <c r="Q46" s="104"/>
      <c r="R46" s="104"/>
      <c r="S46" s="104"/>
      <c r="T46" s="104"/>
      <c r="U46" s="104"/>
      <c r="V46" s="104"/>
      <c r="W46" s="104"/>
      <c r="X46" s="104"/>
      <c r="Y46" s="104"/>
      <c r="Z46" s="104"/>
      <c r="AA46" s="104"/>
      <c r="AB46" s="104"/>
      <c r="AC46" s="104"/>
      <c r="AD46" s="104"/>
      <c r="AE46" s="104"/>
      <c r="AF46" s="104"/>
      <c r="AG46" s="104"/>
      <c r="AH46" s="104"/>
      <c r="AI46" s="104"/>
      <c r="AJ46" s="49" t="str">
        <f ca="1">IF(E46="","",MATCH(E46,INDIRECT(CONCATENATE($F$21,"!",$G$21,":",$G$21)),0))</f>
        <v/>
      </c>
      <c r="AL46" s="49" t="str">
        <f t="shared" ca="1" si="4"/>
        <v/>
      </c>
    </row>
    <row r="47" spans="3:38" ht="13.5" hidden="1" thickBot="1" x14ac:dyDescent="0.3">
      <c r="C47" s="103" t="s">
        <v>78</v>
      </c>
      <c r="D47" s="104"/>
      <c r="E47" s="104"/>
      <c r="F47" s="104"/>
      <c r="G47" s="104"/>
      <c r="H47" s="104"/>
      <c r="I47" s="104"/>
      <c r="J47" s="104"/>
      <c r="K47" s="104"/>
      <c r="L47" s="104"/>
      <c r="M47" s="104"/>
      <c r="N47" s="104"/>
      <c r="O47" s="104"/>
      <c r="P47" s="104"/>
      <c r="Q47" s="104"/>
      <c r="R47" s="104"/>
      <c r="S47" s="104"/>
      <c r="T47" s="104"/>
      <c r="U47" s="104"/>
      <c r="V47" s="104"/>
      <c r="W47" s="104"/>
      <c r="X47" s="104"/>
      <c r="Y47" s="104"/>
      <c r="Z47" s="104"/>
      <c r="AA47" s="104"/>
      <c r="AB47" s="104"/>
      <c r="AC47" s="104"/>
      <c r="AD47" s="104"/>
      <c r="AE47" s="104"/>
      <c r="AF47" s="104"/>
      <c r="AG47" s="104"/>
      <c r="AH47" s="104"/>
      <c r="AI47" s="104"/>
      <c r="AJ47" s="49" t="str">
        <f ca="1">IF(E47="","",MATCH(E47,INDIRECT(CONCATENATE($F$21,"!",$G$21,":",$G$21)),0))</f>
        <v/>
      </c>
      <c r="AL47" s="49" t="str">
        <f t="shared" ca="1" si="4"/>
        <v/>
      </c>
    </row>
    <row r="48" spans="3:38" ht="13.5" customHeight="1" thickBot="1" x14ac:dyDescent="0.3">
      <c r="C48" s="218" t="s">
        <v>81</v>
      </c>
      <c r="D48" s="219"/>
      <c r="E48" s="219"/>
      <c r="F48" s="219"/>
      <c r="G48" s="219"/>
      <c r="H48" s="219"/>
      <c r="I48" s="219"/>
      <c r="J48" s="219"/>
      <c r="K48" s="219"/>
      <c r="L48" s="219"/>
      <c r="M48" s="219"/>
      <c r="N48" s="219"/>
      <c r="O48" s="219"/>
      <c r="P48" s="219"/>
      <c r="Q48" s="219"/>
      <c r="R48" s="219"/>
      <c r="S48" s="219"/>
      <c r="T48" s="219"/>
      <c r="U48" s="219"/>
      <c r="V48" s="219"/>
      <c r="W48" s="219"/>
      <c r="X48" s="219"/>
      <c r="Y48" s="219"/>
      <c r="Z48" s="219"/>
      <c r="AA48" s="219"/>
      <c r="AB48" s="219"/>
      <c r="AC48" s="219"/>
      <c r="AD48" s="219"/>
      <c r="AE48" s="219"/>
      <c r="AF48" s="219"/>
      <c r="AG48" s="219"/>
      <c r="AH48" s="219"/>
      <c r="AI48" s="221"/>
      <c r="AJ48" s="49"/>
      <c r="AL48" s="49" t="str">
        <f t="shared" ca="1" si="4"/>
        <v/>
      </c>
    </row>
    <row r="49" spans="3:38" ht="13.5" thickBot="1" x14ac:dyDescent="0.3">
      <c r="C49" s="101" t="s">
        <v>81</v>
      </c>
      <c r="D49" s="74"/>
      <c r="E49" s="61" t="s">
        <v>48</v>
      </c>
      <c r="F49" s="75" t="s">
        <v>42</v>
      </c>
      <c r="G49" s="75"/>
      <c r="H49" s="75"/>
      <c r="I49" s="73"/>
      <c r="J49" s="70">
        <f>LOOKUP($F$25,CurveFetch!D$8:D$1000,CurveFetch!E$8:E$1000)</f>
        <v>2.15</v>
      </c>
      <c r="K49" s="80">
        <f>LOOKUP($K$15,CurveFetch!$D$8:$D$1000,CurveFetch!$E$8:$E$1000)</f>
        <v>1.9750000000000001</v>
      </c>
      <c r="L49" s="62">
        <f>LOOKUP($K$15+1,CurveFetch!D$8:D$1000,CurveFetch!E$8:E$1000)</f>
        <v>2.125</v>
      </c>
      <c r="M49" s="62"/>
      <c r="N49" s="128">
        <f>L49-'[7]Gas Average Basis'!L49</f>
        <v>0.14999999999999991</v>
      </c>
      <c r="O49" s="62">
        <f>LOOKUP($K$15+2,CurveFetch!$D$8:$D$1000,CurveFetch!$E$8:$E$1000)</f>
        <v>2.15</v>
      </c>
      <c r="P49" s="62"/>
      <c r="Q49" s="128">
        <f>O49-'[7]Gas Average Basis'!O49</f>
        <v>0.10999999999999988</v>
      </c>
      <c r="R49" s="62" t="e">
        <f ca="1">IF(R$22,AveragePrices($F$21,R$23,R$24,$AJ49:$AJ49),AveragePrices($F$15,R$23,R$24,$AL49:$AL49))</f>
        <v>#NAME?</v>
      </c>
      <c r="S49" s="128" t="e">
        <f ca="1">R49-'[7]Gas Average Basis'!R49</f>
        <v>#NAME?</v>
      </c>
      <c r="T49" s="62" t="e">
        <f ca="1">IF(T$22,AveragePrices($F$21,T$23,T$24,$AJ49:$AJ49),AveragePrices($F$15,T$23,T$24,$AL49:$AL49))</f>
        <v>#NAME?</v>
      </c>
      <c r="U49" s="129"/>
      <c r="V49" s="62" t="e">
        <f ca="1">IF(V$22,AveragePrices($F$21,V$23,V$24,$AJ49:$AJ49),AveragePrices($F$15,V$23,V$24,$AL49:$AL49))</f>
        <v>#NAME?</v>
      </c>
      <c r="W49" s="128" t="e">
        <f ca="1">V49-'[7]Gas Average Basis'!V49</f>
        <v>#NAME?</v>
      </c>
      <c r="X49" s="62" t="e">
        <f ca="1">IF(X$22,AveragePrices($F$21,X$23,X$24,$AJ49:$AJ49),AveragePrices($F$15,X$23,X$24,$AL49:$AL49))</f>
        <v>#NAME?</v>
      </c>
      <c r="Y49" s="128"/>
      <c r="Z49" s="62" t="e">
        <f ca="1">IF(Z$22,AveragePrices($F$21,Z$23,Z$24,$AJ49:$AJ49),AveragePrices($F$15,Z$23,Z$24,$AL49:$AL49))</f>
        <v>#NAME?</v>
      </c>
      <c r="AA49" s="128"/>
      <c r="AB49" s="62" t="e">
        <f ca="1">IF(AB$22,AveragePrices($F$21,AB$23,AB$24,$AJ49:$AJ49),AveragePrices($F$15,AB$23,AB$24,$AL49:$AL49))</f>
        <v>#NAME?</v>
      </c>
      <c r="AC49" s="128" t="e">
        <f ca="1">AB49-'[7]Gas Average Basis'!AB49</f>
        <v>#NAME?</v>
      </c>
      <c r="AD49" s="62" t="e">
        <f ca="1">IF(AD$22,AveragePrices($F$21,AD$23,AD$24,$AJ49:$AJ49),AveragePrices($F$15,AD$23,AD$24,$AL49:$AL49))</f>
        <v>#NAME?</v>
      </c>
      <c r="AE49" s="128"/>
      <c r="AF49" s="62" t="e">
        <f ca="1">IF(AF$22,AveragePrices($F$21,AF$23,AF$24,$AJ49:$AJ49),AveragePrices($F$15,AF$23,AF$24,$AL49:$AL49))</f>
        <v>#NAME?</v>
      </c>
      <c r="AG49" s="128"/>
      <c r="AH49" s="62" t="e">
        <f ca="1">IF(AH$22,AveragePrices($F$21,AH$23,AH$24,$AJ49:$AJ49),AveragePrices($F$15,AH$23,AH$24,$AL49:$AL49))</f>
        <v>#NAME?</v>
      </c>
      <c r="AI49" s="92" t="e">
        <f ca="1">AH49-'[7]Gas Average Basis'!AH49</f>
        <v>#NAME?</v>
      </c>
      <c r="AJ49" s="49">
        <f ca="1">IF(E49="","",MATCH(E49,INDIRECT(CONCATENATE($F$21,"!",$G$21,":",$G$21)),0))</f>
        <v>5</v>
      </c>
      <c r="AL49" s="49">
        <f t="shared" ca="1" si="4"/>
        <v>3</v>
      </c>
    </row>
    <row r="50" spans="3:38" x14ac:dyDescent="0.25">
      <c r="AI50" s="52"/>
      <c r="AJ50" s="51"/>
      <c r="AK50" s="52"/>
      <c r="AL50" s="52"/>
    </row>
    <row r="51" spans="3:38" x14ac:dyDescent="0.25">
      <c r="AI51" s="52"/>
      <c r="AJ51" s="51"/>
      <c r="AK51" s="52"/>
      <c r="AL51" s="52"/>
    </row>
    <row r="52" spans="3:38" x14ac:dyDescent="0.25">
      <c r="C52" s="110"/>
      <c r="D52" s="96"/>
      <c r="E52" s="111"/>
      <c r="F52" s="111"/>
      <c r="AI52" s="52"/>
      <c r="AJ52" s="51"/>
      <c r="AK52" s="52"/>
      <c r="AL52" s="52"/>
    </row>
    <row r="53" spans="3:38" ht="18" x14ac:dyDescent="0.25">
      <c r="C53" s="110"/>
      <c r="D53" s="96"/>
      <c r="E53" s="111"/>
      <c r="F53" s="111"/>
      <c r="R53" s="130"/>
      <c r="S53" s="217" t="s">
        <v>177</v>
      </c>
      <c r="T53" s="217"/>
      <c r="U53" s="217"/>
      <c r="V53" s="217"/>
      <c r="AI53" s="52"/>
      <c r="AJ53" s="51"/>
      <c r="AK53" s="52"/>
      <c r="AL53" s="52"/>
    </row>
    <row r="54" spans="3:38" ht="13.5" thickBot="1" x14ac:dyDescent="0.3"/>
    <row r="55" spans="3:38" ht="13.5" customHeight="1" thickBot="1" x14ac:dyDescent="0.3">
      <c r="C55" s="218" t="s">
        <v>82</v>
      </c>
      <c r="D55" s="219"/>
      <c r="E55" s="219"/>
      <c r="F55" s="219"/>
      <c r="G55" s="219"/>
      <c r="H55" s="219"/>
      <c r="I55" s="219"/>
      <c r="J55" s="219"/>
      <c r="K55" s="219"/>
      <c r="L55" s="219"/>
      <c r="M55" s="219"/>
      <c r="N55" s="219"/>
      <c r="O55" s="219"/>
      <c r="P55" s="219"/>
      <c r="Q55" s="219"/>
      <c r="R55" s="219"/>
      <c r="S55" s="219"/>
      <c r="T55" s="219"/>
      <c r="U55" s="219"/>
      <c r="V55" s="219"/>
      <c r="W55" s="219"/>
      <c r="X55" s="219"/>
      <c r="Y55" s="219"/>
      <c r="Z55" s="219"/>
      <c r="AA55" s="219"/>
      <c r="AB55" s="219"/>
      <c r="AC55" s="219"/>
      <c r="AD55" s="219"/>
      <c r="AE55" s="219"/>
      <c r="AF55" s="219"/>
      <c r="AG55" s="219"/>
      <c r="AH55" s="219"/>
      <c r="AI55" s="220"/>
    </row>
    <row r="56" spans="3:38" ht="14.25" customHeight="1" thickBot="1" x14ac:dyDescent="0.3">
      <c r="C56" s="218">
        <v>37167</v>
      </c>
      <c r="D56" s="219"/>
      <c r="E56" s="219"/>
      <c r="F56" s="219"/>
      <c r="G56" s="219"/>
      <c r="H56" s="219"/>
      <c r="I56" s="219"/>
      <c r="J56" s="219"/>
      <c r="K56" s="219"/>
      <c r="L56" s="219"/>
      <c r="M56" s="219"/>
      <c r="N56" s="219"/>
      <c r="O56" s="219"/>
      <c r="P56" s="219"/>
      <c r="Q56" s="219"/>
      <c r="R56" s="219"/>
      <c r="S56" s="219"/>
      <c r="T56" s="219"/>
      <c r="U56" s="219"/>
      <c r="V56" s="219"/>
      <c r="W56" s="219"/>
      <c r="X56" s="219"/>
      <c r="Y56" s="219"/>
      <c r="Z56" s="219"/>
      <c r="AA56" s="219"/>
      <c r="AB56" s="219"/>
      <c r="AC56" s="219"/>
      <c r="AD56" s="219"/>
      <c r="AE56" s="219"/>
      <c r="AF56" s="219"/>
      <c r="AG56" s="219"/>
      <c r="AH56" s="219"/>
      <c r="AI56" s="220"/>
    </row>
    <row r="57" spans="3:38" x14ac:dyDescent="0.25">
      <c r="C57" s="98"/>
      <c r="D57" s="94"/>
      <c r="E57" s="94"/>
      <c r="F57" s="94"/>
      <c r="G57" s="94"/>
      <c r="H57" s="94"/>
      <c r="I57" s="94"/>
      <c r="J57" s="94"/>
      <c r="K57" s="95" t="s">
        <v>84</v>
      </c>
      <c r="L57" s="95" t="s">
        <v>86</v>
      </c>
      <c r="M57" s="95"/>
      <c r="N57" s="83" t="s">
        <v>88</v>
      </c>
      <c r="O57" s="95" t="s">
        <v>132</v>
      </c>
      <c r="P57" s="95"/>
      <c r="Q57" s="83" t="s">
        <v>88</v>
      </c>
      <c r="R57" s="95" t="s">
        <v>3</v>
      </c>
      <c r="S57" s="83" t="s">
        <v>88</v>
      </c>
      <c r="T57" s="95" t="s">
        <v>133</v>
      </c>
      <c r="U57" s="83" t="s">
        <v>88</v>
      </c>
      <c r="V57" s="95" t="s">
        <v>123</v>
      </c>
      <c r="W57" s="83" t="s">
        <v>88</v>
      </c>
      <c r="X57" s="95" t="s">
        <v>134</v>
      </c>
      <c r="Y57" s="83" t="s">
        <v>88</v>
      </c>
      <c r="Z57" s="95" t="s">
        <v>135</v>
      </c>
      <c r="AA57" s="83" t="s">
        <v>88</v>
      </c>
      <c r="AB57" s="95" t="s">
        <v>93</v>
      </c>
      <c r="AC57" s="83" t="s">
        <v>88</v>
      </c>
      <c r="AD57" s="95" t="s">
        <v>136</v>
      </c>
      <c r="AE57" s="83" t="s">
        <v>88</v>
      </c>
      <c r="AF57" s="95" t="s">
        <v>133</v>
      </c>
      <c r="AG57" s="83" t="s">
        <v>88</v>
      </c>
      <c r="AH57" s="95" t="s">
        <v>125</v>
      </c>
      <c r="AI57" s="83" t="s">
        <v>88</v>
      </c>
    </row>
    <row r="58" spans="3:38" ht="14.25" customHeight="1" thickBot="1" x14ac:dyDescent="0.3">
      <c r="C58" s="99"/>
      <c r="D58" s="96"/>
      <c r="E58" s="96"/>
      <c r="F58" s="96"/>
      <c r="G58" s="96"/>
      <c r="H58" s="96"/>
      <c r="I58" s="96"/>
      <c r="J58" s="96"/>
      <c r="K58" s="97" t="s">
        <v>85</v>
      </c>
      <c r="L58" s="97"/>
      <c r="M58" s="97"/>
      <c r="N58" s="84"/>
      <c r="O58" s="97"/>
      <c r="P58" s="97"/>
      <c r="Q58" s="84"/>
      <c r="R58" s="97">
        <f>R$25</f>
        <v>37196</v>
      </c>
      <c r="S58" s="84"/>
      <c r="T58" s="120">
        <v>2001</v>
      </c>
      <c r="U58" s="84"/>
      <c r="V58" s="97" t="s">
        <v>87</v>
      </c>
      <c r="W58" s="84"/>
      <c r="X58" s="120">
        <v>2002</v>
      </c>
      <c r="Y58" s="84"/>
      <c r="Z58" s="120">
        <v>2002</v>
      </c>
      <c r="AA58" s="84"/>
      <c r="AB58" s="97" t="s">
        <v>94</v>
      </c>
      <c r="AC58" s="84"/>
      <c r="AD58" s="120">
        <v>2002</v>
      </c>
      <c r="AE58" s="84"/>
      <c r="AF58" s="120">
        <v>2002</v>
      </c>
      <c r="AG58" s="84"/>
      <c r="AH58" s="97" t="s">
        <v>124</v>
      </c>
      <c r="AI58" s="84"/>
    </row>
    <row r="59" spans="3:38" ht="14.25" customHeight="1" thickBot="1" x14ac:dyDescent="0.3">
      <c r="C59" s="218"/>
      <c r="D59" s="219"/>
      <c r="E59" s="219"/>
      <c r="F59" s="219"/>
      <c r="G59" s="219"/>
      <c r="H59" s="219"/>
      <c r="I59" s="219"/>
      <c r="J59" s="219"/>
      <c r="K59" s="219"/>
      <c r="L59" s="219"/>
      <c r="M59" s="219"/>
      <c r="N59" s="219"/>
      <c r="O59" s="219"/>
      <c r="P59" s="219"/>
      <c r="Q59" s="219"/>
      <c r="R59" s="219"/>
      <c r="S59" s="219"/>
      <c r="T59" s="219"/>
      <c r="U59" s="219"/>
      <c r="V59" s="219"/>
      <c r="W59" s="219"/>
      <c r="X59" s="219"/>
      <c r="Y59" s="219"/>
      <c r="Z59" s="219"/>
      <c r="AA59" s="219"/>
      <c r="AB59" s="219"/>
      <c r="AC59" s="219"/>
      <c r="AD59" s="219"/>
      <c r="AE59" s="219"/>
      <c r="AF59" s="219"/>
      <c r="AG59" s="219"/>
      <c r="AH59" s="219"/>
      <c r="AI59" s="220"/>
      <c r="AJ59" s="63"/>
      <c r="AK59" s="63"/>
      <c r="AL59" s="63"/>
    </row>
    <row r="60" spans="3:38" x14ac:dyDescent="0.25">
      <c r="C60" s="100" t="s">
        <v>137</v>
      </c>
      <c r="D60" s="70"/>
      <c r="E60" s="73" t="s">
        <v>44</v>
      </c>
      <c r="F60" s="73" t="s">
        <v>44</v>
      </c>
      <c r="G60" s="73"/>
      <c r="H60" s="73"/>
      <c r="I60" s="73"/>
      <c r="J60" s="70"/>
      <c r="K60" s="80">
        <f>LOOKUP($K$15,CurveFetch!$D$8:$D$1000,CurveFetch!$F$8:$F$1000)</f>
        <v>2.04</v>
      </c>
      <c r="L60" s="62"/>
      <c r="M60" s="62"/>
      <c r="N60" s="128"/>
      <c r="O60" s="62">
        <f>(PowerPrices!C9-2)/O30</f>
        <v>10.938039723661486</v>
      </c>
      <c r="P60" s="62"/>
      <c r="Q60" s="128">
        <f>O60-'[7]Gas Average Basis'!O60</f>
        <v>-1.0041824985607359</v>
      </c>
      <c r="R60" s="62" t="e">
        <f ca="1">(PowerPrices!D9-2)/(R$49+R30)</f>
        <v>#NAME?</v>
      </c>
      <c r="S60" s="128" t="e">
        <f ca="1">R60-'[7]Gas Average Basis'!R60</f>
        <v>#NAME?</v>
      </c>
      <c r="T60" s="62"/>
      <c r="U60" s="128"/>
      <c r="V60" s="62" t="e">
        <f ca="1">(AVERAGE(PowerPrices!D9,PowerPrices!E9,PowerPrices!H9,PowerPrices!I9,PowerPrices!K9)-2)/(V$49+V30)</f>
        <v>#NAME?</v>
      </c>
      <c r="W60" s="128" t="e">
        <f ca="1">V60-'[7]Gas Average Basis'!V60</f>
        <v>#NAME?</v>
      </c>
      <c r="X60" s="62" t="e">
        <f ca="1">(AVERAGE(PowerPrices!H9,PowerPrices!I9,PowerPrices!K9)-2)/(X$49+X30)</f>
        <v>#NAME?</v>
      </c>
      <c r="Y60" s="128"/>
      <c r="Z60" s="62" t="e">
        <f ca="1">(AVERAGE(PowerPrices!L9,PowerPrices!M9,PowerPrices!N9)-2)/(Z$49+Z30)</f>
        <v>#NAME?</v>
      </c>
      <c r="AA60" s="128"/>
      <c r="AB60" s="62" t="e">
        <f ca="1">(AVERAGE(PowerPrices!L9,PowerPrices!M9,PowerPrices!N9,PowerPrices!P9,PowerPrices!Q9,PowerPrices!R9,PowerPrices!T9)-2)/(AB$49+AB30)</f>
        <v>#NAME?</v>
      </c>
      <c r="AC60" s="128" t="e">
        <f ca="1">AB60-'[7]Gas Average Basis'!AB60</f>
        <v>#NAME?</v>
      </c>
      <c r="AD60" s="62" t="e">
        <f ca="1">(AVERAGE(PowerPrices!P9,PowerPrices!Q9,PowerPrices!R9)-2)/(AD$49+AD30)</f>
        <v>#NAME?</v>
      </c>
      <c r="AE60" s="128"/>
      <c r="AF60" s="62" t="e">
        <f ca="1">(PowerPrices!S9-2)/(AF$49+AF30)</f>
        <v>#NAME?</v>
      </c>
      <c r="AG60" s="128"/>
      <c r="AH60" s="62" t="e">
        <f ca="1">(AVERAGE(PowerPrices!T9,PowerPrices!U9,PowerPrices!V9,PowerPrices!AG9,PowerPrices!AH9,PowerPrices!AI9)-2)/(AH$49+AH30)</f>
        <v>#NAME?</v>
      </c>
      <c r="AI60" s="128" t="e">
        <f ca="1">AH60-'[7]Gas Average Basis'!AH60</f>
        <v>#NAME?</v>
      </c>
      <c r="AJ60" s="63"/>
      <c r="AK60" s="63"/>
      <c r="AL60" s="63"/>
    </row>
    <row r="61" spans="3:38" x14ac:dyDescent="0.25">
      <c r="C61" s="100" t="s">
        <v>139</v>
      </c>
      <c r="D61" s="70"/>
      <c r="E61" s="73" t="s">
        <v>105</v>
      </c>
      <c r="F61" s="73" t="s">
        <v>105</v>
      </c>
      <c r="G61" s="73"/>
      <c r="H61" s="73"/>
      <c r="I61" s="73"/>
      <c r="J61" s="70"/>
      <c r="K61" s="80">
        <f>LOOKUP($K$15,CurveFetch!$D$8:$D$1000,CurveFetch!$Q$8:$Q$1000)</f>
        <v>1.93</v>
      </c>
      <c r="L61" s="62"/>
      <c r="M61" s="62"/>
      <c r="N61" s="128"/>
      <c r="O61" s="62">
        <f>(PowerPrices!C11-2)/(O28+0.2)</f>
        <v>10.092210144927536</v>
      </c>
      <c r="P61" s="62"/>
      <c r="Q61" s="128">
        <f>O61-'[7]Gas Average Basis'!O61</f>
        <v>-0.3781534914361</v>
      </c>
      <c r="R61" s="62" t="e">
        <f ca="1">(PowerPrices!D11-2)/(R$49+R28+0.2)</f>
        <v>#NAME?</v>
      </c>
      <c r="S61" s="128" t="e">
        <f ca="1">R61-'[7]Gas Average Basis'!R61</f>
        <v>#NAME?</v>
      </c>
      <c r="T61" s="62"/>
      <c r="U61" s="128"/>
      <c r="V61" s="62" t="e">
        <f ca="1">(AVERAGE(PowerPrices!D11,PowerPrices!E11,PowerPrices!H11,PowerPrices!I11,PowerPrices!K11)-2)/(V$49+V28+0.2)</f>
        <v>#NAME?</v>
      </c>
      <c r="W61" s="128" t="e">
        <f ca="1">V61-'[7]Gas Average Basis'!V61</f>
        <v>#NAME?</v>
      </c>
      <c r="X61" s="62" t="e">
        <f ca="1">(AVERAGE(PowerPrices!H11,PowerPrices!I11,PowerPrices!K11)-2)/(X$49+X28+0.2)</f>
        <v>#NAME?</v>
      </c>
      <c r="Y61" s="128"/>
      <c r="Z61" s="62" t="e">
        <f ca="1">(AVERAGE(PowerPrices!L11,PowerPrices!M11,PowerPrices!N11)-2)/(Z$49+Z28+0.2)</f>
        <v>#NAME?</v>
      </c>
      <c r="AA61" s="128"/>
      <c r="AB61" s="62" t="e">
        <f ca="1">(AVERAGE(PowerPrices!L11,PowerPrices!M11,PowerPrices!N11,PowerPrices!P11,PowerPrices!Q11,PowerPrices!R11,PowerPrices!T11)-2)/(AB$49+AB28+0.2)</f>
        <v>#NAME?</v>
      </c>
      <c r="AC61" s="128" t="e">
        <f ca="1">AB61-'[7]Gas Average Basis'!AB61</f>
        <v>#NAME?</v>
      </c>
      <c r="AD61" s="62" t="e">
        <f ca="1">(AVERAGE(PowerPrices!P11,PowerPrices!Q11,PowerPrices!R11)-2)/(AD$49+AD28+0.2)</f>
        <v>#NAME?</v>
      </c>
      <c r="AE61" s="128"/>
      <c r="AF61" s="62" t="e">
        <f ca="1">(PowerPrices!S11-2)/(AF$49+AF28+0.2)</f>
        <v>#NAME?</v>
      </c>
      <c r="AG61" s="128"/>
      <c r="AH61" s="62" t="e">
        <f ca="1">(AVERAGE(PowerPrices!T11,PowerPrices!U11,PowerPrices!V11,PowerPrices!AG11,PowerPrices!AH11,PowerPrices!AI11)-2)/(AH$49+AH28+0.2)</f>
        <v>#NAME?</v>
      </c>
      <c r="AI61" s="128" t="e">
        <f ca="1">AH61-'[7]Gas Average Basis'!AH61</f>
        <v>#NAME?</v>
      </c>
      <c r="AJ61" s="63"/>
      <c r="AK61" s="63"/>
      <c r="AL61" s="63"/>
    </row>
    <row r="62" spans="3:38" x14ac:dyDescent="0.25">
      <c r="C62" s="100" t="s">
        <v>141</v>
      </c>
      <c r="D62" s="70"/>
      <c r="E62" s="73" t="s">
        <v>45</v>
      </c>
      <c r="F62" s="73" t="s">
        <v>45</v>
      </c>
      <c r="G62" s="73"/>
      <c r="H62" s="73"/>
      <c r="I62" s="73"/>
      <c r="J62" s="70"/>
      <c r="K62" s="80">
        <f>LOOKUP($K$15,CurveFetch!$D$8:$D$1000,CurveFetch!$G$8:$G$1000)</f>
        <v>1.79</v>
      </c>
      <c r="L62" s="62"/>
      <c r="M62" s="62"/>
      <c r="N62" s="128"/>
      <c r="O62" s="62">
        <f>(PowerPrices!C13-2)/(O31+0.33)</f>
        <v>9.3956611570247937</v>
      </c>
      <c r="P62" s="62"/>
      <c r="Q62" s="128">
        <f>O62-'[7]Gas Average Basis'!O62</f>
        <v>-0.45057260920897235</v>
      </c>
      <c r="R62" s="62" t="e">
        <f ca="1">(PowerPrices!D13-2)/(R$49+R31+0.33)</f>
        <v>#NAME?</v>
      </c>
      <c r="S62" s="128" t="e">
        <f ca="1">R62-'[7]Gas Average Basis'!R62</f>
        <v>#NAME?</v>
      </c>
      <c r="T62" s="62"/>
      <c r="U62" s="128"/>
      <c r="V62" s="62" t="e">
        <f ca="1">(AVERAGE(PowerPrices!D13,PowerPrices!E13,PowerPrices!H13,PowerPrices!I13,PowerPrices!K13)-2)/(V$49+V31+0.33)</f>
        <v>#NAME?</v>
      </c>
      <c r="W62" s="128" t="e">
        <f ca="1">V62-'[7]Gas Average Basis'!V62</f>
        <v>#NAME?</v>
      </c>
      <c r="X62" s="62" t="e">
        <f ca="1">(AVERAGE(PowerPrices!H13,PowerPrices!I13,PowerPrices!K13)-2)/(X$49+X31+0.33)</f>
        <v>#NAME?</v>
      </c>
      <c r="Y62" s="128"/>
      <c r="Z62" s="62" t="e">
        <f ca="1">(AVERAGE(PowerPrices!L13,PowerPrices!M13,PowerPrices!N13)-2)/(Z$49+Z31+0.33)</f>
        <v>#NAME?</v>
      </c>
      <c r="AA62" s="128"/>
      <c r="AB62" s="62" t="e">
        <f ca="1">(AVERAGE(PowerPrices!L13,PowerPrices!M13,PowerPrices!N13,PowerPrices!P13,PowerPrices!Q13,PowerPrices!R13,PowerPrices!T13)-2)/(AB$49+AB31+0.33)</f>
        <v>#NAME?</v>
      </c>
      <c r="AC62" s="128" t="e">
        <f ca="1">AB62-'[7]Gas Average Basis'!AB62</f>
        <v>#NAME?</v>
      </c>
      <c r="AD62" s="62" t="e">
        <f ca="1">(AVERAGE(PowerPrices!P13,PowerPrices!Q13,PowerPrices!R13)-2)/(AD$49+AD31+0.33)</f>
        <v>#NAME?</v>
      </c>
      <c r="AE62" s="128"/>
      <c r="AF62" s="62" t="e">
        <f ca="1">(PowerPrices!S13-2)/(AF$49+AF31+0.33)</f>
        <v>#NAME?</v>
      </c>
      <c r="AG62" s="128"/>
      <c r="AH62" s="62" t="e">
        <f ca="1">(AVERAGE(PowerPrices!T13,PowerPrices!U13,PowerPrices!V13,PowerPrices!AG13,PowerPrices!AH13,PowerPrices!AI13)-2)/(AH$49+AH31+0.33)</f>
        <v>#NAME?</v>
      </c>
      <c r="AI62" s="128" t="e">
        <f ca="1">AH62-'[7]Gas Average Basis'!AH62</f>
        <v>#NAME?</v>
      </c>
      <c r="AJ62" s="63"/>
      <c r="AK62" s="63"/>
      <c r="AL62" s="63"/>
    </row>
    <row r="63" spans="3:38" x14ac:dyDescent="0.25">
      <c r="C63" s="100" t="s">
        <v>144</v>
      </c>
      <c r="D63" s="70"/>
      <c r="E63" s="73" t="s">
        <v>46</v>
      </c>
      <c r="F63" s="73" t="s">
        <v>46</v>
      </c>
      <c r="G63" s="73"/>
      <c r="H63" s="73"/>
      <c r="I63" s="73"/>
      <c r="J63" s="70"/>
      <c r="K63" s="80">
        <f>LOOKUP($K$15,CurveFetch!$D$8:$D$1000,CurveFetch!$H$8:$H$1000)</f>
        <v>1.9550000000000001</v>
      </c>
      <c r="L63" s="62"/>
      <c r="M63" s="62"/>
      <c r="N63" s="128"/>
      <c r="O63" s="62">
        <f>(PowerPrices!C14-2)/(O34+0.12)</f>
        <v>10.947198710197506</v>
      </c>
      <c r="P63" s="62"/>
      <c r="Q63" s="128">
        <f>O63-'[7]Gas Average Basis'!O63</f>
        <v>-0.71878067124579914</v>
      </c>
      <c r="R63" s="62" t="e">
        <f ca="1">(PowerPrices!D14-2)/(R$49+R34+0.12)</f>
        <v>#NAME?</v>
      </c>
      <c r="S63" s="128" t="e">
        <f ca="1">R63-'[7]Gas Average Basis'!R63</f>
        <v>#NAME?</v>
      </c>
      <c r="T63" s="62"/>
      <c r="U63" s="128"/>
      <c r="V63" s="62" t="e">
        <f ca="1">(AVERAGE(PowerPrices!D14,PowerPrices!E14,PowerPrices!H14,PowerPrices!I14,PowerPrices!K14)-2)/(V$49+V34+0.12)</f>
        <v>#NAME?</v>
      </c>
      <c r="W63" s="128" t="e">
        <f ca="1">V63-'[7]Gas Average Basis'!V63</f>
        <v>#NAME?</v>
      </c>
      <c r="X63" s="62" t="e">
        <f ca="1">(AVERAGE(PowerPrices!H14,PowerPrices!I14,PowerPrices!K14)-2)/(X$49+X34+0.12)</f>
        <v>#NAME?</v>
      </c>
      <c r="Y63" s="128"/>
      <c r="Z63" s="62" t="e">
        <f ca="1">(AVERAGE(PowerPrices!L14,PowerPrices!M14,PowerPrices!N14)-2)/(Z$49+Z34+0.12)</f>
        <v>#NAME?</v>
      </c>
      <c r="AA63" s="128"/>
      <c r="AB63" s="62" t="e">
        <f ca="1">(AVERAGE(PowerPrices!L14,PowerPrices!M14,PowerPrices!N14,PowerPrices!P14,PowerPrices!Q14,PowerPrices!R14,PowerPrices!T14)-2)/(AB$49+AB34+0.12)</f>
        <v>#NAME?</v>
      </c>
      <c r="AC63" s="128" t="e">
        <f ca="1">AB63-'[7]Gas Average Basis'!AB63</f>
        <v>#NAME?</v>
      </c>
      <c r="AD63" s="62" t="e">
        <f ca="1">(AVERAGE(PowerPrices!P14,PowerPrices!Q14,PowerPrices!R14)-2)/(AD$49+AD34+0.12)</f>
        <v>#NAME?</v>
      </c>
      <c r="AE63" s="128"/>
      <c r="AF63" s="62" t="e">
        <f ca="1">(PowerPrices!S14-2)/(AF$49+AF34+0.12)</f>
        <v>#NAME?</v>
      </c>
      <c r="AG63" s="128"/>
      <c r="AH63" s="62" t="e">
        <f ca="1">(AVERAGE(PowerPrices!T14,PowerPrices!U14,PowerPrices!V14,PowerPrices!AG14,PowerPrices!AH14,PowerPrices!AI14)-2)/(AH$49+AH34+0.12)</f>
        <v>#NAME?</v>
      </c>
      <c r="AI63" s="128" t="e">
        <f ca="1">AH63-'[7]Gas Average Basis'!AH63</f>
        <v>#NAME?</v>
      </c>
      <c r="AJ63" s="63"/>
      <c r="AK63" s="63"/>
      <c r="AL63" s="63"/>
    </row>
    <row r="65" spans="3:13" x14ac:dyDescent="0.25">
      <c r="C65" s="63" t="s">
        <v>178</v>
      </c>
    </row>
    <row r="66" spans="3:13" x14ac:dyDescent="0.25">
      <c r="L66" s="215" t="s">
        <v>180</v>
      </c>
      <c r="M66" s="215"/>
    </row>
    <row r="67" spans="3:13" x14ac:dyDescent="0.25">
      <c r="C67" s="65"/>
      <c r="L67" s="216" t="s">
        <v>179</v>
      </c>
      <c r="M67" s="216"/>
    </row>
    <row r="68" spans="3:13" x14ac:dyDescent="0.25">
      <c r="C68" s="65"/>
      <c r="L68" s="216" t="s">
        <v>181</v>
      </c>
      <c r="M68" s="216"/>
    </row>
    <row r="69" spans="3:13" x14ac:dyDescent="0.25">
      <c r="C69" s="65"/>
      <c r="L69" s="216" t="s">
        <v>182</v>
      </c>
      <c r="M69" s="216"/>
    </row>
  </sheetData>
  <sheetCalcPr fullCalcOnLoad="1"/>
  <mergeCells count="15">
    <mergeCell ref="C55:AI55"/>
    <mergeCell ref="C59:AI59"/>
    <mergeCell ref="C38:AI38"/>
    <mergeCell ref="C48:AI48"/>
    <mergeCell ref="S53:V53"/>
    <mergeCell ref="L66:M66"/>
    <mergeCell ref="L67:M67"/>
    <mergeCell ref="L68:M68"/>
    <mergeCell ref="L69:M69"/>
    <mergeCell ref="R7:W7"/>
    <mergeCell ref="C9:AI9"/>
    <mergeCell ref="C10:AI10"/>
    <mergeCell ref="C13:AI13"/>
    <mergeCell ref="C32:AI32"/>
    <mergeCell ref="C56:AI56"/>
  </mergeCells>
  <phoneticPr fontId="0" type="noConversion"/>
  <printOptions verticalCentered="1"/>
  <pageMargins left="0.69" right="0.23" top="0.32" bottom="0.43" header="0.5" footer="0.5"/>
  <pageSetup paperSize="5" scale="75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43" r:id="rId4" name="Button 3">
              <controlPr defaultSize="0" print="0" autoFill="0" autoPict="0">
                <anchor moveWithCells="1" sizeWithCells="1">
                  <from>
                    <xdr:col>2</xdr:col>
                    <xdr:colOff>1162050</xdr:colOff>
                    <xdr:row>0</xdr:row>
                    <xdr:rowOff>19050</xdr:rowOff>
                  </from>
                  <to>
                    <xdr:col>15</xdr:col>
                    <xdr:colOff>428625</xdr:colOff>
                    <xdr:row>5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1">
    <pageSetUpPr fitToPage="1"/>
  </sheetPr>
  <dimension ref="A1:AI500"/>
  <sheetViews>
    <sheetView workbookViewId="0">
      <pane xSplit="4" ySplit="7" topLeftCell="E8" activePane="bottomRight" state="frozen"/>
      <selection pane="topRight" activeCell="E1" sqref="E1"/>
      <selection pane="bottomLeft" activeCell="A8" sqref="A8"/>
      <selection pane="bottomRight" activeCell="E3" sqref="E3"/>
    </sheetView>
  </sheetViews>
  <sheetFormatPr defaultRowHeight="12.75" x14ac:dyDescent="0.2"/>
  <cols>
    <col min="1" max="1" width="9.140625" style="2"/>
    <col min="2" max="2" width="22.42578125" style="2" customWidth="1"/>
    <col min="3" max="3" width="9.140625" style="2"/>
    <col min="4" max="4" width="9.85546875" style="2" bestFit="1" customWidth="1"/>
    <col min="5" max="5" width="10.140625" style="2" bestFit="1" customWidth="1"/>
    <col min="6" max="6" width="12" style="2" bestFit="1" customWidth="1"/>
    <col min="7" max="7" width="10.28515625" style="2" bestFit="1" customWidth="1"/>
    <col min="8" max="8" width="11" style="2" bestFit="1" customWidth="1"/>
    <col min="9" max="9" width="14.5703125" style="2" bestFit="1" customWidth="1"/>
    <col min="10" max="10" width="17.140625" style="2" bestFit="1" customWidth="1"/>
    <col min="11" max="11" width="10.85546875" style="2" bestFit="1" customWidth="1"/>
    <col min="12" max="12" width="17.42578125" style="2" bestFit="1" customWidth="1"/>
    <col min="13" max="13" width="18.28515625" style="2" bestFit="1" customWidth="1"/>
    <col min="14" max="14" width="13.140625" style="2" bestFit="1" customWidth="1"/>
    <col min="15" max="15" width="9.28515625" style="2" bestFit="1" customWidth="1"/>
    <col min="16" max="16" width="11.85546875" style="2" bestFit="1" customWidth="1"/>
    <col min="17" max="17" width="13.85546875" style="2" customWidth="1"/>
    <col min="18" max="18" width="12.5703125" style="2" customWidth="1"/>
    <col min="19" max="19" width="9.140625" style="2"/>
    <col min="20" max="20" width="12.5703125" style="2" customWidth="1"/>
    <col min="21" max="21" width="18" style="2" customWidth="1"/>
    <col min="22" max="22" width="16" style="2" customWidth="1"/>
    <col min="23" max="23" width="14.5703125" style="2" customWidth="1"/>
    <col min="24" max="24" width="12.28515625" style="2" customWidth="1"/>
    <col min="25" max="25" width="16.140625" style="2" customWidth="1"/>
    <col min="26" max="26" width="16" style="2" customWidth="1"/>
    <col min="27" max="27" width="11.28515625" style="2" customWidth="1"/>
    <col min="28" max="35" width="18.7109375" style="29" customWidth="1"/>
    <col min="36" max="16384" width="9.140625" style="2"/>
  </cols>
  <sheetData>
    <row r="1" spans="1:35" x14ac:dyDescent="0.2">
      <c r="A1" s="1"/>
      <c r="B1" s="1"/>
      <c r="E1" s="3">
        <v>1</v>
      </c>
      <c r="F1" s="3">
        <f t="shared" ref="F1:M1" si="0">+E1+1</f>
        <v>2</v>
      </c>
      <c r="G1" s="3">
        <f t="shared" si="0"/>
        <v>3</v>
      </c>
      <c r="H1" s="3">
        <f t="shared" si="0"/>
        <v>4</v>
      </c>
      <c r="I1" s="3">
        <f t="shared" si="0"/>
        <v>5</v>
      </c>
      <c r="J1" s="3">
        <f t="shared" si="0"/>
        <v>6</v>
      </c>
      <c r="K1" s="3">
        <f t="shared" si="0"/>
        <v>7</v>
      </c>
      <c r="L1" s="3">
        <f t="shared" si="0"/>
        <v>8</v>
      </c>
      <c r="M1" s="3">
        <f t="shared" si="0"/>
        <v>9</v>
      </c>
      <c r="N1" s="3">
        <f>+M1+1</f>
        <v>10</v>
      </c>
      <c r="O1" s="3">
        <f>+N1+1</f>
        <v>11</v>
      </c>
      <c r="P1" s="3">
        <f>+O1+1</f>
        <v>12</v>
      </c>
      <c r="Q1" s="3">
        <v>13</v>
      </c>
      <c r="R1" s="3">
        <v>14</v>
      </c>
      <c r="S1" s="3"/>
      <c r="T1" s="3"/>
      <c r="U1" s="3"/>
      <c r="V1" s="3"/>
      <c r="W1" s="3"/>
      <c r="X1" s="3"/>
      <c r="Y1" s="3"/>
      <c r="Z1" s="3"/>
      <c r="AA1" s="3"/>
      <c r="AB1" s="24"/>
      <c r="AC1" s="24"/>
      <c r="AD1" s="24"/>
      <c r="AE1" s="24"/>
      <c r="AF1" s="24"/>
      <c r="AG1" s="24"/>
      <c r="AH1" s="24"/>
      <c r="AI1" s="24"/>
    </row>
    <row r="2" spans="1:35" x14ac:dyDescent="0.2">
      <c r="A2" s="1"/>
      <c r="B2" s="4" t="e">
        <f>HLOOKUP(Count1,CurveTable1,2,FALSE)</f>
        <v>#N/A</v>
      </c>
      <c r="D2" s="5" t="s">
        <v>2</v>
      </c>
      <c r="E2" s="82">
        <v>37168</v>
      </c>
      <c r="F2" s="6">
        <f t="shared" ref="F2:AE2" si="1">E2</f>
        <v>37168</v>
      </c>
      <c r="G2" s="6">
        <f t="shared" si="1"/>
        <v>37168</v>
      </c>
      <c r="H2" s="6">
        <f t="shared" si="1"/>
        <v>37168</v>
      </c>
      <c r="I2" s="6">
        <f t="shared" si="1"/>
        <v>37168</v>
      </c>
      <c r="J2" s="6">
        <f t="shared" si="1"/>
        <v>37168</v>
      </c>
      <c r="K2" s="6">
        <f t="shared" si="1"/>
        <v>37168</v>
      </c>
      <c r="L2" s="6">
        <f t="shared" si="1"/>
        <v>37168</v>
      </c>
      <c r="M2" s="6">
        <f t="shared" si="1"/>
        <v>37168</v>
      </c>
      <c r="N2" s="6">
        <f t="shared" si="1"/>
        <v>37168</v>
      </c>
      <c r="O2" s="6">
        <f t="shared" si="1"/>
        <v>37168</v>
      </c>
      <c r="P2" s="6">
        <f t="shared" si="1"/>
        <v>37168</v>
      </c>
      <c r="Q2" s="6">
        <f t="shared" si="1"/>
        <v>37168</v>
      </c>
      <c r="R2" s="6">
        <f t="shared" si="1"/>
        <v>37168</v>
      </c>
      <c r="S2" s="6">
        <f t="shared" si="1"/>
        <v>37168</v>
      </c>
      <c r="T2" s="6">
        <f t="shared" si="1"/>
        <v>37168</v>
      </c>
      <c r="U2" s="6">
        <f t="shared" si="1"/>
        <v>37168</v>
      </c>
      <c r="V2" s="6">
        <f t="shared" si="1"/>
        <v>37168</v>
      </c>
      <c r="W2" s="6">
        <f t="shared" si="1"/>
        <v>37168</v>
      </c>
      <c r="X2" s="6">
        <f t="shared" si="1"/>
        <v>37168</v>
      </c>
      <c r="Y2" s="6">
        <f t="shared" si="1"/>
        <v>37168</v>
      </c>
      <c r="Z2" s="6">
        <f t="shared" si="1"/>
        <v>37168</v>
      </c>
      <c r="AA2" s="6">
        <f t="shared" si="1"/>
        <v>37168</v>
      </c>
      <c r="AB2" s="25">
        <f t="shared" si="1"/>
        <v>37168</v>
      </c>
      <c r="AC2" s="25">
        <f t="shared" si="1"/>
        <v>37168</v>
      </c>
      <c r="AD2" s="25">
        <f t="shared" si="1"/>
        <v>37168</v>
      </c>
      <c r="AE2" s="25">
        <f t="shared" si="1"/>
        <v>37168</v>
      </c>
      <c r="AF2" s="25">
        <f>AE2</f>
        <v>37168</v>
      </c>
      <c r="AG2" s="25">
        <f>AE2</f>
        <v>37168</v>
      </c>
      <c r="AH2" s="25">
        <f>AF2</f>
        <v>37168</v>
      </c>
      <c r="AI2" s="25">
        <f>AH2</f>
        <v>37168</v>
      </c>
    </row>
    <row r="3" spans="1:35" x14ac:dyDescent="0.2">
      <c r="A3" s="1"/>
      <c r="B3" s="7" t="e">
        <f>HLOOKUP(Count1,CurveTable1,3,FALSE)</f>
        <v>#N/A</v>
      </c>
      <c r="D3" s="5" t="s">
        <v>3</v>
      </c>
      <c r="E3" s="7">
        <v>37196</v>
      </c>
      <c r="F3" s="7">
        <f t="shared" ref="F3:AE3" si="2">E3</f>
        <v>37196</v>
      </c>
      <c r="G3" s="7">
        <f t="shared" si="2"/>
        <v>37196</v>
      </c>
      <c r="H3" s="7">
        <f t="shared" si="2"/>
        <v>37196</v>
      </c>
      <c r="I3" s="7">
        <f t="shared" si="2"/>
        <v>37196</v>
      </c>
      <c r="J3" s="7">
        <f t="shared" si="2"/>
        <v>37196</v>
      </c>
      <c r="K3" s="7">
        <f t="shared" si="2"/>
        <v>37196</v>
      </c>
      <c r="L3" s="7">
        <f t="shared" si="2"/>
        <v>37196</v>
      </c>
      <c r="M3" s="20">
        <f t="shared" si="2"/>
        <v>37196</v>
      </c>
      <c r="N3" s="7">
        <f t="shared" si="2"/>
        <v>37196</v>
      </c>
      <c r="O3" s="7">
        <f t="shared" si="2"/>
        <v>37196</v>
      </c>
      <c r="P3" s="7">
        <f t="shared" si="2"/>
        <v>37196</v>
      </c>
      <c r="Q3" s="7">
        <f t="shared" si="2"/>
        <v>37196</v>
      </c>
      <c r="R3" s="7">
        <f t="shared" si="2"/>
        <v>37196</v>
      </c>
      <c r="S3" s="7">
        <f t="shared" si="2"/>
        <v>37196</v>
      </c>
      <c r="T3" s="7">
        <f t="shared" si="2"/>
        <v>37196</v>
      </c>
      <c r="U3" s="7">
        <f t="shared" si="2"/>
        <v>37196</v>
      </c>
      <c r="V3" s="7">
        <f t="shared" si="2"/>
        <v>37196</v>
      </c>
      <c r="W3" s="7">
        <f t="shared" si="2"/>
        <v>37196</v>
      </c>
      <c r="X3" s="7">
        <f t="shared" si="2"/>
        <v>37196</v>
      </c>
      <c r="Y3" s="7">
        <f t="shared" si="2"/>
        <v>37196</v>
      </c>
      <c r="Z3" s="7">
        <f t="shared" si="2"/>
        <v>37196</v>
      </c>
      <c r="AA3" s="7">
        <f t="shared" si="2"/>
        <v>37196</v>
      </c>
      <c r="AB3" s="26">
        <f t="shared" si="2"/>
        <v>37196</v>
      </c>
      <c r="AC3" s="26">
        <f t="shared" si="2"/>
        <v>37196</v>
      </c>
      <c r="AD3" s="26">
        <f t="shared" si="2"/>
        <v>37196</v>
      </c>
      <c r="AE3" s="26">
        <f t="shared" si="2"/>
        <v>37196</v>
      </c>
      <c r="AF3" s="26">
        <f>AE3</f>
        <v>37196</v>
      </c>
      <c r="AG3" s="26">
        <f>AE3</f>
        <v>37196</v>
      </c>
      <c r="AH3" s="26">
        <f>AF3</f>
        <v>37196</v>
      </c>
      <c r="AI3" s="26">
        <v>37073</v>
      </c>
    </row>
    <row r="4" spans="1:35" x14ac:dyDescent="0.2">
      <c r="A4" s="1">
        <v>15</v>
      </c>
      <c r="B4" s="7" t="e">
        <f>HLOOKUP(Count1,CurveTable1,4,FALSE)</f>
        <v>#N/A</v>
      </c>
      <c r="D4" s="5" t="s">
        <v>4</v>
      </c>
      <c r="E4" s="105" t="s">
        <v>48</v>
      </c>
      <c r="F4" s="105" t="s">
        <v>44</v>
      </c>
      <c r="G4" s="105" t="s">
        <v>45</v>
      </c>
      <c r="H4" s="105" t="s">
        <v>46</v>
      </c>
      <c r="I4" s="105" t="s">
        <v>55</v>
      </c>
      <c r="J4" s="106" t="s">
        <v>103</v>
      </c>
      <c r="K4" s="107" t="s">
        <v>47</v>
      </c>
      <c r="L4" s="108" t="s">
        <v>90</v>
      </c>
      <c r="M4" s="21" t="s">
        <v>104</v>
      </c>
      <c r="N4" s="109" t="s">
        <v>108</v>
      </c>
      <c r="O4" s="106" t="s">
        <v>147</v>
      </c>
      <c r="P4" s="106" t="s">
        <v>0</v>
      </c>
      <c r="Q4" s="7" t="s">
        <v>105</v>
      </c>
      <c r="R4" s="7" t="s">
        <v>107</v>
      </c>
      <c r="S4" s="7"/>
      <c r="T4" s="7"/>
      <c r="U4" s="7"/>
      <c r="V4" s="1"/>
      <c r="W4" s="1"/>
      <c r="X4" s="1"/>
      <c r="Y4" s="1"/>
      <c r="Z4" s="7"/>
      <c r="AA4" s="7"/>
      <c r="AB4" s="26"/>
      <c r="AC4" s="26"/>
      <c r="AD4" s="26"/>
      <c r="AE4" s="26"/>
      <c r="AF4" s="26"/>
      <c r="AG4" s="26"/>
      <c r="AH4" s="26"/>
      <c r="AI4" s="26"/>
    </row>
    <row r="5" spans="1:35" x14ac:dyDescent="0.2">
      <c r="A5" s="1"/>
      <c r="B5" s="8" t="e">
        <f>HLOOKUP(Count1,CurveTable1,5,FALSE)</f>
        <v>#N/A</v>
      </c>
      <c r="D5" s="5" t="s">
        <v>5</v>
      </c>
      <c r="E5" s="8" t="s">
        <v>6</v>
      </c>
      <c r="F5" s="8" t="s">
        <v>6</v>
      </c>
      <c r="G5" s="8" t="s">
        <v>6</v>
      </c>
      <c r="H5" s="8" t="s">
        <v>6</v>
      </c>
      <c r="I5" s="8" t="s">
        <v>6</v>
      </c>
      <c r="J5" s="8" t="s">
        <v>6</v>
      </c>
      <c r="K5" s="8" t="s">
        <v>6</v>
      </c>
      <c r="L5" s="8" t="s">
        <v>6</v>
      </c>
      <c r="M5" s="8" t="s">
        <v>6</v>
      </c>
      <c r="N5" s="8" t="s">
        <v>6</v>
      </c>
      <c r="O5" s="8" t="s">
        <v>6</v>
      </c>
      <c r="P5" s="8" t="s">
        <v>6</v>
      </c>
      <c r="Q5" s="8" t="s">
        <v>6</v>
      </c>
      <c r="R5" s="8" t="s">
        <v>6</v>
      </c>
      <c r="S5" s="8" t="s">
        <v>6</v>
      </c>
      <c r="T5" s="8" t="s">
        <v>6</v>
      </c>
      <c r="U5" s="8" t="s">
        <v>6</v>
      </c>
      <c r="V5" s="8" t="s">
        <v>6</v>
      </c>
      <c r="W5" s="8" t="s">
        <v>6</v>
      </c>
      <c r="X5" s="8" t="s">
        <v>6</v>
      </c>
      <c r="Y5" s="8" t="s">
        <v>6</v>
      </c>
      <c r="Z5" s="8" t="s">
        <v>6</v>
      </c>
      <c r="AA5" s="8" t="s">
        <v>6</v>
      </c>
      <c r="AB5" s="27" t="s">
        <v>6</v>
      </c>
      <c r="AC5" s="27" t="s">
        <v>6</v>
      </c>
      <c r="AD5" s="27" t="s">
        <v>6</v>
      </c>
      <c r="AE5" s="27" t="s">
        <v>6</v>
      </c>
      <c r="AF5" s="27" t="s">
        <v>6</v>
      </c>
      <c r="AG5" s="27" t="s">
        <v>6</v>
      </c>
      <c r="AH5" s="27" t="s">
        <v>6</v>
      </c>
      <c r="AI5" s="27" t="s">
        <v>97</v>
      </c>
    </row>
    <row r="6" spans="1:35" x14ac:dyDescent="0.2">
      <c r="A6" s="1"/>
      <c r="B6" s="8" t="e">
        <f>HLOOKUP(Count1,CurveTable1,6,FALSE)</f>
        <v>#N/A</v>
      </c>
      <c r="D6" s="5" t="s">
        <v>7</v>
      </c>
      <c r="E6" s="8" t="s">
        <v>8</v>
      </c>
      <c r="F6" s="8" t="s">
        <v>8</v>
      </c>
      <c r="G6" s="8" t="s">
        <v>8</v>
      </c>
      <c r="H6" s="8" t="s">
        <v>8</v>
      </c>
      <c r="I6" s="8" t="s">
        <v>8</v>
      </c>
      <c r="J6" s="8" t="s">
        <v>8</v>
      </c>
      <c r="K6" s="8" t="s">
        <v>8</v>
      </c>
      <c r="L6" s="8" t="s">
        <v>8</v>
      </c>
      <c r="M6" s="8" t="s">
        <v>8</v>
      </c>
      <c r="N6" s="8" t="s">
        <v>8</v>
      </c>
      <c r="O6" s="8" t="s">
        <v>8</v>
      </c>
      <c r="P6" s="8" t="s">
        <v>8</v>
      </c>
      <c r="Q6" s="8" t="s">
        <v>8</v>
      </c>
      <c r="R6" s="8" t="s">
        <v>8</v>
      </c>
      <c r="S6" s="8" t="s">
        <v>8</v>
      </c>
      <c r="T6" s="8" t="s">
        <v>8</v>
      </c>
      <c r="U6" s="8" t="s">
        <v>8</v>
      </c>
      <c r="V6" s="8" t="s">
        <v>8</v>
      </c>
      <c r="W6" s="8" t="s">
        <v>8</v>
      </c>
      <c r="X6" s="8" t="s">
        <v>8</v>
      </c>
      <c r="Y6" s="8" t="s">
        <v>8</v>
      </c>
      <c r="Z6" s="8" t="s">
        <v>8</v>
      </c>
      <c r="AA6" s="8" t="s">
        <v>8</v>
      </c>
      <c r="AB6" s="27" t="s">
        <v>8</v>
      </c>
      <c r="AC6" s="27" t="s">
        <v>8</v>
      </c>
      <c r="AD6" s="27" t="s">
        <v>8</v>
      </c>
      <c r="AE6" s="27" t="s">
        <v>8</v>
      </c>
      <c r="AF6" s="27" t="s">
        <v>8</v>
      </c>
      <c r="AG6" s="27" t="s">
        <v>8</v>
      </c>
      <c r="AH6" s="27" t="s">
        <v>8</v>
      </c>
      <c r="AI6" s="27" t="s">
        <v>96</v>
      </c>
    </row>
    <row r="7" spans="1:35" x14ac:dyDescent="0.2">
      <c r="A7" s="1"/>
      <c r="B7" s="8" t="e">
        <f>HLOOKUP(Count1,CurveTable1,7,FALSE)</f>
        <v>#N/A</v>
      </c>
      <c r="D7" s="5" t="s">
        <v>10</v>
      </c>
      <c r="E7" s="8" t="s">
        <v>11</v>
      </c>
      <c r="F7" s="8" t="s">
        <v>12</v>
      </c>
      <c r="G7" s="8" t="s">
        <v>13</v>
      </c>
      <c r="H7" s="8" t="s">
        <v>14</v>
      </c>
      <c r="I7" s="8" t="s">
        <v>15</v>
      </c>
      <c r="J7" s="8" t="s">
        <v>16</v>
      </c>
      <c r="K7" s="8" t="s">
        <v>17</v>
      </c>
      <c r="L7" s="8" t="s">
        <v>18</v>
      </c>
      <c r="M7" s="8" t="s">
        <v>19</v>
      </c>
      <c r="N7" s="8" t="s">
        <v>20</v>
      </c>
      <c r="O7" s="8" t="s">
        <v>21</v>
      </c>
      <c r="P7" s="8" t="s">
        <v>22</v>
      </c>
      <c r="Q7" s="8" t="s">
        <v>23</v>
      </c>
      <c r="R7" s="8" t="s">
        <v>24</v>
      </c>
      <c r="S7" s="8" t="s">
        <v>25</v>
      </c>
      <c r="T7" s="8" t="s">
        <v>26</v>
      </c>
      <c r="U7" s="8" t="s">
        <v>27</v>
      </c>
      <c r="V7" s="8" t="s">
        <v>28</v>
      </c>
      <c r="W7" s="8" t="s">
        <v>29</v>
      </c>
      <c r="X7" s="8" t="s">
        <v>30</v>
      </c>
      <c r="Y7" s="8" t="s">
        <v>31</v>
      </c>
      <c r="Z7" s="8" t="s">
        <v>52</v>
      </c>
      <c r="AA7" s="8" t="s">
        <v>53</v>
      </c>
      <c r="AB7" s="27" t="s">
        <v>71</v>
      </c>
      <c r="AC7" s="27" t="s">
        <v>72</v>
      </c>
      <c r="AD7" s="27" t="s">
        <v>73</v>
      </c>
      <c r="AE7" s="27" t="s">
        <v>74</v>
      </c>
      <c r="AF7" s="27" t="s">
        <v>91</v>
      </c>
      <c r="AG7" s="27" t="s">
        <v>92</v>
      </c>
      <c r="AH7" s="27" t="s">
        <v>95</v>
      </c>
      <c r="AI7" s="27" t="s">
        <v>98</v>
      </c>
    </row>
    <row r="8" spans="1:35" x14ac:dyDescent="0.2">
      <c r="A8" s="1"/>
      <c r="B8" s="1"/>
      <c r="D8" s="9">
        <v>37165</v>
      </c>
      <c r="E8" s="10">
        <v>1.835</v>
      </c>
      <c r="F8" s="10">
        <v>1.91</v>
      </c>
      <c r="G8" s="10">
        <v>1.585</v>
      </c>
      <c r="H8" s="10">
        <v>1.875</v>
      </c>
      <c r="I8" s="10">
        <v>1.4</v>
      </c>
      <c r="J8" s="10">
        <v>1.4650000000000001</v>
      </c>
      <c r="K8" s="10">
        <v>1.53</v>
      </c>
      <c r="L8" s="10">
        <v>1.6</v>
      </c>
      <c r="M8" s="10">
        <v>1.375</v>
      </c>
      <c r="N8" s="10">
        <v>1.6715274</v>
      </c>
      <c r="O8" s="10">
        <v>1.32</v>
      </c>
      <c r="P8" s="10">
        <v>1.65</v>
      </c>
      <c r="Q8" s="10">
        <v>1.71</v>
      </c>
      <c r="R8" s="10">
        <v>1.625</v>
      </c>
      <c r="S8" s="10"/>
      <c r="T8" s="10"/>
      <c r="U8" s="10"/>
      <c r="V8" s="10"/>
      <c r="W8" s="10"/>
      <c r="X8" s="10"/>
      <c r="Y8" s="10"/>
      <c r="Z8" s="10"/>
      <c r="AA8" s="10"/>
      <c r="AB8" s="28"/>
    </row>
    <row r="9" spans="1:35" x14ac:dyDescent="0.2">
      <c r="A9" s="1"/>
      <c r="B9" s="11"/>
      <c r="D9" s="9">
        <v>37166</v>
      </c>
      <c r="E9" s="10">
        <v>1.77</v>
      </c>
      <c r="F9" s="10">
        <v>1.6950000000000001</v>
      </c>
      <c r="G9" s="10">
        <v>1.5549999999999999</v>
      </c>
      <c r="H9" s="10">
        <v>1.87</v>
      </c>
      <c r="I9" s="10">
        <v>1.345</v>
      </c>
      <c r="J9" s="10">
        <v>1.39</v>
      </c>
      <c r="K9" s="10">
        <v>1.49</v>
      </c>
      <c r="L9" s="10">
        <v>1.59</v>
      </c>
      <c r="M9" s="10">
        <v>1.33</v>
      </c>
      <c r="N9" s="10">
        <v>1.2423999999999999</v>
      </c>
      <c r="O9" s="10">
        <v>1.35</v>
      </c>
      <c r="P9" s="10">
        <v>1.595</v>
      </c>
      <c r="Q9" s="10">
        <v>1.6950000000000001</v>
      </c>
      <c r="R9" s="10">
        <v>1.5649999999999999</v>
      </c>
      <c r="S9" s="10"/>
      <c r="T9" s="10"/>
      <c r="U9" s="10"/>
      <c r="V9" s="10"/>
      <c r="W9" s="10"/>
      <c r="X9" s="10"/>
      <c r="Y9" s="10"/>
      <c r="Z9" s="10"/>
      <c r="AA9" s="10"/>
      <c r="AB9" s="28"/>
    </row>
    <row r="10" spans="1:35" x14ac:dyDescent="0.2">
      <c r="D10" s="9">
        <v>37167</v>
      </c>
      <c r="E10" s="10">
        <v>1.82</v>
      </c>
      <c r="F10" s="10">
        <v>1.96</v>
      </c>
      <c r="G10" s="10">
        <v>1.59</v>
      </c>
      <c r="H10" s="10">
        <v>1.87</v>
      </c>
      <c r="I10" s="10">
        <v>1.355</v>
      </c>
      <c r="J10" s="10">
        <v>1.45</v>
      </c>
      <c r="K10" s="10">
        <v>1.4750000000000001</v>
      </c>
      <c r="L10" s="10">
        <v>1.645</v>
      </c>
      <c r="M10" s="10">
        <v>1.405</v>
      </c>
      <c r="N10" s="10">
        <v>1.4385000000000001</v>
      </c>
      <c r="O10" s="10">
        <v>1.32</v>
      </c>
      <c r="P10" s="10">
        <v>1.65</v>
      </c>
      <c r="Q10" s="10">
        <v>1.8049999999999999</v>
      </c>
      <c r="R10" s="10">
        <v>1.595</v>
      </c>
      <c r="S10" s="10"/>
      <c r="T10" s="10"/>
      <c r="U10" s="10"/>
      <c r="V10" s="10"/>
      <c r="W10" s="10"/>
      <c r="X10" s="10"/>
      <c r="Y10" s="10"/>
      <c r="Z10" s="10"/>
      <c r="AA10" s="10"/>
      <c r="AB10" s="28"/>
    </row>
    <row r="11" spans="1:35" x14ac:dyDescent="0.2">
      <c r="D11" s="9">
        <v>37168</v>
      </c>
      <c r="E11" s="10">
        <v>1.9750000000000001</v>
      </c>
      <c r="F11" s="10">
        <v>2.04</v>
      </c>
      <c r="G11" s="10">
        <v>1.79</v>
      </c>
      <c r="H11" s="10">
        <v>1.9550000000000001</v>
      </c>
      <c r="I11" s="10">
        <v>1.54</v>
      </c>
      <c r="J11" s="10">
        <v>1.675</v>
      </c>
      <c r="K11" s="10">
        <v>1.69</v>
      </c>
      <c r="L11" s="10">
        <v>1.81</v>
      </c>
      <c r="M11" s="10">
        <v>1.62</v>
      </c>
      <c r="N11" s="10">
        <v>1.5515000000000001</v>
      </c>
      <c r="O11" s="10">
        <v>1.57</v>
      </c>
      <c r="P11" s="10">
        <v>1.855</v>
      </c>
      <c r="Q11" s="10">
        <v>1.93</v>
      </c>
      <c r="R11" s="10">
        <v>1.8</v>
      </c>
      <c r="S11" s="10"/>
      <c r="T11" s="10"/>
      <c r="U11" s="10"/>
      <c r="V11" s="10"/>
      <c r="W11" s="10"/>
      <c r="X11" s="10"/>
      <c r="Y11" s="10"/>
      <c r="Z11" s="10"/>
      <c r="AA11" s="10"/>
      <c r="AB11" s="28"/>
    </row>
    <row r="12" spans="1:35" x14ac:dyDescent="0.2">
      <c r="D12" s="9">
        <v>37169</v>
      </c>
      <c r="E12" s="10">
        <v>2.125</v>
      </c>
      <c r="F12" s="10">
        <v>2.13</v>
      </c>
      <c r="G12" s="10">
        <v>1.96</v>
      </c>
      <c r="H12" s="10">
        <v>2.11</v>
      </c>
      <c r="I12" s="10">
        <v>1.71</v>
      </c>
      <c r="J12" s="10">
        <v>1.8</v>
      </c>
      <c r="K12" s="10">
        <v>1.82</v>
      </c>
      <c r="L12" s="10">
        <v>1.99</v>
      </c>
      <c r="M12" s="10">
        <v>1.8</v>
      </c>
      <c r="N12" s="10">
        <v>1.7970000000000002</v>
      </c>
      <c r="O12" s="10">
        <v>1.7</v>
      </c>
      <c r="P12" s="10">
        <v>2</v>
      </c>
      <c r="Q12" s="10">
        <v>2.0299999999999998</v>
      </c>
      <c r="R12" s="10">
        <v>1.95</v>
      </c>
      <c r="S12" s="10"/>
      <c r="T12" s="10"/>
      <c r="U12" s="10"/>
      <c r="V12" s="10"/>
      <c r="W12" s="10"/>
      <c r="X12" s="10"/>
      <c r="Y12" s="10"/>
      <c r="Z12" s="10"/>
      <c r="AA12" s="10"/>
      <c r="AB12" s="28"/>
    </row>
    <row r="13" spans="1:35" x14ac:dyDescent="0.2">
      <c r="D13" s="9">
        <v>37170</v>
      </c>
      <c r="E13" s="10">
        <v>2.15</v>
      </c>
      <c r="F13" s="10">
        <v>2.1</v>
      </c>
      <c r="G13" s="10">
        <v>1.93</v>
      </c>
      <c r="H13" s="10">
        <v>2.09</v>
      </c>
      <c r="I13" s="10">
        <v>1.75</v>
      </c>
      <c r="J13" s="10">
        <v>1.39</v>
      </c>
      <c r="K13" s="10">
        <v>1.84</v>
      </c>
      <c r="L13" s="10">
        <v>1.96</v>
      </c>
      <c r="M13" s="10">
        <v>1.79</v>
      </c>
      <c r="N13" s="10">
        <v>1.7630000000000001</v>
      </c>
      <c r="O13" s="10">
        <v>1.7</v>
      </c>
      <c r="P13" s="10">
        <v>2</v>
      </c>
      <c r="Q13" s="10">
        <v>2</v>
      </c>
      <c r="R13" s="10">
        <v>1.9475</v>
      </c>
      <c r="S13" s="10"/>
      <c r="T13" s="10"/>
      <c r="U13" s="10"/>
      <c r="V13" s="10"/>
      <c r="W13" s="10"/>
      <c r="X13" s="10"/>
      <c r="Y13" s="10"/>
      <c r="Z13" s="10"/>
      <c r="AA13" s="10"/>
      <c r="AB13" s="28"/>
    </row>
    <row r="14" spans="1:35" x14ac:dyDescent="0.2">
      <c r="D14" s="9">
        <v>37171</v>
      </c>
      <c r="E14" s="10">
        <v>2.15</v>
      </c>
      <c r="F14" s="10">
        <v>2.1</v>
      </c>
      <c r="G14" s="10">
        <v>1.93</v>
      </c>
      <c r="H14" s="10">
        <v>2.09</v>
      </c>
      <c r="I14" s="10">
        <v>1.75</v>
      </c>
      <c r="J14" s="10">
        <v>1.39</v>
      </c>
      <c r="K14" s="10">
        <v>1.84</v>
      </c>
      <c r="L14" s="10">
        <v>1.96</v>
      </c>
      <c r="M14" s="10">
        <v>1.79</v>
      </c>
      <c r="N14" s="10">
        <v>1.7630000000000001</v>
      </c>
      <c r="O14" s="10">
        <v>1.7</v>
      </c>
      <c r="P14" s="10">
        <v>2</v>
      </c>
      <c r="Q14" s="10">
        <v>2</v>
      </c>
      <c r="R14" s="10">
        <v>1.9475</v>
      </c>
      <c r="S14" s="10"/>
      <c r="T14" s="10"/>
      <c r="U14" s="10"/>
      <c r="V14" s="10"/>
      <c r="W14" s="10"/>
      <c r="X14" s="10"/>
      <c r="Y14" s="10"/>
      <c r="Z14" s="10"/>
      <c r="AA14" s="10"/>
      <c r="AB14" s="28"/>
    </row>
    <row r="15" spans="1:35" x14ac:dyDescent="0.2">
      <c r="D15" s="9">
        <v>37172</v>
      </c>
      <c r="E15" s="10">
        <v>2.15</v>
      </c>
      <c r="F15" s="10">
        <v>2.1</v>
      </c>
      <c r="G15" s="10">
        <v>1.93</v>
      </c>
      <c r="H15" s="10">
        <v>2.09</v>
      </c>
      <c r="I15" s="10">
        <v>1.75</v>
      </c>
      <c r="J15" s="10">
        <v>1.39</v>
      </c>
      <c r="K15" s="10">
        <v>1.84</v>
      </c>
      <c r="L15" s="10">
        <v>1.96</v>
      </c>
      <c r="M15" s="10">
        <v>1.79</v>
      </c>
      <c r="N15" s="10">
        <v>1.7630000000000001</v>
      </c>
      <c r="O15" s="10">
        <v>1.7</v>
      </c>
      <c r="P15" s="10">
        <v>2</v>
      </c>
      <c r="Q15" s="10">
        <v>2</v>
      </c>
      <c r="R15" s="10">
        <v>1.9475</v>
      </c>
      <c r="S15" s="10"/>
      <c r="T15" s="10"/>
      <c r="U15" s="10"/>
      <c r="V15" s="10"/>
      <c r="W15" s="10"/>
      <c r="X15" s="10"/>
      <c r="Y15" s="10"/>
      <c r="Z15" s="10"/>
      <c r="AA15" s="10"/>
      <c r="AB15" s="28"/>
    </row>
    <row r="16" spans="1:35" x14ac:dyDescent="0.2">
      <c r="D16" s="9">
        <v>37173</v>
      </c>
      <c r="E16" s="10">
        <v>2.15</v>
      </c>
      <c r="F16" s="10">
        <v>2.1</v>
      </c>
      <c r="G16" s="10">
        <v>1.93</v>
      </c>
      <c r="H16" s="10">
        <v>2.09</v>
      </c>
      <c r="I16" s="10">
        <v>1.75</v>
      </c>
      <c r="J16" s="10">
        <v>1.39</v>
      </c>
      <c r="K16" s="10">
        <v>1.84</v>
      </c>
      <c r="L16" s="10">
        <v>1.96</v>
      </c>
      <c r="M16" s="10">
        <v>1.79</v>
      </c>
      <c r="N16" s="10">
        <v>1.7630000000000001</v>
      </c>
      <c r="O16" s="10">
        <v>1.7</v>
      </c>
      <c r="P16" s="10">
        <v>2</v>
      </c>
      <c r="Q16" s="10">
        <v>2</v>
      </c>
      <c r="R16" s="10">
        <v>1.9475</v>
      </c>
      <c r="S16" s="10"/>
      <c r="T16" s="10"/>
      <c r="U16" s="10"/>
      <c r="V16" s="10"/>
      <c r="W16" s="10"/>
      <c r="X16" s="10"/>
      <c r="Y16" s="10"/>
      <c r="Z16" s="10"/>
      <c r="AA16" s="10"/>
      <c r="AB16" s="28"/>
    </row>
    <row r="17" spans="4:28" x14ac:dyDescent="0.2">
      <c r="D17" s="9">
        <v>37174</v>
      </c>
      <c r="E17" s="10">
        <v>2.15</v>
      </c>
      <c r="F17" s="10">
        <v>2.1</v>
      </c>
      <c r="G17" s="10">
        <v>1.93</v>
      </c>
      <c r="H17" s="10">
        <v>2.09</v>
      </c>
      <c r="I17" s="10">
        <v>1.75</v>
      </c>
      <c r="J17" s="10">
        <v>1.39</v>
      </c>
      <c r="K17" s="10">
        <v>1.84</v>
      </c>
      <c r="L17" s="10">
        <v>1.96</v>
      </c>
      <c r="M17" s="10">
        <v>1.79</v>
      </c>
      <c r="N17" s="10">
        <v>1.7630000000000001</v>
      </c>
      <c r="O17" s="10">
        <v>1.7</v>
      </c>
      <c r="P17" s="10">
        <v>2</v>
      </c>
      <c r="Q17" s="10">
        <v>2</v>
      </c>
      <c r="R17" s="10">
        <v>1.9475</v>
      </c>
      <c r="S17" s="10"/>
      <c r="T17" s="10"/>
      <c r="U17" s="10"/>
      <c r="V17" s="10"/>
      <c r="W17" s="10"/>
      <c r="X17" s="10"/>
      <c r="Y17" s="10"/>
      <c r="Z17" s="10"/>
      <c r="AA17" s="10"/>
      <c r="AB17" s="28"/>
    </row>
    <row r="18" spans="4:28" x14ac:dyDescent="0.2">
      <c r="D18" s="9">
        <v>37175</v>
      </c>
      <c r="E18" s="10">
        <v>2.15</v>
      </c>
      <c r="F18" s="10">
        <v>2.1</v>
      </c>
      <c r="G18" s="10">
        <v>1.93</v>
      </c>
      <c r="H18" s="10">
        <v>2.09</v>
      </c>
      <c r="I18" s="10">
        <v>1.75</v>
      </c>
      <c r="J18" s="10">
        <v>1.39</v>
      </c>
      <c r="K18" s="10">
        <v>1.84</v>
      </c>
      <c r="L18" s="10">
        <v>1.96</v>
      </c>
      <c r="M18" s="10">
        <v>1.79</v>
      </c>
      <c r="N18" s="10">
        <v>1.7630000000000001</v>
      </c>
      <c r="O18" s="10">
        <v>1.7</v>
      </c>
      <c r="P18" s="10">
        <v>2</v>
      </c>
      <c r="Q18" s="10">
        <v>2</v>
      </c>
      <c r="R18" s="10">
        <v>1.9475</v>
      </c>
      <c r="S18" s="10"/>
      <c r="T18" s="10"/>
      <c r="U18" s="10"/>
      <c r="V18" s="10"/>
      <c r="W18" s="10"/>
      <c r="X18" s="10"/>
      <c r="Y18" s="10"/>
      <c r="Z18" s="10"/>
      <c r="AA18" s="10"/>
      <c r="AB18" s="28"/>
    </row>
    <row r="19" spans="4:28" x14ac:dyDescent="0.2">
      <c r="D19" s="9">
        <v>37176</v>
      </c>
      <c r="E19" s="10">
        <v>2.15</v>
      </c>
      <c r="F19" s="10">
        <v>2.1</v>
      </c>
      <c r="G19" s="10">
        <v>1.93</v>
      </c>
      <c r="H19" s="10">
        <v>2.09</v>
      </c>
      <c r="I19" s="10">
        <v>1.75</v>
      </c>
      <c r="J19" s="10">
        <v>1.39</v>
      </c>
      <c r="K19" s="10">
        <v>1.84</v>
      </c>
      <c r="L19" s="10">
        <v>1.96</v>
      </c>
      <c r="M19" s="10">
        <v>1.79</v>
      </c>
      <c r="N19" s="10">
        <v>1.7630000000000001</v>
      </c>
      <c r="O19" s="10">
        <v>1.7</v>
      </c>
      <c r="P19" s="10">
        <v>2</v>
      </c>
      <c r="Q19" s="10">
        <v>2</v>
      </c>
      <c r="R19" s="10">
        <v>1.9475</v>
      </c>
      <c r="S19" s="10"/>
      <c r="T19" s="10"/>
      <c r="U19" s="10"/>
      <c r="V19" s="10"/>
      <c r="W19" s="10"/>
      <c r="X19" s="10"/>
      <c r="Y19" s="10"/>
      <c r="Z19" s="10"/>
      <c r="AA19" s="10"/>
      <c r="AB19" s="28"/>
    </row>
    <row r="20" spans="4:28" x14ac:dyDescent="0.2">
      <c r="D20" s="9">
        <v>37177</v>
      </c>
      <c r="E20" s="10">
        <v>2.15</v>
      </c>
      <c r="F20" s="10">
        <v>2.1</v>
      </c>
      <c r="G20" s="10">
        <v>1.93</v>
      </c>
      <c r="H20" s="10">
        <v>2.09</v>
      </c>
      <c r="I20" s="10">
        <v>1.75</v>
      </c>
      <c r="J20" s="10">
        <v>1.39</v>
      </c>
      <c r="K20" s="10">
        <v>1.84</v>
      </c>
      <c r="L20" s="10">
        <v>1.96</v>
      </c>
      <c r="M20" s="10">
        <v>1.79</v>
      </c>
      <c r="N20" s="10">
        <v>1.7630000000000001</v>
      </c>
      <c r="O20" s="10">
        <v>1.7</v>
      </c>
      <c r="P20" s="10">
        <v>2</v>
      </c>
      <c r="Q20" s="10">
        <v>2</v>
      </c>
      <c r="R20" s="10">
        <v>1.9475</v>
      </c>
      <c r="S20" s="10"/>
      <c r="T20" s="10"/>
      <c r="U20" s="10"/>
      <c r="V20" s="10"/>
      <c r="W20" s="10"/>
      <c r="X20" s="10"/>
      <c r="Y20" s="10"/>
      <c r="Z20" s="10"/>
      <c r="AA20" s="10"/>
      <c r="AB20" s="28"/>
    </row>
    <row r="21" spans="4:28" x14ac:dyDescent="0.2">
      <c r="D21" s="9">
        <v>37178</v>
      </c>
      <c r="E21" s="10">
        <v>2.15</v>
      </c>
      <c r="F21" s="10">
        <v>2.1</v>
      </c>
      <c r="G21" s="10">
        <v>1.93</v>
      </c>
      <c r="H21" s="10">
        <v>2.09</v>
      </c>
      <c r="I21" s="10">
        <v>1.75</v>
      </c>
      <c r="J21" s="10">
        <v>1.39</v>
      </c>
      <c r="K21" s="10">
        <v>1.84</v>
      </c>
      <c r="L21" s="10">
        <v>1.96</v>
      </c>
      <c r="M21" s="10">
        <v>1.79</v>
      </c>
      <c r="N21" s="10">
        <v>1.7630000000000001</v>
      </c>
      <c r="O21" s="10">
        <v>1.7</v>
      </c>
      <c r="P21" s="10">
        <v>2</v>
      </c>
      <c r="Q21" s="10">
        <v>2</v>
      </c>
      <c r="R21" s="10">
        <v>1.9475</v>
      </c>
      <c r="S21" s="10"/>
      <c r="T21" s="10"/>
      <c r="U21" s="10"/>
      <c r="V21" s="10"/>
      <c r="W21" s="10"/>
      <c r="X21" s="10"/>
      <c r="Y21" s="10"/>
      <c r="Z21" s="10"/>
      <c r="AA21" s="10"/>
      <c r="AB21" s="28"/>
    </row>
    <row r="22" spans="4:28" x14ac:dyDescent="0.2">
      <c r="D22" s="9">
        <v>37179</v>
      </c>
      <c r="E22" s="10">
        <v>2.15</v>
      </c>
      <c r="F22" s="10">
        <v>2.1</v>
      </c>
      <c r="G22" s="10">
        <v>1.93</v>
      </c>
      <c r="H22" s="10">
        <v>2.09</v>
      </c>
      <c r="I22" s="10">
        <v>1.75</v>
      </c>
      <c r="J22" s="10">
        <v>1.39</v>
      </c>
      <c r="K22" s="10">
        <v>1.84</v>
      </c>
      <c r="L22" s="10">
        <v>1.96</v>
      </c>
      <c r="M22" s="10">
        <v>1.79</v>
      </c>
      <c r="N22" s="10">
        <v>1.7630000000000001</v>
      </c>
      <c r="O22" s="10">
        <v>1.7</v>
      </c>
      <c r="P22" s="10">
        <v>2</v>
      </c>
      <c r="Q22" s="10">
        <v>2</v>
      </c>
      <c r="R22" s="10">
        <v>1.9475</v>
      </c>
      <c r="S22" s="10"/>
      <c r="T22" s="10"/>
      <c r="U22" s="10"/>
      <c r="V22" s="10"/>
      <c r="W22" s="10"/>
      <c r="X22" s="10"/>
      <c r="Y22" s="10"/>
      <c r="Z22" s="10"/>
      <c r="AA22" s="10"/>
      <c r="AB22" s="28"/>
    </row>
    <row r="23" spans="4:28" x14ac:dyDescent="0.2">
      <c r="D23" s="9">
        <v>37180</v>
      </c>
      <c r="E23" s="10">
        <v>2.15</v>
      </c>
      <c r="F23" s="10">
        <v>2.1</v>
      </c>
      <c r="G23" s="10">
        <v>1.93</v>
      </c>
      <c r="H23" s="10">
        <v>2.09</v>
      </c>
      <c r="I23" s="10">
        <v>1.75</v>
      </c>
      <c r="J23" s="10">
        <v>1.39</v>
      </c>
      <c r="K23" s="10">
        <v>1.84</v>
      </c>
      <c r="L23" s="10">
        <v>1.96</v>
      </c>
      <c r="M23" s="10">
        <v>1.79</v>
      </c>
      <c r="N23" s="10">
        <v>1.7630000000000001</v>
      </c>
      <c r="O23" s="10">
        <v>1.7</v>
      </c>
      <c r="P23" s="10">
        <v>2</v>
      </c>
      <c r="Q23" s="10">
        <v>2</v>
      </c>
      <c r="R23" s="10">
        <v>1.9475</v>
      </c>
      <c r="S23" s="10"/>
      <c r="T23" s="10"/>
      <c r="U23" s="10"/>
      <c r="V23" s="10"/>
      <c r="W23" s="10"/>
      <c r="X23" s="10"/>
      <c r="Y23" s="10"/>
      <c r="Z23" s="10"/>
      <c r="AA23" s="10"/>
      <c r="AB23" s="28"/>
    </row>
    <row r="24" spans="4:28" x14ac:dyDescent="0.2">
      <c r="D24" s="9">
        <v>37181</v>
      </c>
      <c r="E24" s="10">
        <v>2.15</v>
      </c>
      <c r="F24" s="10">
        <v>2.1</v>
      </c>
      <c r="G24" s="10">
        <v>1.93</v>
      </c>
      <c r="H24" s="10">
        <v>2.09</v>
      </c>
      <c r="I24" s="10">
        <v>1.75</v>
      </c>
      <c r="J24" s="10">
        <v>1.39</v>
      </c>
      <c r="K24" s="10">
        <v>1.84</v>
      </c>
      <c r="L24" s="10">
        <v>1.96</v>
      </c>
      <c r="M24" s="10">
        <v>1.79</v>
      </c>
      <c r="N24" s="10">
        <v>1.7630000000000001</v>
      </c>
      <c r="O24" s="10">
        <v>1.7</v>
      </c>
      <c r="P24" s="10">
        <v>2</v>
      </c>
      <c r="Q24" s="10">
        <v>2</v>
      </c>
      <c r="R24" s="10">
        <v>1.9475</v>
      </c>
      <c r="S24" s="10"/>
      <c r="T24" s="10"/>
      <c r="U24" s="10"/>
      <c r="V24" s="10"/>
      <c r="W24" s="10"/>
      <c r="X24" s="10"/>
      <c r="Y24" s="10"/>
      <c r="Z24" s="10"/>
      <c r="AA24" s="10"/>
      <c r="AB24" s="28"/>
    </row>
    <row r="25" spans="4:28" x14ac:dyDescent="0.2">
      <c r="D25" s="9">
        <v>37182</v>
      </c>
      <c r="E25" s="10">
        <v>2.15</v>
      </c>
      <c r="F25" s="10">
        <v>2.1</v>
      </c>
      <c r="G25" s="10">
        <v>1.93</v>
      </c>
      <c r="H25" s="10">
        <v>2.09</v>
      </c>
      <c r="I25" s="10">
        <v>1.75</v>
      </c>
      <c r="J25" s="10">
        <v>1.39</v>
      </c>
      <c r="K25" s="10">
        <v>1.84</v>
      </c>
      <c r="L25" s="10">
        <v>1.96</v>
      </c>
      <c r="M25" s="10">
        <v>1.79</v>
      </c>
      <c r="N25" s="10">
        <v>1.7630000000000001</v>
      </c>
      <c r="O25" s="10">
        <v>1.7</v>
      </c>
      <c r="P25" s="10">
        <v>2</v>
      </c>
      <c r="Q25" s="10">
        <v>2</v>
      </c>
      <c r="R25" s="10">
        <v>1.9475</v>
      </c>
      <c r="S25" s="10"/>
      <c r="T25" s="10"/>
      <c r="U25" s="10"/>
      <c r="V25" s="10"/>
      <c r="W25" s="10"/>
      <c r="X25" s="10"/>
      <c r="Y25" s="10"/>
      <c r="Z25" s="10"/>
      <c r="AA25" s="10"/>
      <c r="AB25" s="28"/>
    </row>
    <row r="26" spans="4:28" x14ac:dyDescent="0.2">
      <c r="D26" s="9">
        <v>37183</v>
      </c>
      <c r="E26" s="10">
        <v>2.15</v>
      </c>
      <c r="F26" s="10">
        <v>2.1</v>
      </c>
      <c r="G26" s="10">
        <v>1.93</v>
      </c>
      <c r="H26" s="10">
        <v>2.09</v>
      </c>
      <c r="I26" s="10">
        <v>1.75</v>
      </c>
      <c r="J26" s="10">
        <v>1.39</v>
      </c>
      <c r="K26" s="10">
        <v>1.84</v>
      </c>
      <c r="L26" s="10">
        <v>1.96</v>
      </c>
      <c r="M26" s="10">
        <v>1.79</v>
      </c>
      <c r="N26" s="10">
        <v>1.7630000000000001</v>
      </c>
      <c r="O26" s="10">
        <v>1.7</v>
      </c>
      <c r="P26" s="10">
        <v>2</v>
      </c>
      <c r="Q26" s="10">
        <v>2</v>
      </c>
      <c r="R26" s="10">
        <v>1.9475</v>
      </c>
      <c r="S26" s="10"/>
      <c r="T26" s="10"/>
      <c r="U26" s="10"/>
      <c r="V26" s="10"/>
      <c r="W26" s="10"/>
      <c r="X26" s="10"/>
      <c r="Y26" s="10"/>
      <c r="Z26" s="10"/>
      <c r="AA26" s="10"/>
      <c r="AB26" s="28"/>
    </row>
    <row r="27" spans="4:28" x14ac:dyDescent="0.2">
      <c r="D27" s="9">
        <v>37184</v>
      </c>
      <c r="E27" s="10">
        <v>2.15</v>
      </c>
      <c r="F27" s="10">
        <v>2.1</v>
      </c>
      <c r="G27" s="10">
        <v>1.93</v>
      </c>
      <c r="H27" s="10">
        <v>2.09</v>
      </c>
      <c r="I27" s="10">
        <v>1.75</v>
      </c>
      <c r="J27" s="10">
        <v>1.39</v>
      </c>
      <c r="K27" s="10">
        <v>1.84</v>
      </c>
      <c r="L27" s="10">
        <v>1.96</v>
      </c>
      <c r="M27" s="10">
        <v>1.79</v>
      </c>
      <c r="N27" s="10">
        <v>1.7630000000000001</v>
      </c>
      <c r="O27" s="10">
        <v>1.7</v>
      </c>
      <c r="P27" s="10">
        <v>2</v>
      </c>
      <c r="Q27" s="10">
        <v>2</v>
      </c>
      <c r="R27" s="10">
        <v>1.9475</v>
      </c>
      <c r="S27" s="10"/>
      <c r="T27" s="10"/>
      <c r="U27" s="10"/>
      <c r="V27" s="10"/>
      <c r="W27" s="10"/>
      <c r="X27" s="10"/>
      <c r="Y27" s="10"/>
      <c r="Z27" s="10"/>
      <c r="AA27" s="10"/>
      <c r="AB27" s="28"/>
    </row>
    <row r="28" spans="4:28" x14ac:dyDescent="0.2">
      <c r="D28" s="9">
        <v>37185</v>
      </c>
      <c r="E28" s="10">
        <v>2.15</v>
      </c>
      <c r="F28" s="10">
        <v>2.1</v>
      </c>
      <c r="G28" s="10">
        <v>1.93</v>
      </c>
      <c r="H28" s="10">
        <v>2.09</v>
      </c>
      <c r="I28" s="10">
        <v>1.75</v>
      </c>
      <c r="J28" s="10">
        <v>1.39</v>
      </c>
      <c r="K28" s="10">
        <v>1.84</v>
      </c>
      <c r="L28" s="10">
        <v>1.96</v>
      </c>
      <c r="M28" s="10">
        <v>1.79</v>
      </c>
      <c r="N28" s="10">
        <v>1.7630000000000001</v>
      </c>
      <c r="O28" s="10">
        <v>1.7</v>
      </c>
      <c r="P28" s="10">
        <v>2</v>
      </c>
      <c r="Q28" s="10">
        <v>2</v>
      </c>
      <c r="R28" s="10">
        <v>1.9475</v>
      </c>
      <c r="S28" s="10"/>
      <c r="T28" s="10"/>
      <c r="U28" s="10"/>
      <c r="V28" s="10"/>
      <c r="W28" s="10"/>
      <c r="X28" s="10"/>
      <c r="Y28" s="10"/>
      <c r="Z28" s="10"/>
      <c r="AA28" s="10"/>
      <c r="AB28" s="28"/>
    </row>
    <row r="29" spans="4:28" x14ac:dyDescent="0.2">
      <c r="D29" s="9">
        <v>37186</v>
      </c>
      <c r="E29" s="10">
        <v>2.15</v>
      </c>
      <c r="F29" s="10">
        <v>2.1</v>
      </c>
      <c r="G29" s="10">
        <v>1.93</v>
      </c>
      <c r="H29" s="10">
        <v>2.09</v>
      </c>
      <c r="I29" s="10">
        <v>1.75</v>
      </c>
      <c r="J29" s="10">
        <v>1.39</v>
      </c>
      <c r="K29" s="10">
        <v>1.84</v>
      </c>
      <c r="L29" s="10">
        <v>1.96</v>
      </c>
      <c r="M29" s="10">
        <v>1.79</v>
      </c>
      <c r="N29" s="10">
        <v>1.7630000000000001</v>
      </c>
      <c r="O29" s="10">
        <v>1.7</v>
      </c>
      <c r="P29" s="10">
        <v>2</v>
      </c>
      <c r="Q29" s="10">
        <v>2</v>
      </c>
      <c r="R29" s="10">
        <v>1.9475</v>
      </c>
      <c r="S29" s="10"/>
      <c r="T29" s="10"/>
      <c r="U29" s="10"/>
      <c r="V29" s="10"/>
      <c r="W29" s="10"/>
      <c r="X29" s="10"/>
      <c r="Y29" s="10"/>
      <c r="Z29" s="10"/>
      <c r="AA29" s="10"/>
      <c r="AB29" s="28"/>
    </row>
    <row r="30" spans="4:28" x14ac:dyDescent="0.2">
      <c r="D30" s="9">
        <v>37187</v>
      </c>
      <c r="E30" s="10">
        <v>2.15</v>
      </c>
      <c r="F30" s="10">
        <v>2.1</v>
      </c>
      <c r="G30" s="10">
        <v>1.93</v>
      </c>
      <c r="H30" s="10">
        <v>2.09</v>
      </c>
      <c r="I30" s="10">
        <v>1.75</v>
      </c>
      <c r="J30" s="10">
        <v>1.39</v>
      </c>
      <c r="K30" s="10">
        <v>1.84</v>
      </c>
      <c r="L30" s="10">
        <v>1.96</v>
      </c>
      <c r="M30" s="10">
        <v>1.79</v>
      </c>
      <c r="N30" s="10">
        <v>1.7630000000000001</v>
      </c>
      <c r="O30" s="10">
        <v>1.7</v>
      </c>
      <c r="P30" s="10">
        <v>2</v>
      </c>
      <c r="Q30" s="10">
        <v>2</v>
      </c>
      <c r="R30" s="10">
        <v>1.9475</v>
      </c>
      <c r="S30" s="10"/>
      <c r="T30" s="10"/>
      <c r="U30" s="10"/>
      <c r="V30" s="10"/>
      <c r="W30" s="10"/>
      <c r="X30" s="10"/>
      <c r="Y30" s="10"/>
      <c r="Z30" s="10"/>
      <c r="AA30" s="10"/>
      <c r="AB30" s="28"/>
    </row>
    <row r="31" spans="4:28" x14ac:dyDescent="0.2">
      <c r="D31" s="9">
        <v>37188</v>
      </c>
      <c r="E31" s="10">
        <v>2.15</v>
      </c>
      <c r="F31" s="10">
        <v>2.1</v>
      </c>
      <c r="G31" s="10">
        <v>1.93</v>
      </c>
      <c r="H31" s="10">
        <v>2.09</v>
      </c>
      <c r="I31" s="10">
        <v>1.75</v>
      </c>
      <c r="J31" s="10">
        <v>1.39</v>
      </c>
      <c r="K31" s="10">
        <v>1.84</v>
      </c>
      <c r="L31" s="10">
        <v>1.96</v>
      </c>
      <c r="M31" s="10">
        <v>1.79</v>
      </c>
      <c r="N31" s="10">
        <v>1.7630000000000001</v>
      </c>
      <c r="O31" s="10">
        <v>1.7</v>
      </c>
      <c r="P31" s="10">
        <v>2</v>
      </c>
      <c r="Q31" s="10">
        <v>2</v>
      </c>
      <c r="R31" s="10">
        <v>1.9475</v>
      </c>
      <c r="S31" s="10"/>
      <c r="T31" s="10"/>
      <c r="U31" s="10"/>
      <c r="V31" s="10"/>
      <c r="W31" s="10"/>
      <c r="X31" s="10"/>
      <c r="Y31" s="10"/>
      <c r="Z31" s="10"/>
      <c r="AA31" s="10"/>
      <c r="AB31" s="28"/>
    </row>
    <row r="32" spans="4:28" x14ac:dyDescent="0.2">
      <c r="D32" s="9">
        <v>37189</v>
      </c>
      <c r="E32" s="10">
        <v>2.15</v>
      </c>
      <c r="F32" s="10">
        <v>2.1</v>
      </c>
      <c r="G32" s="10">
        <v>1.93</v>
      </c>
      <c r="H32" s="10">
        <v>2.09</v>
      </c>
      <c r="I32" s="10">
        <v>1.75</v>
      </c>
      <c r="J32" s="10">
        <v>1.39</v>
      </c>
      <c r="K32" s="10">
        <v>1.84</v>
      </c>
      <c r="L32" s="10">
        <v>1.96</v>
      </c>
      <c r="M32" s="10">
        <v>1.79</v>
      </c>
      <c r="N32" s="10">
        <v>1.7630000000000001</v>
      </c>
      <c r="O32" s="10">
        <v>1.7</v>
      </c>
      <c r="P32" s="10">
        <v>2</v>
      </c>
      <c r="Q32" s="10">
        <v>2</v>
      </c>
      <c r="R32" s="10">
        <v>1.9475</v>
      </c>
      <c r="S32" s="10"/>
      <c r="T32" s="10"/>
      <c r="U32" s="10"/>
      <c r="V32" s="10"/>
      <c r="W32" s="10"/>
      <c r="X32" s="10"/>
      <c r="Y32" s="10"/>
      <c r="Z32" s="10"/>
      <c r="AA32" s="10"/>
      <c r="AB32" s="28"/>
    </row>
    <row r="33" spans="4:28" x14ac:dyDescent="0.2">
      <c r="D33" s="9">
        <v>37190</v>
      </c>
      <c r="E33" s="10">
        <v>2.15</v>
      </c>
      <c r="F33" s="10">
        <v>2.1</v>
      </c>
      <c r="G33" s="10">
        <v>1.93</v>
      </c>
      <c r="H33" s="10">
        <v>2.09</v>
      </c>
      <c r="I33" s="10">
        <v>1.75</v>
      </c>
      <c r="J33" s="10">
        <v>1.39</v>
      </c>
      <c r="K33" s="10">
        <v>1.84</v>
      </c>
      <c r="L33" s="10">
        <v>1.96</v>
      </c>
      <c r="M33" s="10">
        <v>1.79</v>
      </c>
      <c r="N33" s="10">
        <v>1.7630000000000001</v>
      </c>
      <c r="O33" s="10">
        <v>1.7</v>
      </c>
      <c r="P33" s="10">
        <v>2</v>
      </c>
      <c r="Q33" s="10">
        <v>2</v>
      </c>
      <c r="R33" s="10">
        <v>1.9475</v>
      </c>
      <c r="S33" s="10"/>
      <c r="T33" s="10"/>
      <c r="U33" s="10"/>
      <c r="V33" s="10"/>
      <c r="W33" s="10"/>
      <c r="X33" s="10"/>
      <c r="Y33" s="10"/>
      <c r="Z33" s="10"/>
      <c r="AA33" s="10"/>
      <c r="AB33" s="28"/>
    </row>
    <row r="34" spans="4:28" x14ac:dyDescent="0.2">
      <c r="D34" s="9">
        <v>37191</v>
      </c>
      <c r="E34" s="10">
        <v>2.15</v>
      </c>
      <c r="F34" s="10">
        <v>2.1</v>
      </c>
      <c r="G34" s="10">
        <v>1.93</v>
      </c>
      <c r="H34" s="10">
        <v>2.09</v>
      </c>
      <c r="I34" s="10">
        <v>1.75</v>
      </c>
      <c r="J34" s="10">
        <v>1.39</v>
      </c>
      <c r="K34" s="10">
        <v>1.84</v>
      </c>
      <c r="L34" s="10">
        <v>1.96</v>
      </c>
      <c r="M34" s="10">
        <v>1.79</v>
      </c>
      <c r="N34" s="10">
        <v>1.7630000000000001</v>
      </c>
      <c r="O34" s="10">
        <v>1.7</v>
      </c>
      <c r="P34" s="10">
        <v>2</v>
      </c>
      <c r="Q34" s="10">
        <v>2</v>
      </c>
      <c r="R34" s="10">
        <v>1.9475</v>
      </c>
      <c r="S34" s="10"/>
      <c r="T34" s="10"/>
      <c r="U34" s="10"/>
      <c r="V34" s="10"/>
      <c r="W34" s="10"/>
      <c r="X34" s="10"/>
      <c r="Y34" s="10"/>
      <c r="Z34" s="10"/>
      <c r="AA34" s="10"/>
      <c r="AB34" s="28"/>
    </row>
    <row r="35" spans="4:28" x14ac:dyDescent="0.2">
      <c r="D35" s="9">
        <v>37192</v>
      </c>
      <c r="E35" s="10">
        <v>2.15</v>
      </c>
      <c r="F35" s="10">
        <v>2.1</v>
      </c>
      <c r="G35" s="10">
        <v>1.93</v>
      </c>
      <c r="H35" s="10">
        <v>2.09</v>
      </c>
      <c r="I35" s="10">
        <v>1.75</v>
      </c>
      <c r="J35" s="10">
        <v>1.39</v>
      </c>
      <c r="K35" s="10">
        <v>1.84</v>
      </c>
      <c r="L35" s="10">
        <v>1.96</v>
      </c>
      <c r="M35" s="10">
        <v>1.79</v>
      </c>
      <c r="N35" s="10">
        <v>1.7630000000000001</v>
      </c>
      <c r="O35" s="10">
        <v>1.7</v>
      </c>
      <c r="P35" s="10">
        <v>2</v>
      </c>
      <c r="Q35" s="10">
        <v>2</v>
      </c>
      <c r="R35" s="10">
        <v>1.9475</v>
      </c>
      <c r="S35" s="10"/>
      <c r="T35" s="10"/>
      <c r="U35" s="10"/>
      <c r="V35" s="10"/>
      <c r="W35" s="10"/>
      <c r="X35" s="10"/>
      <c r="Y35" s="10"/>
      <c r="Z35" s="10"/>
      <c r="AA35" s="10"/>
      <c r="AB35" s="28"/>
    </row>
    <row r="36" spans="4:28" x14ac:dyDescent="0.2">
      <c r="D36" s="9">
        <v>37193</v>
      </c>
      <c r="E36" s="10">
        <v>2.15</v>
      </c>
      <c r="F36" s="10">
        <v>2.1</v>
      </c>
      <c r="G36" s="10">
        <v>1.93</v>
      </c>
      <c r="H36" s="10">
        <v>2.09</v>
      </c>
      <c r="I36" s="10">
        <v>1.75</v>
      </c>
      <c r="J36" s="10">
        <v>1.39</v>
      </c>
      <c r="K36" s="10">
        <v>1.84</v>
      </c>
      <c r="L36" s="10">
        <v>1.96</v>
      </c>
      <c r="M36" s="10">
        <v>1.79</v>
      </c>
      <c r="N36" s="10">
        <v>1.7630000000000001</v>
      </c>
      <c r="O36" s="10">
        <v>1.7</v>
      </c>
      <c r="P36" s="10">
        <v>2</v>
      </c>
      <c r="Q36" s="10">
        <v>2</v>
      </c>
      <c r="R36" s="10">
        <v>1.9475</v>
      </c>
      <c r="S36" s="10"/>
      <c r="T36" s="10"/>
      <c r="U36" s="10"/>
      <c r="V36" s="10"/>
      <c r="W36" s="10"/>
      <c r="X36" s="10"/>
      <c r="Y36" s="10"/>
      <c r="Z36" s="10"/>
      <c r="AA36" s="10"/>
      <c r="AB36" s="28"/>
    </row>
    <row r="37" spans="4:28" x14ac:dyDescent="0.2">
      <c r="D37" s="9">
        <v>37194</v>
      </c>
      <c r="E37" s="10">
        <v>2.15</v>
      </c>
      <c r="F37" s="10">
        <v>2.1</v>
      </c>
      <c r="G37" s="10">
        <v>1.93</v>
      </c>
      <c r="H37" s="10">
        <v>2.09</v>
      </c>
      <c r="I37" s="10">
        <v>1.75</v>
      </c>
      <c r="J37" s="10">
        <v>1.39</v>
      </c>
      <c r="K37" s="10">
        <v>1.84</v>
      </c>
      <c r="L37" s="10">
        <v>1.96</v>
      </c>
      <c r="M37" s="10">
        <v>1.79</v>
      </c>
      <c r="N37" s="10">
        <v>1.7630000000000001</v>
      </c>
      <c r="O37" s="10">
        <v>1.7</v>
      </c>
      <c r="P37" s="10">
        <v>2</v>
      </c>
      <c r="Q37" s="10">
        <v>2</v>
      </c>
      <c r="R37" s="10">
        <v>1.9475</v>
      </c>
      <c r="S37" s="10"/>
      <c r="T37" s="10"/>
      <c r="U37" s="10"/>
      <c r="V37" s="10"/>
      <c r="W37" s="10"/>
      <c r="X37" s="10"/>
      <c r="Y37" s="10"/>
      <c r="Z37" s="10"/>
      <c r="AA37" s="10"/>
      <c r="AB37" s="28"/>
    </row>
    <row r="38" spans="4:28" x14ac:dyDescent="0.2">
      <c r="D38" s="9">
        <v>37195</v>
      </c>
      <c r="E38" s="10">
        <v>2.15</v>
      </c>
      <c r="F38" s="10">
        <v>2.1</v>
      </c>
      <c r="G38" s="10">
        <v>1.93</v>
      </c>
      <c r="H38" s="10">
        <v>2.09</v>
      </c>
      <c r="I38" s="10">
        <v>1.75</v>
      </c>
      <c r="J38" s="10">
        <v>1.39</v>
      </c>
      <c r="K38" s="10">
        <v>1.84</v>
      </c>
      <c r="L38" s="10">
        <v>1.96</v>
      </c>
      <c r="M38" s="10">
        <v>1.79</v>
      </c>
      <c r="N38" s="10">
        <v>1.7630000000000001</v>
      </c>
      <c r="O38" s="10">
        <v>1.7</v>
      </c>
      <c r="P38" s="10">
        <v>2</v>
      </c>
      <c r="Q38" s="10">
        <v>2</v>
      </c>
      <c r="R38" s="10">
        <v>1.9475</v>
      </c>
      <c r="S38" s="10"/>
      <c r="T38" s="10"/>
      <c r="U38" s="10"/>
      <c r="V38" s="10"/>
      <c r="W38" s="10"/>
      <c r="X38" s="10"/>
      <c r="Y38" s="10"/>
      <c r="Z38" s="10"/>
      <c r="AA38" s="10"/>
      <c r="AB38" s="28"/>
    </row>
    <row r="39" spans="4:28" x14ac:dyDescent="0.2">
      <c r="D39" s="9">
        <v>37196</v>
      </c>
      <c r="E39" s="10">
        <v>2.15</v>
      </c>
      <c r="F39" s="10">
        <v>2.1</v>
      </c>
      <c r="G39" s="10">
        <v>1.93</v>
      </c>
      <c r="H39" s="10">
        <v>2.09</v>
      </c>
      <c r="I39" s="10">
        <v>1.75</v>
      </c>
      <c r="J39" s="10">
        <v>1.39</v>
      </c>
      <c r="K39" s="10">
        <v>1.84</v>
      </c>
      <c r="L39" s="10"/>
      <c r="M39" s="10">
        <v>1.79</v>
      </c>
      <c r="N39" s="10">
        <v>1.7630000000000001</v>
      </c>
      <c r="O39" s="10">
        <v>1.7</v>
      </c>
      <c r="P39" s="10">
        <v>2</v>
      </c>
      <c r="Q39" s="10">
        <v>2</v>
      </c>
      <c r="R39" s="10">
        <v>1.9475</v>
      </c>
      <c r="S39" s="10"/>
      <c r="T39" s="10"/>
      <c r="U39" s="10"/>
      <c r="V39" s="10"/>
      <c r="W39" s="10"/>
      <c r="X39" s="10"/>
      <c r="Y39" s="10"/>
      <c r="Z39" s="10"/>
      <c r="AA39" s="10"/>
      <c r="AB39" s="28"/>
    </row>
    <row r="40" spans="4:28" x14ac:dyDescent="0.2">
      <c r="D40" s="9">
        <v>37197</v>
      </c>
      <c r="E40" s="10">
        <v>2.15</v>
      </c>
      <c r="F40" s="10">
        <v>2.1</v>
      </c>
      <c r="G40" s="10">
        <v>1.93</v>
      </c>
      <c r="H40" s="10">
        <v>2.09</v>
      </c>
      <c r="I40" s="10">
        <v>1.75</v>
      </c>
      <c r="J40" s="10">
        <v>1.39</v>
      </c>
      <c r="K40" s="10">
        <v>1.84</v>
      </c>
      <c r="L40" s="10"/>
      <c r="M40" s="10">
        <v>1.79</v>
      </c>
      <c r="N40" s="10">
        <v>1.7630000000000001</v>
      </c>
      <c r="O40" s="10">
        <v>1.7</v>
      </c>
      <c r="P40" s="10">
        <v>2</v>
      </c>
      <c r="Q40" s="10">
        <v>2</v>
      </c>
      <c r="R40" s="10">
        <v>1.9475</v>
      </c>
      <c r="S40" s="10"/>
      <c r="T40" s="10"/>
      <c r="U40" s="10"/>
      <c r="V40" s="10"/>
      <c r="W40" s="10"/>
      <c r="X40" s="10"/>
      <c r="Y40" s="10"/>
      <c r="Z40" s="10"/>
      <c r="AA40" s="10"/>
      <c r="AB40" s="28"/>
    </row>
    <row r="41" spans="4:28" x14ac:dyDescent="0.2">
      <c r="D41" s="9">
        <v>37198</v>
      </c>
      <c r="E41" s="10">
        <v>2.15</v>
      </c>
      <c r="F41" s="10">
        <v>2.1</v>
      </c>
      <c r="G41" s="10">
        <v>1.93</v>
      </c>
      <c r="H41" s="10">
        <v>2.09</v>
      </c>
      <c r="I41" s="10">
        <v>1.75</v>
      </c>
      <c r="J41" s="10">
        <v>1.39</v>
      </c>
      <c r="K41" s="10">
        <v>1.84</v>
      </c>
      <c r="L41" s="10"/>
      <c r="M41" s="10">
        <v>1.79</v>
      </c>
      <c r="N41" s="10">
        <v>1.7630000000000001</v>
      </c>
      <c r="O41" s="10">
        <v>1.7</v>
      </c>
      <c r="P41" s="10">
        <v>2</v>
      </c>
      <c r="Q41" s="10">
        <v>2</v>
      </c>
      <c r="R41" s="10">
        <v>1.9475</v>
      </c>
      <c r="S41" s="10"/>
      <c r="T41" s="10"/>
      <c r="U41" s="10"/>
      <c r="V41" s="10"/>
      <c r="W41" s="10"/>
      <c r="X41" s="10"/>
      <c r="Y41" s="10"/>
      <c r="Z41" s="10"/>
      <c r="AA41" s="10"/>
      <c r="AB41" s="28"/>
    </row>
    <row r="42" spans="4:28" x14ac:dyDescent="0.2">
      <c r="D42" s="9">
        <v>37199</v>
      </c>
      <c r="E42" s="10">
        <v>2.15</v>
      </c>
      <c r="F42" s="10">
        <v>2.1</v>
      </c>
      <c r="G42" s="10">
        <v>1.93</v>
      </c>
      <c r="H42" s="10">
        <v>2.09</v>
      </c>
      <c r="I42" s="10">
        <v>1.75</v>
      </c>
      <c r="J42" s="10">
        <v>1.39</v>
      </c>
      <c r="K42" s="10">
        <v>1.84</v>
      </c>
      <c r="L42" s="10"/>
      <c r="M42" s="10">
        <v>1.79</v>
      </c>
      <c r="N42" s="10">
        <v>1.7630000000000001</v>
      </c>
      <c r="O42" s="10">
        <v>1.7</v>
      </c>
      <c r="P42" s="10">
        <v>2</v>
      </c>
      <c r="Q42" s="10">
        <v>2</v>
      </c>
      <c r="R42" s="10">
        <v>1.9475</v>
      </c>
      <c r="S42" s="10"/>
      <c r="T42" s="10"/>
      <c r="U42" s="10"/>
      <c r="V42" s="10"/>
      <c r="W42" s="10"/>
      <c r="X42" s="10"/>
      <c r="Y42" s="10"/>
      <c r="Z42" s="10"/>
      <c r="AA42" s="10"/>
      <c r="AB42" s="28"/>
    </row>
    <row r="43" spans="4:28" x14ac:dyDescent="0.2">
      <c r="D43" s="9">
        <v>37200</v>
      </c>
      <c r="E43" s="10">
        <v>2.15</v>
      </c>
      <c r="F43" s="10">
        <v>2.1</v>
      </c>
      <c r="G43" s="10">
        <v>1.93</v>
      </c>
      <c r="H43" s="10">
        <v>2.09</v>
      </c>
      <c r="I43" s="10">
        <v>1.75</v>
      </c>
      <c r="J43" s="10">
        <v>1.39</v>
      </c>
      <c r="K43" s="10">
        <v>1.84</v>
      </c>
      <c r="L43" s="10"/>
      <c r="M43" s="10">
        <v>1.79</v>
      </c>
      <c r="N43" s="10">
        <v>1.7630000000000001</v>
      </c>
      <c r="O43" s="10">
        <v>1.7</v>
      </c>
      <c r="P43" s="10">
        <v>2</v>
      </c>
      <c r="Q43" s="10">
        <v>2</v>
      </c>
      <c r="R43" s="10">
        <v>1.9475</v>
      </c>
      <c r="S43" s="10"/>
      <c r="T43" s="10"/>
      <c r="U43" s="10"/>
      <c r="V43" s="10"/>
      <c r="W43" s="10"/>
      <c r="X43" s="10"/>
      <c r="Y43" s="10"/>
      <c r="Z43" s="10"/>
      <c r="AA43" s="10"/>
      <c r="AB43" s="28"/>
    </row>
    <row r="44" spans="4:28" x14ac:dyDescent="0.2">
      <c r="D44" s="9">
        <v>37201</v>
      </c>
      <c r="E44" s="10">
        <v>2.15</v>
      </c>
      <c r="F44" s="10">
        <v>2.1</v>
      </c>
      <c r="G44" s="10">
        <v>1.93</v>
      </c>
      <c r="H44" s="10">
        <v>2.09</v>
      </c>
      <c r="I44" s="10">
        <v>1.75</v>
      </c>
      <c r="J44" s="10">
        <v>1.39</v>
      </c>
      <c r="K44" s="10">
        <v>1.84</v>
      </c>
      <c r="L44" s="10"/>
      <c r="M44" s="10">
        <v>1.79</v>
      </c>
      <c r="N44" s="10">
        <v>1.7630000000000001</v>
      </c>
      <c r="O44" s="10">
        <v>1.7</v>
      </c>
      <c r="P44" s="10">
        <v>2</v>
      </c>
      <c r="Q44" s="10">
        <v>2</v>
      </c>
      <c r="R44" s="10">
        <v>1.9475</v>
      </c>
      <c r="S44" s="10"/>
      <c r="T44" s="10"/>
      <c r="U44" s="10"/>
      <c r="V44" s="10"/>
      <c r="W44" s="10"/>
      <c r="X44" s="10"/>
      <c r="Y44" s="10"/>
      <c r="Z44" s="10"/>
      <c r="AA44" s="10"/>
      <c r="AB44" s="28"/>
    </row>
    <row r="45" spans="4:28" x14ac:dyDescent="0.2">
      <c r="D45" s="9">
        <v>37202</v>
      </c>
      <c r="E45" s="10">
        <v>2.15</v>
      </c>
      <c r="F45" s="10">
        <v>2.1</v>
      </c>
      <c r="G45" s="10">
        <v>1.93</v>
      </c>
      <c r="H45" s="10">
        <v>2.09</v>
      </c>
      <c r="I45" s="10">
        <v>1.75</v>
      </c>
      <c r="J45" s="10">
        <v>1.39</v>
      </c>
      <c r="K45" s="10">
        <v>1.84</v>
      </c>
      <c r="L45" s="10"/>
      <c r="M45" s="10">
        <v>1.79</v>
      </c>
      <c r="N45" s="10">
        <v>1.7630000000000001</v>
      </c>
      <c r="O45" s="10">
        <v>1.7</v>
      </c>
      <c r="P45" s="10">
        <v>2</v>
      </c>
      <c r="Q45" s="10">
        <v>2</v>
      </c>
      <c r="R45" s="10">
        <v>1.9475</v>
      </c>
      <c r="S45" s="10"/>
      <c r="T45" s="10"/>
      <c r="U45" s="10"/>
      <c r="V45" s="10"/>
      <c r="W45" s="10"/>
      <c r="X45" s="10"/>
      <c r="Y45" s="10"/>
      <c r="Z45" s="10"/>
      <c r="AA45" s="10"/>
      <c r="AB45" s="28"/>
    </row>
    <row r="46" spans="4:28" x14ac:dyDescent="0.2">
      <c r="D46" s="9">
        <v>37203</v>
      </c>
      <c r="E46" s="10">
        <v>2.15</v>
      </c>
      <c r="F46" s="10">
        <v>2.1</v>
      </c>
      <c r="G46" s="10">
        <v>1.93</v>
      </c>
      <c r="H46" s="10">
        <v>2.09</v>
      </c>
      <c r="I46" s="10">
        <v>1.75</v>
      </c>
      <c r="J46" s="10">
        <v>1.39</v>
      </c>
      <c r="K46" s="10">
        <v>1.84</v>
      </c>
      <c r="L46" s="10"/>
      <c r="M46" s="10">
        <v>1.79</v>
      </c>
      <c r="N46" s="10">
        <v>1.7630000000000001</v>
      </c>
      <c r="O46" s="10">
        <v>1.7</v>
      </c>
      <c r="P46" s="10">
        <v>2</v>
      </c>
      <c r="Q46" s="10">
        <v>2</v>
      </c>
      <c r="R46" s="10">
        <v>1.9475</v>
      </c>
      <c r="S46" s="10"/>
      <c r="T46" s="10"/>
      <c r="U46" s="10"/>
      <c r="V46" s="10"/>
      <c r="W46" s="10"/>
      <c r="X46" s="10"/>
      <c r="Y46" s="10"/>
      <c r="Z46" s="10"/>
      <c r="AA46" s="10"/>
      <c r="AB46" s="28"/>
    </row>
    <row r="47" spans="4:28" x14ac:dyDescent="0.2">
      <c r="D47" s="9">
        <v>37204</v>
      </c>
      <c r="E47" s="10">
        <v>2.15</v>
      </c>
      <c r="F47" s="10">
        <v>2.1</v>
      </c>
      <c r="G47" s="10">
        <v>1.93</v>
      </c>
      <c r="H47" s="10">
        <v>2.09</v>
      </c>
      <c r="I47" s="10">
        <v>1.75</v>
      </c>
      <c r="J47" s="10">
        <v>1.39</v>
      </c>
      <c r="K47" s="10">
        <v>1.84</v>
      </c>
      <c r="L47" s="10"/>
      <c r="M47" s="10">
        <v>1.79</v>
      </c>
      <c r="N47" s="10">
        <v>1.7630000000000001</v>
      </c>
      <c r="O47" s="10">
        <v>1.7</v>
      </c>
      <c r="P47" s="10">
        <v>2</v>
      </c>
      <c r="Q47" s="10">
        <v>2</v>
      </c>
      <c r="R47" s="10">
        <v>1.9475</v>
      </c>
      <c r="S47" s="10"/>
      <c r="T47" s="10"/>
      <c r="U47" s="10"/>
      <c r="V47" s="10"/>
      <c r="W47" s="10"/>
      <c r="X47" s="10"/>
      <c r="Y47" s="10"/>
      <c r="Z47" s="10"/>
      <c r="AA47" s="10"/>
      <c r="AB47" s="28"/>
    </row>
    <row r="48" spans="4:28" x14ac:dyDescent="0.2">
      <c r="D48" s="9">
        <v>37205</v>
      </c>
      <c r="E48" s="10">
        <v>2.15</v>
      </c>
      <c r="F48" s="10">
        <v>2.1</v>
      </c>
      <c r="G48" s="10">
        <v>1.93</v>
      </c>
      <c r="H48" s="10">
        <v>2.09</v>
      </c>
      <c r="I48" s="10">
        <v>1.75</v>
      </c>
      <c r="J48" s="10">
        <v>1.39</v>
      </c>
      <c r="K48" s="10">
        <v>1.84</v>
      </c>
      <c r="L48" s="10"/>
      <c r="M48" s="10">
        <v>1.79</v>
      </c>
      <c r="N48" s="10">
        <v>1.7630000000000001</v>
      </c>
      <c r="O48" s="10">
        <v>1.7</v>
      </c>
      <c r="P48" s="10">
        <v>2</v>
      </c>
      <c r="Q48" s="10">
        <v>2</v>
      </c>
      <c r="R48" s="10">
        <v>1.9475</v>
      </c>
      <c r="S48" s="10"/>
      <c r="T48" s="10"/>
      <c r="U48" s="10"/>
      <c r="V48" s="10"/>
      <c r="W48" s="10"/>
      <c r="X48" s="10"/>
      <c r="Y48" s="10"/>
      <c r="Z48" s="10"/>
      <c r="AA48" s="10"/>
      <c r="AB48" s="28"/>
    </row>
    <row r="49" spans="4:28" x14ac:dyDescent="0.2">
      <c r="D49" s="9">
        <v>37206</v>
      </c>
      <c r="E49" s="10">
        <v>2.15</v>
      </c>
      <c r="F49" s="10">
        <v>2.1</v>
      </c>
      <c r="G49" s="10">
        <v>1.93</v>
      </c>
      <c r="H49" s="10">
        <v>2.09</v>
      </c>
      <c r="I49" s="10">
        <v>1.75</v>
      </c>
      <c r="J49" s="10">
        <v>1.39</v>
      </c>
      <c r="K49" s="10">
        <v>1.84</v>
      </c>
      <c r="L49" s="10"/>
      <c r="M49" s="10">
        <v>1.79</v>
      </c>
      <c r="N49" s="10">
        <v>1.7630000000000001</v>
      </c>
      <c r="O49" s="10">
        <v>1.7</v>
      </c>
      <c r="P49" s="10">
        <v>2</v>
      </c>
      <c r="Q49" s="10">
        <v>2</v>
      </c>
      <c r="R49" s="10">
        <v>1.9475</v>
      </c>
      <c r="S49" s="10"/>
      <c r="T49" s="10"/>
      <c r="U49" s="10"/>
      <c r="V49" s="10"/>
      <c r="W49" s="10"/>
      <c r="X49" s="10"/>
      <c r="Y49" s="10"/>
      <c r="Z49" s="10"/>
      <c r="AA49" s="10"/>
      <c r="AB49" s="28"/>
    </row>
    <row r="50" spans="4:28" x14ac:dyDescent="0.2">
      <c r="D50" s="9">
        <v>37207</v>
      </c>
      <c r="E50" s="10">
        <v>2.15</v>
      </c>
      <c r="F50" s="10">
        <v>2.1</v>
      </c>
      <c r="G50" s="10">
        <v>1.93</v>
      </c>
      <c r="H50" s="10">
        <v>2.09</v>
      </c>
      <c r="I50" s="10">
        <v>1.75</v>
      </c>
      <c r="J50" s="10">
        <v>1.39</v>
      </c>
      <c r="K50" s="10">
        <v>1.84</v>
      </c>
      <c r="L50" s="10"/>
      <c r="M50" s="10">
        <v>1.79</v>
      </c>
      <c r="N50" s="10">
        <v>1.7630000000000001</v>
      </c>
      <c r="O50" s="10">
        <v>1.7</v>
      </c>
      <c r="P50" s="10">
        <v>2</v>
      </c>
      <c r="Q50" s="10">
        <v>2</v>
      </c>
      <c r="R50" s="10">
        <v>1.9475</v>
      </c>
      <c r="S50" s="10"/>
      <c r="T50" s="10"/>
      <c r="U50" s="10"/>
      <c r="V50" s="10"/>
      <c r="W50" s="10"/>
      <c r="X50" s="10"/>
      <c r="Y50" s="10"/>
      <c r="Z50" s="10"/>
      <c r="AA50" s="10"/>
      <c r="AB50" s="28"/>
    </row>
    <row r="51" spans="4:28" x14ac:dyDescent="0.2">
      <c r="D51" s="9">
        <v>37208</v>
      </c>
      <c r="E51" s="10">
        <v>2.15</v>
      </c>
      <c r="F51" s="10">
        <v>2.1</v>
      </c>
      <c r="G51" s="10">
        <v>1.93</v>
      </c>
      <c r="H51" s="10">
        <v>2.09</v>
      </c>
      <c r="I51" s="10">
        <v>1.75</v>
      </c>
      <c r="J51" s="10">
        <v>1.39</v>
      </c>
      <c r="K51" s="10">
        <v>1.84</v>
      </c>
      <c r="L51" s="10"/>
      <c r="M51" s="10">
        <v>1.79</v>
      </c>
      <c r="N51" s="10">
        <v>1.7630000000000001</v>
      </c>
      <c r="O51" s="10">
        <v>1.7</v>
      </c>
      <c r="P51" s="10">
        <v>2</v>
      </c>
      <c r="Q51" s="10">
        <v>2</v>
      </c>
      <c r="R51" s="10">
        <v>1.9475</v>
      </c>
      <c r="S51" s="10"/>
      <c r="T51" s="10"/>
      <c r="U51" s="10"/>
      <c r="V51" s="10"/>
      <c r="W51" s="10"/>
      <c r="X51" s="10"/>
      <c r="Y51" s="10"/>
      <c r="Z51" s="10"/>
      <c r="AA51" s="10"/>
      <c r="AB51" s="28"/>
    </row>
    <row r="52" spans="4:28" x14ac:dyDescent="0.2">
      <c r="D52" s="9">
        <v>37209</v>
      </c>
      <c r="E52" s="10">
        <v>2.15</v>
      </c>
      <c r="F52" s="10">
        <v>2.1</v>
      </c>
      <c r="G52" s="10">
        <v>1.93</v>
      </c>
      <c r="H52" s="10">
        <v>2.09</v>
      </c>
      <c r="I52" s="10">
        <v>1.75</v>
      </c>
      <c r="J52" s="10">
        <v>1.39</v>
      </c>
      <c r="K52" s="10">
        <v>1.84</v>
      </c>
      <c r="L52" s="10"/>
      <c r="M52" s="10">
        <v>1.79</v>
      </c>
      <c r="N52" s="10">
        <v>1.7630000000000001</v>
      </c>
      <c r="O52" s="10">
        <v>1.7</v>
      </c>
      <c r="P52" s="10">
        <v>2</v>
      </c>
      <c r="Q52" s="10">
        <v>2</v>
      </c>
      <c r="R52" s="10">
        <v>1.9475</v>
      </c>
      <c r="S52" s="10"/>
      <c r="T52" s="10"/>
      <c r="U52" s="10"/>
      <c r="V52" s="10"/>
      <c r="W52" s="10"/>
      <c r="X52" s="10"/>
      <c r="Y52" s="10"/>
      <c r="Z52" s="10"/>
      <c r="AA52" s="10"/>
      <c r="AB52" s="28"/>
    </row>
    <row r="53" spans="4:28" x14ac:dyDescent="0.2">
      <c r="D53" s="9">
        <v>37210</v>
      </c>
      <c r="E53" s="10">
        <v>2.15</v>
      </c>
      <c r="F53" s="10">
        <v>2.1</v>
      </c>
      <c r="G53" s="10">
        <v>1.93</v>
      </c>
      <c r="H53" s="10">
        <v>2.09</v>
      </c>
      <c r="I53" s="10">
        <v>1.75</v>
      </c>
      <c r="J53" s="10">
        <v>1.39</v>
      </c>
      <c r="K53" s="10">
        <v>1.84</v>
      </c>
      <c r="L53" s="10"/>
      <c r="M53" s="10">
        <v>1.79</v>
      </c>
      <c r="N53" s="10">
        <v>1.7630000000000001</v>
      </c>
      <c r="O53" s="10">
        <v>1.7</v>
      </c>
      <c r="P53" s="10">
        <v>2</v>
      </c>
      <c r="Q53" s="10">
        <v>2</v>
      </c>
      <c r="R53" s="10">
        <v>1.9475</v>
      </c>
      <c r="S53" s="10"/>
      <c r="T53" s="10"/>
      <c r="U53" s="10"/>
      <c r="V53" s="10"/>
      <c r="W53" s="10"/>
      <c r="X53" s="10"/>
      <c r="Y53" s="10"/>
      <c r="Z53" s="10"/>
      <c r="AA53" s="10"/>
      <c r="AB53" s="28"/>
    </row>
    <row r="54" spans="4:28" x14ac:dyDescent="0.2">
      <c r="D54" s="9">
        <v>37211</v>
      </c>
      <c r="E54" s="10">
        <v>2.15</v>
      </c>
      <c r="F54" s="10">
        <v>2.1</v>
      </c>
      <c r="G54" s="10">
        <v>1.93</v>
      </c>
      <c r="H54" s="10">
        <v>2.09</v>
      </c>
      <c r="I54" s="10">
        <v>1.75</v>
      </c>
      <c r="J54" s="10">
        <v>1.39</v>
      </c>
      <c r="K54" s="10">
        <v>1.84</v>
      </c>
      <c r="L54" s="10"/>
      <c r="M54" s="10">
        <v>1.79</v>
      </c>
      <c r="N54" s="10">
        <v>1.7630000000000001</v>
      </c>
      <c r="O54" s="10">
        <v>1.7</v>
      </c>
      <c r="P54" s="10">
        <v>2</v>
      </c>
      <c r="Q54" s="10">
        <v>2</v>
      </c>
      <c r="R54" s="10">
        <v>1.9475</v>
      </c>
      <c r="S54" s="10"/>
      <c r="T54" s="10"/>
      <c r="U54" s="10"/>
      <c r="V54" s="10"/>
      <c r="W54" s="10"/>
      <c r="X54" s="10"/>
      <c r="Y54" s="10"/>
      <c r="Z54" s="10"/>
      <c r="AA54" s="10"/>
      <c r="AB54" s="28"/>
    </row>
    <row r="55" spans="4:28" x14ac:dyDescent="0.2">
      <c r="D55" s="9">
        <v>37212</v>
      </c>
      <c r="E55" s="10">
        <v>2.15</v>
      </c>
      <c r="F55" s="10">
        <v>2.1</v>
      </c>
      <c r="G55" s="10">
        <v>1.93</v>
      </c>
      <c r="H55" s="10">
        <v>2.09</v>
      </c>
      <c r="I55" s="10">
        <v>1.75</v>
      </c>
      <c r="J55" s="10">
        <v>1.39</v>
      </c>
      <c r="K55" s="10">
        <v>1.84</v>
      </c>
      <c r="L55" s="10"/>
      <c r="M55" s="10">
        <v>1.79</v>
      </c>
      <c r="N55" s="10">
        <v>1.7630000000000001</v>
      </c>
      <c r="O55" s="10">
        <v>1.7</v>
      </c>
      <c r="P55" s="10">
        <v>2</v>
      </c>
      <c r="Q55" s="10">
        <v>2</v>
      </c>
      <c r="R55" s="10">
        <v>1.9475</v>
      </c>
      <c r="S55" s="10"/>
      <c r="T55" s="10"/>
      <c r="U55" s="10"/>
      <c r="V55" s="10"/>
      <c r="W55" s="10"/>
      <c r="X55" s="10"/>
      <c r="Y55" s="10"/>
      <c r="Z55" s="10"/>
      <c r="AA55" s="10"/>
      <c r="AB55" s="28"/>
    </row>
    <row r="56" spans="4:28" x14ac:dyDescent="0.2">
      <c r="D56" s="9">
        <v>37213</v>
      </c>
      <c r="E56" s="10">
        <v>2.15</v>
      </c>
      <c r="F56" s="10">
        <v>2.1</v>
      </c>
      <c r="G56" s="10">
        <v>1.93</v>
      </c>
      <c r="H56" s="10">
        <v>2.09</v>
      </c>
      <c r="I56" s="10">
        <v>1.75</v>
      </c>
      <c r="J56" s="10">
        <v>1.39</v>
      </c>
      <c r="K56" s="10">
        <v>1.84</v>
      </c>
      <c r="L56" s="10"/>
      <c r="M56" s="10">
        <v>1.79</v>
      </c>
      <c r="N56" s="10">
        <v>1.7630000000000001</v>
      </c>
      <c r="O56" s="10">
        <v>1.7</v>
      </c>
      <c r="P56" s="10">
        <v>2</v>
      </c>
      <c r="Q56" s="10">
        <v>2</v>
      </c>
      <c r="R56" s="10">
        <v>1.9475</v>
      </c>
      <c r="S56" s="10"/>
      <c r="T56" s="10"/>
      <c r="U56" s="10"/>
      <c r="V56" s="10"/>
      <c r="W56" s="10"/>
      <c r="X56" s="10"/>
      <c r="Y56" s="10"/>
      <c r="Z56" s="10"/>
      <c r="AA56" s="10"/>
      <c r="AB56" s="28"/>
    </row>
    <row r="57" spans="4:28" x14ac:dyDescent="0.2">
      <c r="D57" s="9">
        <v>37214</v>
      </c>
      <c r="E57" s="10">
        <v>2.15</v>
      </c>
      <c r="F57" s="10">
        <v>2.1</v>
      </c>
      <c r="G57" s="10">
        <v>1.93</v>
      </c>
      <c r="H57" s="10">
        <v>2.09</v>
      </c>
      <c r="I57" s="10">
        <v>1.75</v>
      </c>
      <c r="J57" s="10">
        <v>1.39</v>
      </c>
      <c r="K57" s="10">
        <v>1.84</v>
      </c>
      <c r="L57" s="10"/>
      <c r="M57" s="10">
        <v>1.79</v>
      </c>
      <c r="N57" s="10">
        <v>1.7630000000000001</v>
      </c>
      <c r="O57" s="10">
        <v>1.7</v>
      </c>
      <c r="P57" s="10">
        <v>2</v>
      </c>
      <c r="Q57" s="10">
        <v>2</v>
      </c>
      <c r="R57" s="10">
        <v>1.9475</v>
      </c>
      <c r="S57" s="10"/>
      <c r="T57" s="10"/>
      <c r="U57" s="10"/>
      <c r="V57" s="10"/>
      <c r="W57" s="10"/>
      <c r="X57" s="10"/>
      <c r="Y57" s="10"/>
      <c r="Z57" s="10"/>
      <c r="AA57" s="10"/>
      <c r="AB57" s="28"/>
    </row>
    <row r="58" spans="4:28" x14ac:dyDescent="0.2">
      <c r="D58" s="9">
        <v>37215</v>
      </c>
      <c r="E58" s="10">
        <v>2.15</v>
      </c>
      <c r="F58" s="10">
        <v>2.1</v>
      </c>
      <c r="G58" s="10">
        <v>1.93</v>
      </c>
      <c r="H58" s="10">
        <v>2.09</v>
      </c>
      <c r="I58" s="10">
        <v>1.75</v>
      </c>
      <c r="J58" s="10">
        <v>1.39</v>
      </c>
      <c r="K58" s="10">
        <v>1.84</v>
      </c>
      <c r="L58" s="10"/>
      <c r="M58" s="10">
        <v>1.79</v>
      </c>
      <c r="N58" s="10">
        <v>1.7630000000000001</v>
      </c>
      <c r="O58" s="10">
        <v>1.7</v>
      </c>
      <c r="P58" s="10">
        <v>2</v>
      </c>
      <c r="Q58" s="10">
        <v>2</v>
      </c>
      <c r="R58" s="10">
        <v>1.9475</v>
      </c>
      <c r="S58" s="10"/>
      <c r="T58" s="10"/>
      <c r="U58" s="10"/>
      <c r="V58" s="10"/>
      <c r="W58" s="10"/>
      <c r="X58" s="10"/>
      <c r="Y58" s="10"/>
      <c r="Z58" s="10"/>
      <c r="AA58" s="10"/>
      <c r="AB58" s="28"/>
    </row>
    <row r="59" spans="4:28" x14ac:dyDescent="0.2">
      <c r="D59" s="9">
        <v>37216</v>
      </c>
      <c r="E59" s="10">
        <v>2.15</v>
      </c>
      <c r="F59" s="10">
        <v>2.1</v>
      </c>
      <c r="G59" s="10">
        <v>1.93</v>
      </c>
      <c r="H59" s="10">
        <v>2.09</v>
      </c>
      <c r="I59" s="10">
        <v>1.75</v>
      </c>
      <c r="J59" s="10">
        <v>1.39</v>
      </c>
      <c r="K59" s="10">
        <v>1.84</v>
      </c>
      <c r="L59" s="10"/>
      <c r="M59" s="10">
        <v>1.79</v>
      </c>
      <c r="N59" s="10">
        <v>1.7630000000000001</v>
      </c>
      <c r="O59" s="10">
        <v>1.7</v>
      </c>
      <c r="P59" s="10">
        <v>2</v>
      </c>
      <c r="Q59" s="10">
        <v>2</v>
      </c>
      <c r="R59" s="10">
        <v>1.9475</v>
      </c>
      <c r="S59" s="10"/>
      <c r="T59" s="10"/>
      <c r="U59" s="10"/>
      <c r="V59" s="10"/>
      <c r="W59" s="10"/>
      <c r="X59" s="10"/>
      <c r="Y59" s="10"/>
      <c r="Z59" s="10"/>
      <c r="AA59" s="10"/>
      <c r="AB59" s="28"/>
    </row>
    <row r="60" spans="4:28" x14ac:dyDescent="0.2">
      <c r="D60" s="9">
        <v>37217</v>
      </c>
      <c r="E60" s="10">
        <v>2.15</v>
      </c>
      <c r="F60" s="10">
        <v>2.1</v>
      </c>
      <c r="G60" s="10">
        <v>1.93</v>
      </c>
      <c r="H60" s="10">
        <v>2.09</v>
      </c>
      <c r="I60" s="10">
        <v>1.75</v>
      </c>
      <c r="J60" s="10">
        <v>1.39</v>
      </c>
      <c r="K60" s="10">
        <v>1.84</v>
      </c>
      <c r="L60" s="10"/>
      <c r="M60" s="10">
        <v>1.79</v>
      </c>
      <c r="N60" s="10">
        <v>1.7630000000000001</v>
      </c>
      <c r="O60" s="10">
        <v>1.7</v>
      </c>
      <c r="P60" s="10">
        <v>2</v>
      </c>
      <c r="Q60" s="10">
        <v>2</v>
      </c>
      <c r="R60" s="10">
        <v>1.9475</v>
      </c>
      <c r="S60" s="10"/>
      <c r="T60" s="10"/>
      <c r="U60" s="10"/>
      <c r="V60" s="10"/>
      <c r="W60" s="10"/>
      <c r="X60" s="10"/>
      <c r="Y60" s="10"/>
      <c r="Z60" s="10"/>
      <c r="AA60" s="10"/>
      <c r="AB60" s="28"/>
    </row>
    <row r="61" spans="4:28" x14ac:dyDescent="0.2">
      <c r="D61" s="9">
        <v>37218</v>
      </c>
      <c r="E61" s="10">
        <v>2.15</v>
      </c>
      <c r="F61" s="10">
        <v>2.1</v>
      </c>
      <c r="G61" s="10">
        <v>1.93</v>
      </c>
      <c r="H61" s="10">
        <v>2.09</v>
      </c>
      <c r="I61" s="10">
        <v>1.75</v>
      </c>
      <c r="J61" s="10">
        <v>1.39</v>
      </c>
      <c r="K61" s="10">
        <v>1.84</v>
      </c>
      <c r="L61" s="10"/>
      <c r="M61" s="10">
        <v>1.79</v>
      </c>
      <c r="N61" s="10">
        <v>1.7630000000000001</v>
      </c>
      <c r="O61" s="10">
        <v>1.7</v>
      </c>
      <c r="P61" s="10">
        <v>2</v>
      </c>
      <c r="Q61" s="10">
        <v>2</v>
      </c>
      <c r="R61" s="10">
        <v>1.9475</v>
      </c>
      <c r="S61" s="10"/>
      <c r="T61" s="10"/>
      <c r="U61" s="10"/>
      <c r="V61" s="10"/>
      <c r="W61" s="10"/>
      <c r="X61" s="10"/>
      <c r="Y61" s="10"/>
      <c r="Z61" s="10"/>
      <c r="AA61" s="10"/>
      <c r="AB61" s="28"/>
    </row>
    <row r="62" spans="4:28" x14ac:dyDescent="0.2">
      <c r="D62" s="9">
        <v>37219</v>
      </c>
      <c r="E62" s="10">
        <v>2.15</v>
      </c>
      <c r="F62" s="10">
        <v>2.1</v>
      </c>
      <c r="G62" s="10">
        <v>1.93</v>
      </c>
      <c r="H62" s="10">
        <v>2.09</v>
      </c>
      <c r="I62" s="10">
        <v>1.75</v>
      </c>
      <c r="J62" s="10">
        <v>1.39</v>
      </c>
      <c r="K62" s="10">
        <v>1.84</v>
      </c>
      <c r="L62" s="10"/>
      <c r="M62" s="10">
        <v>1.79</v>
      </c>
      <c r="N62" s="10">
        <v>1.7630000000000001</v>
      </c>
      <c r="O62" s="10">
        <v>1.7</v>
      </c>
      <c r="P62" s="10">
        <v>2</v>
      </c>
      <c r="Q62" s="10">
        <v>2</v>
      </c>
      <c r="R62" s="10">
        <v>1.9475</v>
      </c>
      <c r="S62" s="10"/>
      <c r="T62" s="10"/>
      <c r="U62" s="10"/>
      <c r="V62" s="10"/>
      <c r="W62" s="10"/>
      <c r="X62" s="10"/>
      <c r="Y62" s="10"/>
      <c r="Z62" s="10"/>
      <c r="AA62" s="10"/>
      <c r="AB62" s="28"/>
    </row>
    <row r="63" spans="4:28" x14ac:dyDescent="0.2">
      <c r="D63" s="9">
        <v>37220</v>
      </c>
      <c r="E63" s="10">
        <v>2.15</v>
      </c>
      <c r="F63" s="10">
        <v>2.1</v>
      </c>
      <c r="G63" s="10">
        <v>1.93</v>
      </c>
      <c r="H63" s="10">
        <v>2.09</v>
      </c>
      <c r="I63" s="10">
        <v>1.75</v>
      </c>
      <c r="J63" s="10">
        <v>1.39</v>
      </c>
      <c r="K63" s="10">
        <v>1.84</v>
      </c>
      <c r="L63" s="10"/>
      <c r="M63" s="10">
        <v>1.79</v>
      </c>
      <c r="N63" s="10">
        <v>1.7630000000000001</v>
      </c>
      <c r="O63" s="10">
        <v>1.7</v>
      </c>
      <c r="P63" s="10">
        <v>2</v>
      </c>
      <c r="Q63" s="10">
        <v>2</v>
      </c>
      <c r="R63" s="10">
        <v>1.9475</v>
      </c>
      <c r="S63" s="10"/>
      <c r="T63" s="10"/>
      <c r="U63" s="10"/>
      <c r="V63" s="10"/>
      <c r="W63" s="10"/>
      <c r="X63" s="10"/>
      <c r="Y63" s="10"/>
      <c r="Z63" s="10"/>
      <c r="AA63" s="10"/>
      <c r="AB63" s="28"/>
    </row>
    <row r="64" spans="4:28" x14ac:dyDescent="0.2">
      <c r="D64" s="9">
        <v>37221</v>
      </c>
      <c r="E64" s="10">
        <v>2.15</v>
      </c>
      <c r="F64" s="10">
        <v>2.1</v>
      </c>
      <c r="G64" s="10">
        <v>1.93</v>
      </c>
      <c r="H64" s="10">
        <v>2.09</v>
      </c>
      <c r="I64" s="10">
        <v>1.75</v>
      </c>
      <c r="J64" s="10">
        <v>1.39</v>
      </c>
      <c r="K64" s="10">
        <v>1.84</v>
      </c>
      <c r="L64" s="10"/>
      <c r="M64" s="10">
        <v>1.79</v>
      </c>
      <c r="N64" s="10">
        <v>1.7630000000000001</v>
      </c>
      <c r="O64" s="10">
        <v>1.7</v>
      </c>
      <c r="P64" s="10">
        <v>2</v>
      </c>
      <c r="Q64" s="10">
        <v>2</v>
      </c>
      <c r="R64" s="10">
        <v>1.9475</v>
      </c>
      <c r="S64" s="10"/>
      <c r="T64" s="10"/>
      <c r="U64" s="10"/>
      <c r="V64" s="10"/>
      <c r="W64" s="10"/>
      <c r="X64" s="10"/>
      <c r="Y64" s="10"/>
      <c r="Z64" s="10"/>
      <c r="AA64" s="10"/>
      <c r="AB64" s="28"/>
    </row>
    <row r="65" spans="4:28" x14ac:dyDescent="0.2">
      <c r="D65" s="9">
        <v>37222</v>
      </c>
      <c r="E65" s="10">
        <v>2.15</v>
      </c>
      <c r="F65" s="10">
        <v>2.1</v>
      </c>
      <c r="G65" s="10">
        <v>1.93</v>
      </c>
      <c r="H65" s="10">
        <v>2.09</v>
      </c>
      <c r="I65" s="10">
        <v>1.75</v>
      </c>
      <c r="J65" s="10">
        <v>1.39</v>
      </c>
      <c r="K65" s="10">
        <v>1.84</v>
      </c>
      <c r="L65" s="10"/>
      <c r="M65" s="10">
        <v>1.79</v>
      </c>
      <c r="N65" s="10">
        <v>1.7630000000000001</v>
      </c>
      <c r="O65" s="10">
        <v>1.7</v>
      </c>
      <c r="P65" s="10">
        <v>2</v>
      </c>
      <c r="Q65" s="10">
        <v>2</v>
      </c>
      <c r="R65" s="10">
        <v>1.9475</v>
      </c>
      <c r="S65" s="10"/>
      <c r="T65" s="10"/>
      <c r="U65" s="10"/>
      <c r="V65" s="10"/>
      <c r="W65" s="10"/>
      <c r="X65" s="10"/>
      <c r="Y65" s="10"/>
      <c r="Z65" s="10"/>
      <c r="AA65" s="10"/>
      <c r="AB65" s="28"/>
    </row>
    <row r="66" spans="4:28" x14ac:dyDescent="0.2">
      <c r="D66" s="9">
        <v>37223</v>
      </c>
      <c r="E66" s="10">
        <v>2.15</v>
      </c>
      <c r="F66" s="10">
        <v>2.1</v>
      </c>
      <c r="G66" s="10">
        <v>1.93</v>
      </c>
      <c r="H66" s="10">
        <v>2.09</v>
      </c>
      <c r="I66" s="10">
        <v>1.75</v>
      </c>
      <c r="J66" s="10">
        <v>1.39</v>
      </c>
      <c r="K66" s="10">
        <v>1.84</v>
      </c>
      <c r="L66" s="10"/>
      <c r="M66" s="10">
        <v>1.79</v>
      </c>
      <c r="N66" s="10">
        <v>1.7630000000000001</v>
      </c>
      <c r="O66" s="10">
        <v>1.7</v>
      </c>
      <c r="P66" s="10">
        <v>2</v>
      </c>
      <c r="Q66" s="10">
        <v>2</v>
      </c>
      <c r="R66" s="10">
        <v>1.9475</v>
      </c>
      <c r="S66" s="10"/>
      <c r="T66" s="10"/>
      <c r="U66" s="10"/>
      <c r="V66" s="10"/>
      <c r="W66" s="10"/>
      <c r="X66" s="10"/>
      <c r="Y66" s="10"/>
      <c r="Z66" s="10"/>
      <c r="AA66" s="10"/>
      <c r="AB66" s="28"/>
    </row>
    <row r="67" spans="4:28" x14ac:dyDescent="0.2">
      <c r="D67" s="9">
        <v>37224</v>
      </c>
      <c r="E67" s="10">
        <v>2.15</v>
      </c>
      <c r="F67" s="10">
        <v>2.1</v>
      </c>
      <c r="G67" s="10">
        <v>1.93</v>
      </c>
      <c r="H67" s="10">
        <v>2.09</v>
      </c>
      <c r="I67" s="10">
        <v>1.75</v>
      </c>
      <c r="J67" s="10">
        <v>1.39</v>
      </c>
      <c r="K67" s="10">
        <v>1.84</v>
      </c>
      <c r="L67" s="10"/>
      <c r="M67" s="10">
        <v>1.79</v>
      </c>
      <c r="N67" s="10">
        <v>1.7630000000000001</v>
      </c>
      <c r="O67" s="10">
        <v>1.7</v>
      </c>
      <c r="P67" s="10">
        <v>2</v>
      </c>
      <c r="Q67" s="10">
        <v>2</v>
      </c>
      <c r="R67" s="10">
        <v>1.9475</v>
      </c>
      <c r="S67" s="10"/>
      <c r="T67" s="10"/>
      <c r="U67" s="10"/>
      <c r="V67" s="10"/>
      <c r="W67" s="10"/>
      <c r="X67" s="10"/>
      <c r="Y67" s="10"/>
      <c r="Z67" s="10"/>
      <c r="AA67" s="10"/>
      <c r="AB67" s="28"/>
    </row>
    <row r="68" spans="4:28" x14ac:dyDescent="0.2">
      <c r="D68" s="9">
        <v>37225</v>
      </c>
      <c r="E68" s="10">
        <v>2.15</v>
      </c>
      <c r="F68" s="10">
        <v>2.1</v>
      </c>
      <c r="G68" s="10">
        <v>1.93</v>
      </c>
      <c r="H68" s="10">
        <v>2.09</v>
      </c>
      <c r="I68" s="10">
        <v>1.75</v>
      </c>
      <c r="J68" s="10">
        <v>1.39</v>
      </c>
      <c r="K68" s="10">
        <v>1.84</v>
      </c>
      <c r="L68" s="10"/>
      <c r="M68" s="10">
        <v>1.79</v>
      </c>
      <c r="N68" s="10">
        <v>1.7630000000000001</v>
      </c>
      <c r="O68" s="10">
        <v>1.7</v>
      </c>
      <c r="P68" s="10">
        <v>2</v>
      </c>
      <c r="Q68" s="10">
        <v>2</v>
      </c>
      <c r="R68" s="10">
        <v>1.9475</v>
      </c>
      <c r="S68" s="10"/>
      <c r="T68" s="10"/>
      <c r="U68" s="10"/>
      <c r="V68" s="10"/>
      <c r="W68" s="10"/>
      <c r="X68" s="10"/>
      <c r="Y68" s="10"/>
      <c r="Z68" s="10"/>
      <c r="AA68" s="10"/>
      <c r="AB68" s="28"/>
    </row>
    <row r="69" spans="4:28" x14ac:dyDescent="0.2">
      <c r="D69" s="9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28"/>
    </row>
    <row r="70" spans="4:28" x14ac:dyDescent="0.2">
      <c r="D70" s="9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28"/>
    </row>
    <row r="71" spans="4:28" x14ac:dyDescent="0.2">
      <c r="D71" s="9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28"/>
    </row>
    <row r="72" spans="4:28" x14ac:dyDescent="0.2">
      <c r="D72" s="9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28"/>
    </row>
    <row r="73" spans="4:28" x14ac:dyDescent="0.2">
      <c r="D73" s="9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28"/>
    </row>
    <row r="74" spans="4:28" x14ac:dyDescent="0.2">
      <c r="D74" s="9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28"/>
    </row>
    <row r="75" spans="4:28" x14ac:dyDescent="0.2">
      <c r="D75" s="9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28"/>
    </row>
    <row r="76" spans="4:28" x14ac:dyDescent="0.2">
      <c r="D76" s="9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28"/>
    </row>
    <row r="77" spans="4:28" x14ac:dyDescent="0.2">
      <c r="D77" s="9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28"/>
    </row>
    <row r="78" spans="4:28" x14ac:dyDescent="0.2">
      <c r="D78" s="9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28"/>
    </row>
    <row r="79" spans="4:28" x14ac:dyDescent="0.2">
      <c r="D79" s="9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28"/>
    </row>
    <row r="80" spans="4:28" x14ac:dyDescent="0.2">
      <c r="D80" s="9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28"/>
    </row>
    <row r="81" spans="4:28" x14ac:dyDescent="0.2">
      <c r="D81" s="9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28"/>
    </row>
    <row r="82" spans="4:28" x14ac:dyDescent="0.2">
      <c r="D82" s="9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28"/>
    </row>
    <row r="83" spans="4:28" x14ac:dyDescent="0.2">
      <c r="D83" s="9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28"/>
    </row>
    <row r="84" spans="4:28" x14ac:dyDescent="0.2">
      <c r="D84" s="9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28"/>
    </row>
    <row r="85" spans="4:28" x14ac:dyDescent="0.2">
      <c r="D85" s="9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28"/>
    </row>
    <row r="86" spans="4:28" x14ac:dyDescent="0.2">
      <c r="D86" s="9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28"/>
    </row>
    <row r="87" spans="4:28" x14ac:dyDescent="0.2">
      <c r="D87" s="9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28"/>
    </row>
    <row r="88" spans="4:28" x14ac:dyDescent="0.2">
      <c r="D88" s="9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28"/>
    </row>
    <row r="89" spans="4:28" x14ac:dyDescent="0.2">
      <c r="D89" s="9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28"/>
    </row>
    <row r="90" spans="4:28" x14ac:dyDescent="0.2">
      <c r="D90" s="9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28"/>
    </row>
    <row r="91" spans="4:28" x14ac:dyDescent="0.2">
      <c r="D91" s="9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28"/>
    </row>
    <row r="92" spans="4:28" x14ac:dyDescent="0.2">
      <c r="D92" s="9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28"/>
    </row>
    <row r="93" spans="4:28" x14ac:dyDescent="0.2">
      <c r="D93" s="9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28"/>
    </row>
    <row r="94" spans="4:28" x14ac:dyDescent="0.2">
      <c r="D94" s="9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28"/>
    </row>
    <row r="95" spans="4:28" x14ac:dyDescent="0.2">
      <c r="D95" s="9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28"/>
    </row>
    <row r="96" spans="4:28" x14ac:dyDescent="0.2">
      <c r="D96" s="9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28"/>
    </row>
    <row r="97" spans="4:28" x14ac:dyDescent="0.2">
      <c r="D97" s="9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28"/>
    </row>
    <row r="98" spans="4:28" x14ac:dyDescent="0.2">
      <c r="D98" s="9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28"/>
    </row>
    <row r="99" spans="4:28" x14ac:dyDescent="0.2">
      <c r="D99" s="9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28"/>
    </row>
    <row r="100" spans="4:28" x14ac:dyDescent="0.2">
      <c r="D100" s="9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28"/>
    </row>
    <row r="101" spans="4:28" x14ac:dyDescent="0.2">
      <c r="D101" s="9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28"/>
    </row>
    <row r="102" spans="4:28" x14ac:dyDescent="0.2">
      <c r="D102" s="9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28"/>
    </row>
    <row r="103" spans="4:28" x14ac:dyDescent="0.2">
      <c r="D103" s="9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28"/>
    </row>
    <row r="104" spans="4:28" x14ac:dyDescent="0.2">
      <c r="D104" s="9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28"/>
    </row>
    <row r="105" spans="4:28" x14ac:dyDescent="0.2">
      <c r="D105" s="9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28"/>
    </row>
    <row r="106" spans="4:28" x14ac:dyDescent="0.2">
      <c r="D106" s="9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28"/>
    </row>
    <row r="107" spans="4:28" x14ac:dyDescent="0.2">
      <c r="D107" s="9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28"/>
    </row>
    <row r="108" spans="4:28" x14ac:dyDescent="0.2">
      <c r="D108" s="9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28"/>
    </row>
    <row r="109" spans="4:28" x14ac:dyDescent="0.2">
      <c r="D109" s="9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28"/>
    </row>
    <row r="110" spans="4:28" x14ac:dyDescent="0.2">
      <c r="D110" s="9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28"/>
    </row>
    <row r="111" spans="4:28" x14ac:dyDescent="0.2">
      <c r="D111" s="9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28"/>
    </row>
    <row r="112" spans="4:28" x14ac:dyDescent="0.2">
      <c r="D112" s="9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28"/>
    </row>
    <row r="113" spans="4:28" x14ac:dyDescent="0.2">
      <c r="D113" s="9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28"/>
    </row>
    <row r="114" spans="4:28" x14ac:dyDescent="0.2">
      <c r="D114" s="9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28"/>
    </row>
    <row r="115" spans="4:28" x14ac:dyDescent="0.2">
      <c r="D115" s="9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28"/>
    </row>
    <row r="116" spans="4:28" x14ac:dyDescent="0.2">
      <c r="D116" s="9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28"/>
    </row>
    <row r="117" spans="4:28" x14ac:dyDescent="0.2">
      <c r="D117" s="9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28"/>
    </row>
    <row r="118" spans="4:28" x14ac:dyDescent="0.2">
      <c r="D118" s="9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28"/>
    </row>
    <row r="119" spans="4:28" x14ac:dyDescent="0.2">
      <c r="D119" s="9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28"/>
    </row>
    <row r="120" spans="4:28" x14ac:dyDescent="0.2">
      <c r="D120" s="9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28"/>
    </row>
    <row r="121" spans="4:28" x14ac:dyDescent="0.2">
      <c r="D121" s="9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28"/>
    </row>
    <row r="122" spans="4:28" x14ac:dyDescent="0.2">
      <c r="D122" s="9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28"/>
    </row>
    <row r="123" spans="4:28" x14ac:dyDescent="0.2">
      <c r="D123" s="9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28"/>
    </row>
    <row r="124" spans="4:28" x14ac:dyDescent="0.2">
      <c r="D124" s="9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28"/>
    </row>
    <row r="125" spans="4:28" x14ac:dyDescent="0.2">
      <c r="D125" s="9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28"/>
    </row>
    <row r="126" spans="4:28" x14ac:dyDescent="0.2">
      <c r="D126" s="9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28"/>
    </row>
    <row r="127" spans="4:28" x14ac:dyDescent="0.2">
      <c r="D127" s="9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28"/>
    </row>
    <row r="128" spans="4:28" x14ac:dyDescent="0.2">
      <c r="D128" s="9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28"/>
    </row>
    <row r="129" spans="4:28" x14ac:dyDescent="0.2">
      <c r="D129" s="9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28"/>
    </row>
    <row r="130" spans="4:28" x14ac:dyDescent="0.2">
      <c r="D130" s="9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28"/>
    </row>
    <row r="131" spans="4:28" x14ac:dyDescent="0.2">
      <c r="D131" s="9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28"/>
    </row>
    <row r="132" spans="4:28" x14ac:dyDescent="0.2">
      <c r="D132" s="9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28"/>
    </row>
    <row r="133" spans="4:28" x14ac:dyDescent="0.2">
      <c r="D133" s="9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28"/>
    </row>
    <row r="134" spans="4:28" x14ac:dyDescent="0.2">
      <c r="D134" s="9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28"/>
    </row>
    <row r="135" spans="4:28" x14ac:dyDescent="0.2">
      <c r="D135" s="9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28"/>
    </row>
    <row r="136" spans="4:28" x14ac:dyDescent="0.2">
      <c r="D136" s="9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28"/>
    </row>
    <row r="137" spans="4:28" x14ac:dyDescent="0.2">
      <c r="D137" s="9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28"/>
    </row>
    <row r="138" spans="4:28" x14ac:dyDescent="0.2">
      <c r="D138" s="9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28"/>
    </row>
    <row r="139" spans="4:28" x14ac:dyDescent="0.2">
      <c r="D139" s="9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28"/>
    </row>
    <row r="140" spans="4:28" x14ac:dyDescent="0.2">
      <c r="D140" s="9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28"/>
    </row>
    <row r="141" spans="4:28" x14ac:dyDescent="0.2">
      <c r="D141" s="9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28"/>
    </row>
    <row r="142" spans="4:28" x14ac:dyDescent="0.2">
      <c r="D142" s="9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28"/>
    </row>
    <row r="143" spans="4:28" x14ac:dyDescent="0.2">
      <c r="D143" s="9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28"/>
    </row>
    <row r="144" spans="4:28" x14ac:dyDescent="0.2">
      <c r="D144" s="9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28"/>
    </row>
    <row r="145" spans="4:28" x14ac:dyDescent="0.2">
      <c r="D145" s="9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28"/>
    </row>
    <row r="146" spans="4:28" x14ac:dyDescent="0.2">
      <c r="D146" s="9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28"/>
    </row>
    <row r="147" spans="4:28" x14ac:dyDescent="0.2">
      <c r="D147" s="9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28"/>
    </row>
    <row r="148" spans="4:28" x14ac:dyDescent="0.2">
      <c r="D148" s="9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28"/>
    </row>
    <row r="149" spans="4:28" x14ac:dyDescent="0.2">
      <c r="D149" s="9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28"/>
    </row>
    <row r="150" spans="4:28" x14ac:dyDescent="0.2">
      <c r="D150" s="9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28"/>
    </row>
    <row r="151" spans="4:28" x14ac:dyDescent="0.2">
      <c r="D151" s="9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28"/>
    </row>
    <row r="152" spans="4:28" x14ac:dyDescent="0.2">
      <c r="D152" s="9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28"/>
    </row>
    <row r="153" spans="4:28" x14ac:dyDescent="0.2">
      <c r="D153" s="9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28"/>
    </row>
    <row r="154" spans="4:28" x14ac:dyDescent="0.2">
      <c r="D154" s="9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28"/>
    </row>
    <row r="155" spans="4:28" x14ac:dyDescent="0.2">
      <c r="D155" s="9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28"/>
    </row>
    <row r="156" spans="4:28" x14ac:dyDescent="0.2">
      <c r="D156" s="9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28"/>
    </row>
    <row r="157" spans="4:28" x14ac:dyDescent="0.2">
      <c r="D157" s="9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28"/>
    </row>
    <row r="158" spans="4:28" x14ac:dyDescent="0.2">
      <c r="D158" s="9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28"/>
    </row>
    <row r="159" spans="4:28" x14ac:dyDescent="0.2">
      <c r="D159" s="9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28"/>
    </row>
    <row r="160" spans="4:28" x14ac:dyDescent="0.2">
      <c r="D160" s="9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28"/>
    </row>
    <row r="161" spans="4:28" x14ac:dyDescent="0.2">
      <c r="D161" s="9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28"/>
    </row>
    <row r="162" spans="4:28" x14ac:dyDescent="0.2">
      <c r="D162" s="9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28"/>
    </row>
    <row r="163" spans="4:28" x14ac:dyDescent="0.2">
      <c r="D163" s="9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28"/>
    </row>
    <row r="164" spans="4:28" x14ac:dyDescent="0.2">
      <c r="D164" s="9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28"/>
    </row>
    <row r="165" spans="4:28" x14ac:dyDescent="0.2">
      <c r="D165" s="9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28"/>
    </row>
    <row r="166" spans="4:28" x14ac:dyDescent="0.2">
      <c r="D166" s="9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28"/>
    </row>
    <row r="167" spans="4:28" x14ac:dyDescent="0.2">
      <c r="D167" s="9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28"/>
    </row>
    <row r="168" spans="4:28" x14ac:dyDescent="0.2">
      <c r="D168" s="9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28"/>
    </row>
    <row r="169" spans="4:28" x14ac:dyDescent="0.2">
      <c r="D169" s="9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28"/>
    </row>
    <row r="170" spans="4:28" x14ac:dyDescent="0.2">
      <c r="D170" s="9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28"/>
    </row>
    <row r="171" spans="4:28" x14ac:dyDescent="0.2">
      <c r="D171" s="9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28"/>
    </row>
    <row r="172" spans="4:28" x14ac:dyDescent="0.2">
      <c r="D172" s="9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28"/>
    </row>
    <row r="173" spans="4:28" x14ac:dyDescent="0.2">
      <c r="D173" s="9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28"/>
    </row>
    <row r="174" spans="4:28" x14ac:dyDescent="0.2">
      <c r="D174" s="9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28"/>
    </row>
    <row r="175" spans="4:28" x14ac:dyDescent="0.2">
      <c r="D175" s="9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28"/>
    </row>
    <row r="176" spans="4:28" x14ac:dyDescent="0.2">
      <c r="D176" s="9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28"/>
    </row>
    <row r="177" spans="4:28" x14ac:dyDescent="0.2">
      <c r="D177" s="9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28"/>
    </row>
    <row r="178" spans="4:28" x14ac:dyDescent="0.2">
      <c r="D178" s="9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28"/>
    </row>
    <row r="179" spans="4:28" x14ac:dyDescent="0.2">
      <c r="D179" s="9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28"/>
    </row>
    <row r="180" spans="4:28" x14ac:dyDescent="0.2">
      <c r="D180" s="9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28"/>
    </row>
    <row r="181" spans="4:28" x14ac:dyDescent="0.2">
      <c r="D181" s="9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28"/>
    </row>
    <row r="182" spans="4:28" x14ac:dyDescent="0.2">
      <c r="D182" s="9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28"/>
    </row>
    <row r="183" spans="4:28" x14ac:dyDescent="0.2">
      <c r="D183" s="9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28"/>
    </row>
    <row r="184" spans="4:28" x14ac:dyDescent="0.2">
      <c r="D184" s="9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28"/>
    </row>
    <row r="185" spans="4:28" x14ac:dyDescent="0.2">
      <c r="D185" s="9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28"/>
    </row>
    <row r="186" spans="4:28" x14ac:dyDescent="0.2">
      <c r="D186" s="9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28"/>
    </row>
    <row r="187" spans="4:28" x14ac:dyDescent="0.2">
      <c r="D187" s="9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28"/>
    </row>
    <row r="188" spans="4:28" x14ac:dyDescent="0.2">
      <c r="D188" s="9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28"/>
    </row>
    <row r="189" spans="4:28" x14ac:dyDescent="0.2">
      <c r="D189" s="9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28"/>
    </row>
    <row r="190" spans="4:28" x14ac:dyDescent="0.2">
      <c r="D190" s="9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28"/>
    </row>
    <row r="191" spans="4:28" x14ac:dyDescent="0.2">
      <c r="D191" s="9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28"/>
    </row>
    <row r="192" spans="4:28" x14ac:dyDescent="0.2">
      <c r="D192" s="9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28"/>
    </row>
    <row r="193" spans="4:28" x14ac:dyDescent="0.2">
      <c r="D193" s="9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28"/>
    </row>
    <row r="194" spans="4:28" x14ac:dyDescent="0.2">
      <c r="D194" s="9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28"/>
    </row>
    <row r="195" spans="4:28" x14ac:dyDescent="0.2">
      <c r="D195" s="9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28"/>
    </row>
    <row r="196" spans="4:28" x14ac:dyDescent="0.2">
      <c r="D196" s="9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28"/>
    </row>
    <row r="197" spans="4:28" x14ac:dyDescent="0.2">
      <c r="D197" s="9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28"/>
    </row>
    <row r="198" spans="4:28" x14ac:dyDescent="0.2">
      <c r="D198" s="9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28"/>
    </row>
    <row r="199" spans="4:28" x14ac:dyDescent="0.2">
      <c r="D199" s="9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28"/>
    </row>
    <row r="200" spans="4:28" x14ac:dyDescent="0.2">
      <c r="D200" s="9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28"/>
    </row>
    <row r="201" spans="4:28" x14ac:dyDescent="0.2">
      <c r="D201" s="9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28"/>
    </row>
    <row r="202" spans="4:28" x14ac:dyDescent="0.2">
      <c r="D202" s="9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28"/>
    </row>
    <row r="203" spans="4:28" x14ac:dyDescent="0.2">
      <c r="D203" s="9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28"/>
    </row>
    <row r="204" spans="4:28" x14ac:dyDescent="0.2">
      <c r="D204" s="9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28"/>
    </row>
    <row r="205" spans="4:28" x14ac:dyDescent="0.2">
      <c r="D205" s="9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28"/>
    </row>
    <row r="206" spans="4:28" x14ac:dyDescent="0.2">
      <c r="D206" s="9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28"/>
    </row>
    <row r="207" spans="4:28" x14ac:dyDescent="0.2">
      <c r="D207" s="9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28"/>
    </row>
    <row r="208" spans="4:28" x14ac:dyDescent="0.2">
      <c r="D208" s="9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28"/>
    </row>
    <row r="209" spans="4:28" x14ac:dyDescent="0.2">
      <c r="D209" s="9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28"/>
    </row>
    <row r="210" spans="4:28" x14ac:dyDescent="0.2">
      <c r="D210" s="9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28"/>
    </row>
    <row r="211" spans="4:28" x14ac:dyDescent="0.2">
      <c r="D211" s="9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28"/>
    </row>
    <row r="212" spans="4:28" x14ac:dyDescent="0.2">
      <c r="D212" s="9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28"/>
    </row>
    <row r="213" spans="4:28" x14ac:dyDescent="0.2">
      <c r="D213" s="9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28"/>
    </row>
    <row r="214" spans="4:28" x14ac:dyDescent="0.2">
      <c r="D214" s="9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28"/>
    </row>
    <row r="215" spans="4:28" x14ac:dyDescent="0.2">
      <c r="D215" s="9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28"/>
    </row>
    <row r="216" spans="4:28" x14ac:dyDescent="0.2">
      <c r="D216" s="9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28"/>
    </row>
    <row r="217" spans="4:28" x14ac:dyDescent="0.2">
      <c r="D217" s="9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28"/>
    </row>
    <row r="218" spans="4:28" x14ac:dyDescent="0.2">
      <c r="D218" s="9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28"/>
    </row>
    <row r="219" spans="4:28" x14ac:dyDescent="0.2">
      <c r="D219" s="9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28"/>
    </row>
    <row r="220" spans="4:28" x14ac:dyDescent="0.2">
      <c r="D220" s="9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28"/>
    </row>
    <row r="221" spans="4:28" x14ac:dyDescent="0.2">
      <c r="D221" s="9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28"/>
    </row>
    <row r="222" spans="4:28" x14ac:dyDescent="0.2">
      <c r="D222" s="9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28"/>
    </row>
    <row r="223" spans="4:28" x14ac:dyDescent="0.2">
      <c r="D223" s="9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28"/>
    </row>
    <row r="224" spans="4:28" x14ac:dyDescent="0.2">
      <c r="D224" s="9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28"/>
    </row>
    <row r="225" spans="4:28" x14ac:dyDescent="0.2">
      <c r="D225" s="9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28"/>
    </row>
    <row r="226" spans="4:28" x14ac:dyDescent="0.2">
      <c r="D226" s="9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28"/>
    </row>
    <row r="227" spans="4:28" x14ac:dyDescent="0.2">
      <c r="D227" s="9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28"/>
    </row>
    <row r="228" spans="4:28" x14ac:dyDescent="0.2">
      <c r="D228" s="9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28"/>
    </row>
    <row r="229" spans="4:28" x14ac:dyDescent="0.2">
      <c r="D229" s="9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28"/>
    </row>
    <row r="230" spans="4:28" x14ac:dyDescent="0.2">
      <c r="D230" s="9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28"/>
    </row>
    <row r="231" spans="4:28" x14ac:dyDescent="0.2">
      <c r="D231" s="9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28"/>
    </row>
    <row r="232" spans="4:28" x14ac:dyDescent="0.2">
      <c r="D232" s="9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28"/>
    </row>
    <row r="233" spans="4:28" x14ac:dyDescent="0.2">
      <c r="D233" s="9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28"/>
    </row>
    <row r="234" spans="4:28" x14ac:dyDescent="0.2">
      <c r="D234" s="9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28"/>
    </row>
    <row r="235" spans="4:28" x14ac:dyDescent="0.2">
      <c r="D235" s="9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28"/>
    </row>
    <row r="236" spans="4:28" x14ac:dyDescent="0.2">
      <c r="D236" s="9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28"/>
    </row>
    <row r="237" spans="4:28" x14ac:dyDescent="0.2">
      <c r="D237" s="9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28"/>
    </row>
    <row r="238" spans="4:28" x14ac:dyDescent="0.2">
      <c r="D238" s="9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28"/>
    </row>
    <row r="239" spans="4:28" x14ac:dyDescent="0.2">
      <c r="D239" s="9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28"/>
    </row>
    <row r="240" spans="4:28" x14ac:dyDescent="0.2">
      <c r="D240" s="9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28"/>
    </row>
    <row r="241" spans="4:28" x14ac:dyDescent="0.2">
      <c r="D241" s="9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28"/>
    </row>
    <row r="242" spans="4:28" x14ac:dyDescent="0.2">
      <c r="D242" s="9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28"/>
    </row>
    <row r="243" spans="4:28" x14ac:dyDescent="0.2">
      <c r="D243" s="9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28"/>
    </row>
    <row r="244" spans="4:28" x14ac:dyDescent="0.2">
      <c r="D244" s="9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28"/>
    </row>
    <row r="245" spans="4:28" x14ac:dyDescent="0.2">
      <c r="D245" s="9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28"/>
    </row>
    <row r="246" spans="4:28" x14ac:dyDescent="0.2">
      <c r="D246" s="9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28"/>
    </row>
    <row r="247" spans="4:28" x14ac:dyDescent="0.2">
      <c r="D247" s="9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28"/>
    </row>
    <row r="248" spans="4:28" x14ac:dyDescent="0.2">
      <c r="D248" s="9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28"/>
    </row>
    <row r="249" spans="4:28" x14ac:dyDescent="0.2">
      <c r="D249" s="9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28"/>
    </row>
    <row r="250" spans="4:28" x14ac:dyDescent="0.2">
      <c r="D250" s="9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28"/>
    </row>
    <row r="251" spans="4:28" x14ac:dyDescent="0.2">
      <c r="D251" s="9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28"/>
    </row>
    <row r="252" spans="4:28" x14ac:dyDescent="0.2">
      <c r="D252" s="9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28"/>
    </row>
    <row r="253" spans="4:28" x14ac:dyDescent="0.2">
      <c r="D253" s="9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28"/>
    </row>
    <row r="254" spans="4:28" x14ac:dyDescent="0.2">
      <c r="D254" s="9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28"/>
    </row>
    <row r="255" spans="4:28" x14ac:dyDescent="0.2">
      <c r="D255" s="9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28"/>
    </row>
    <row r="256" spans="4:28" x14ac:dyDescent="0.2">
      <c r="D256" s="9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28"/>
    </row>
    <row r="257" spans="4:28" x14ac:dyDescent="0.2">
      <c r="D257" s="9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28"/>
    </row>
    <row r="258" spans="4:28" x14ac:dyDescent="0.2">
      <c r="D258" s="9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28"/>
    </row>
    <row r="259" spans="4:28" x14ac:dyDescent="0.2">
      <c r="D259" s="9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28"/>
    </row>
    <row r="260" spans="4:28" x14ac:dyDescent="0.2">
      <c r="D260" s="9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28"/>
    </row>
    <row r="261" spans="4:28" x14ac:dyDescent="0.2">
      <c r="D261" s="9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28"/>
    </row>
    <row r="262" spans="4:28" x14ac:dyDescent="0.2">
      <c r="D262" s="9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28"/>
    </row>
    <row r="263" spans="4:28" x14ac:dyDescent="0.2">
      <c r="D263" s="9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28"/>
    </row>
    <row r="264" spans="4:28" x14ac:dyDescent="0.2">
      <c r="D264" s="9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28"/>
    </row>
    <row r="265" spans="4:28" x14ac:dyDescent="0.2">
      <c r="D265" s="9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28"/>
    </row>
    <row r="266" spans="4:28" x14ac:dyDescent="0.2">
      <c r="D266" s="9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28"/>
    </row>
    <row r="267" spans="4:28" x14ac:dyDescent="0.2">
      <c r="D267" s="9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28"/>
    </row>
    <row r="268" spans="4:28" x14ac:dyDescent="0.2">
      <c r="D268" s="9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28"/>
    </row>
    <row r="269" spans="4:28" x14ac:dyDescent="0.2">
      <c r="D269" s="9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28"/>
    </row>
    <row r="270" spans="4:28" x14ac:dyDescent="0.2">
      <c r="D270" s="9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28"/>
    </row>
    <row r="271" spans="4:28" x14ac:dyDescent="0.2">
      <c r="D271" s="9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28"/>
    </row>
    <row r="272" spans="4:28" x14ac:dyDescent="0.2">
      <c r="D272" s="9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28"/>
    </row>
    <row r="273" spans="4:28" x14ac:dyDescent="0.2">
      <c r="D273" s="9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28"/>
    </row>
    <row r="274" spans="4:28" x14ac:dyDescent="0.2">
      <c r="D274" s="9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28"/>
    </row>
    <row r="275" spans="4:28" x14ac:dyDescent="0.2">
      <c r="D275" s="9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28"/>
    </row>
    <row r="276" spans="4:28" x14ac:dyDescent="0.2">
      <c r="D276" s="9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28"/>
    </row>
    <row r="277" spans="4:28" x14ac:dyDescent="0.2">
      <c r="D277" s="9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28"/>
    </row>
    <row r="278" spans="4:28" x14ac:dyDescent="0.2">
      <c r="D278" s="9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28"/>
    </row>
    <row r="279" spans="4:28" x14ac:dyDescent="0.2">
      <c r="D279" s="9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28"/>
    </row>
    <row r="280" spans="4:28" x14ac:dyDescent="0.2">
      <c r="D280" s="9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28"/>
    </row>
    <row r="281" spans="4:28" x14ac:dyDescent="0.2">
      <c r="D281" s="9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28"/>
    </row>
    <row r="282" spans="4:28" x14ac:dyDescent="0.2">
      <c r="D282" s="9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28"/>
    </row>
    <row r="283" spans="4:28" x14ac:dyDescent="0.2">
      <c r="D283" s="9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28"/>
    </row>
    <row r="284" spans="4:28" x14ac:dyDescent="0.2">
      <c r="D284" s="9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28"/>
    </row>
    <row r="285" spans="4:28" x14ac:dyDescent="0.2">
      <c r="D285" s="9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28"/>
    </row>
    <row r="286" spans="4:28" x14ac:dyDescent="0.2">
      <c r="D286" s="9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28"/>
    </row>
    <row r="287" spans="4:28" x14ac:dyDescent="0.2">
      <c r="D287" s="9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28"/>
    </row>
    <row r="288" spans="4:28" x14ac:dyDescent="0.2">
      <c r="D288" s="9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28"/>
    </row>
    <row r="289" spans="4:28" x14ac:dyDescent="0.2">
      <c r="D289" s="9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28"/>
    </row>
    <row r="290" spans="4:28" x14ac:dyDescent="0.2">
      <c r="D290" s="9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28"/>
    </row>
    <row r="291" spans="4:28" x14ac:dyDescent="0.2">
      <c r="D291" s="9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28"/>
    </row>
    <row r="292" spans="4:28" x14ac:dyDescent="0.2">
      <c r="D292" s="9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28"/>
    </row>
    <row r="293" spans="4:28" x14ac:dyDescent="0.2">
      <c r="D293" s="9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28"/>
    </row>
    <row r="294" spans="4:28" x14ac:dyDescent="0.2">
      <c r="D294" s="9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28"/>
    </row>
    <row r="295" spans="4:28" x14ac:dyDescent="0.2">
      <c r="D295" s="9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28"/>
    </row>
    <row r="296" spans="4:28" x14ac:dyDescent="0.2">
      <c r="D296" s="9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28"/>
    </row>
    <row r="297" spans="4:28" x14ac:dyDescent="0.2">
      <c r="D297" s="9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28"/>
    </row>
    <row r="298" spans="4:28" x14ac:dyDescent="0.2">
      <c r="D298" s="9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28"/>
    </row>
    <row r="299" spans="4:28" x14ac:dyDescent="0.2">
      <c r="D299" s="9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28"/>
    </row>
    <row r="300" spans="4:28" x14ac:dyDescent="0.2">
      <c r="D300" s="9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28"/>
    </row>
    <row r="301" spans="4:28" x14ac:dyDescent="0.2">
      <c r="D301" s="9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28"/>
    </row>
    <row r="302" spans="4:28" x14ac:dyDescent="0.2">
      <c r="D302" s="9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28"/>
    </row>
    <row r="303" spans="4:28" x14ac:dyDescent="0.2">
      <c r="D303" s="9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28"/>
    </row>
    <row r="304" spans="4:28" x14ac:dyDescent="0.2">
      <c r="D304" s="9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28"/>
    </row>
    <row r="305" spans="4:28" x14ac:dyDescent="0.2">
      <c r="D305" s="9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28"/>
    </row>
    <row r="306" spans="4:28" x14ac:dyDescent="0.2">
      <c r="D306" s="9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28"/>
    </row>
    <row r="307" spans="4:28" x14ac:dyDescent="0.2">
      <c r="D307" s="9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28"/>
    </row>
    <row r="308" spans="4:28" x14ac:dyDescent="0.2">
      <c r="D308" s="9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28"/>
    </row>
    <row r="309" spans="4:28" x14ac:dyDescent="0.2">
      <c r="D309" s="9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28"/>
    </row>
    <row r="310" spans="4:28" x14ac:dyDescent="0.2">
      <c r="D310" s="9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28"/>
    </row>
    <row r="311" spans="4:28" x14ac:dyDescent="0.2">
      <c r="D311" s="9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28"/>
    </row>
    <row r="312" spans="4:28" x14ac:dyDescent="0.2">
      <c r="D312" s="9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28"/>
    </row>
    <row r="313" spans="4:28" x14ac:dyDescent="0.2">
      <c r="D313" s="9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28"/>
    </row>
    <row r="314" spans="4:28" x14ac:dyDescent="0.2">
      <c r="D314" s="9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28"/>
    </row>
    <row r="315" spans="4:28" x14ac:dyDescent="0.2">
      <c r="D315" s="9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28"/>
    </row>
    <row r="316" spans="4:28" x14ac:dyDescent="0.2">
      <c r="D316" s="9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28"/>
    </row>
    <row r="317" spans="4:28" x14ac:dyDescent="0.2">
      <c r="D317" s="9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28"/>
    </row>
    <row r="318" spans="4:28" x14ac:dyDescent="0.2">
      <c r="D318" s="9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28"/>
    </row>
    <row r="319" spans="4:28" x14ac:dyDescent="0.2">
      <c r="D319" s="9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28"/>
    </row>
    <row r="320" spans="4:28" x14ac:dyDescent="0.2">
      <c r="D320" s="9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28"/>
    </row>
    <row r="321" spans="4:28" x14ac:dyDescent="0.2">
      <c r="D321" s="9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28"/>
    </row>
    <row r="322" spans="4:28" x14ac:dyDescent="0.2">
      <c r="D322" s="9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28"/>
    </row>
    <row r="323" spans="4:28" x14ac:dyDescent="0.2">
      <c r="D323" s="9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28"/>
    </row>
    <row r="324" spans="4:28" x14ac:dyDescent="0.2">
      <c r="D324" s="9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28"/>
    </row>
    <row r="325" spans="4:28" x14ac:dyDescent="0.2">
      <c r="D325" s="9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28"/>
    </row>
    <row r="326" spans="4:28" x14ac:dyDescent="0.2">
      <c r="D326" s="9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28"/>
    </row>
    <row r="327" spans="4:28" x14ac:dyDescent="0.2">
      <c r="D327" s="9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28"/>
    </row>
    <row r="328" spans="4:28" x14ac:dyDescent="0.2">
      <c r="D328" s="9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28"/>
    </row>
    <row r="329" spans="4:28" x14ac:dyDescent="0.2">
      <c r="D329" s="9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28"/>
    </row>
    <row r="330" spans="4:28" x14ac:dyDescent="0.2">
      <c r="D330" s="9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28"/>
    </row>
    <row r="331" spans="4:28" x14ac:dyDescent="0.2">
      <c r="D331" s="9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28"/>
    </row>
    <row r="332" spans="4:28" x14ac:dyDescent="0.2">
      <c r="D332" s="9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28"/>
    </row>
    <row r="333" spans="4:28" x14ac:dyDescent="0.2">
      <c r="D333" s="9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28"/>
    </row>
    <row r="334" spans="4:28" x14ac:dyDescent="0.2">
      <c r="D334" s="9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28"/>
    </row>
    <row r="335" spans="4:28" x14ac:dyDescent="0.2">
      <c r="D335" s="9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28"/>
    </row>
    <row r="336" spans="4:28" x14ac:dyDescent="0.2">
      <c r="D336" s="9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28"/>
    </row>
    <row r="337" spans="4:28" x14ac:dyDescent="0.2">
      <c r="D337" s="9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28"/>
    </row>
    <row r="338" spans="4:28" x14ac:dyDescent="0.2">
      <c r="D338" s="9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28"/>
    </row>
    <row r="339" spans="4:28" x14ac:dyDescent="0.2">
      <c r="D339" s="9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28"/>
    </row>
    <row r="340" spans="4:28" x14ac:dyDescent="0.2">
      <c r="D340" s="9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28"/>
    </row>
    <row r="341" spans="4:28" x14ac:dyDescent="0.2">
      <c r="D341" s="9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28"/>
    </row>
    <row r="342" spans="4:28" x14ac:dyDescent="0.2">
      <c r="D342" s="9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28"/>
    </row>
    <row r="343" spans="4:28" x14ac:dyDescent="0.2">
      <c r="D343" s="9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28"/>
    </row>
    <row r="344" spans="4:28" x14ac:dyDescent="0.2">
      <c r="D344" s="9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28"/>
    </row>
    <row r="345" spans="4:28" x14ac:dyDescent="0.2">
      <c r="D345" s="9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28"/>
    </row>
    <row r="346" spans="4:28" x14ac:dyDescent="0.2">
      <c r="D346" s="9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28"/>
    </row>
    <row r="347" spans="4:28" x14ac:dyDescent="0.2">
      <c r="D347" s="9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28"/>
    </row>
    <row r="348" spans="4:28" x14ac:dyDescent="0.2">
      <c r="D348" s="9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28"/>
    </row>
    <row r="349" spans="4:28" x14ac:dyDescent="0.2">
      <c r="D349" s="9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28"/>
    </row>
    <row r="350" spans="4:28" x14ac:dyDescent="0.2">
      <c r="D350" s="9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28"/>
    </row>
    <row r="351" spans="4:28" x14ac:dyDescent="0.2">
      <c r="D351" s="9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28"/>
    </row>
    <row r="352" spans="4:28" x14ac:dyDescent="0.2">
      <c r="D352" s="9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28"/>
    </row>
    <row r="353" spans="4:28" x14ac:dyDescent="0.2">
      <c r="D353" s="9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28"/>
    </row>
    <row r="354" spans="4:28" x14ac:dyDescent="0.2">
      <c r="D354" s="9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28"/>
    </row>
    <row r="355" spans="4:28" x14ac:dyDescent="0.2">
      <c r="D355" s="9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28"/>
    </row>
    <row r="356" spans="4:28" x14ac:dyDescent="0.2">
      <c r="D356" s="9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28"/>
    </row>
    <row r="357" spans="4:28" x14ac:dyDescent="0.2">
      <c r="D357" s="9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28"/>
    </row>
    <row r="358" spans="4:28" x14ac:dyDescent="0.2">
      <c r="D358" s="9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28"/>
    </row>
    <row r="359" spans="4:28" x14ac:dyDescent="0.2">
      <c r="D359" s="9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28"/>
    </row>
    <row r="360" spans="4:28" x14ac:dyDescent="0.2">
      <c r="D360" s="9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28"/>
    </row>
    <row r="361" spans="4:28" x14ac:dyDescent="0.2">
      <c r="D361" s="9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28"/>
    </row>
    <row r="362" spans="4:28" x14ac:dyDescent="0.2">
      <c r="D362" s="9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28"/>
    </row>
    <row r="363" spans="4:28" x14ac:dyDescent="0.2">
      <c r="D363" s="9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28"/>
    </row>
    <row r="364" spans="4:28" x14ac:dyDescent="0.2">
      <c r="D364" s="9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28"/>
    </row>
    <row r="365" spans="4:28" x14ac:dyDescent="0.2">
      <c r="D365" s="9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28"/>
    </row>
    <row r="366" spans="4:28" x14ac:dyDescent="0.2">
      <c r="D366" s="9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28"/>
    </row>
    <row r="367" spans="4:28" x14ac:dyDescent="0.2">
      <c r="D367" s="9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28"/>
    </row>
    <row r="368" spans="4:28" x14ac:dyDescent="0.2">
      <c r="D368" s="9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28"/>
    </row>
    <row r="369" spans="4:28" x14ac:dyDescent="0.2">
      <c r="D369" s="9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28"/>
    </row>
    <row r="370" spans="4:28" x14ac:dyDescent="0.2">
      <c r="D370" s="9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28"/>
    </row>
    <row r="371" spans="4:28" x14ac:dyDescent="0.2">
      <c r="D371" s="9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28"/>
    </row>
    <row r="372" spans="4:28" x14ac:dyDescent="0.2">
      <c r="D372" s="9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28"/>
    </row>
    <row r="373" spans="4:28" x14ac:dyDescent="0.2">
      <c r="D373" s="9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28"/>
    </row>
    <row r="374" spans="4:28" x14ac:dyDescent="0.2">
      <c r="D374" s="9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28"/>
    </row>
    <row r="375" spans="4:28" x14ac:dyDescent="0.2">
      <c r="D375" s="9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28"/>
    </row>
    <row r="376" spans="4:28" x14ac:dyDescent="0.2">
      <c r="D376" s="9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28"/>
    </row>
    <row r="377" spans="4:28" x14ac:dyDescent="0.2">
      <c r="D377" s="9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28"/>
    </row>
    <row r="378" spans="4:28" x14ac:dyDescent="0.2">
      <c r="D378" s="9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28"/>
    </row>
    <row r="379" spans="4:28" x14ac:dyDescent="0.2">
      <c r="D379" s="9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28"/>
    </row>
    <row r="380" spans="4:28" x14ac:dyDescent="0.2">
      <c r="D380" s="9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28"/>
    </row>
    <row r="381" spans="4:28" x14ac:dyDescent="0.2">
      <c r="D381" s="9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28"/>
    </row>
    <row r="382" spans="4:28" x14ac:dyDescent="0.2">
      <c r="D382" s="9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28"/>
    </row>
    <row r="383" spans="4:28" x14ac:dyDescent="0.2">
      <c r="D383" s="9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28"/>
    </row>
    <row r="384" spans="4:28" x14ac:dyDescent="0.2">
      <c r="D384" s="9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28"/>
    </row>
    <row r="385" spans="4:28" x14ac:dyDescent="0.2">
      <c r="D385" s="9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28"/>
    </row>
    <row r="386" spans="4:28" x14ac:dyDescent="0.2">
      <c r="D386" s="9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28"/>
    </row>
    <row r="387" spans="4:28" x14ac:dyDescent="0.2">
      <c r="D387" s="9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28"/>
    </row>
    <row r="388" spans="4:28" x14ac:dyDescent="0.2">
      <c r="D388" s="9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28"/>
    </row>
    <row r="389" spans="4:28" x14ac:dyDescent="0.2">
      <c r="D389" s="9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28"/>
    </row>
    <row r="390" spans="4:28" x14ac:dyDescent="0.2">
      <c r="D390" s="9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28"/>
    </row>
    <row r="391" spans="4:28" x14ac:dyDescent="0.2">
      <c r="D391" s="9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28"/>
    </row>
    <row r="392" spans="4:28" x14ac:dyDescent="0.2">
      <c r="D392" s="9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28"/>
    </row>
    <row r="393" spans="4:28" x14ac:dyDescent="0.2">
      <c r="D393" s="9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28"/>
    </row>
    <row r="394" spans="4:28" x14ac:dyDescent="0.2">
      <c r="D394" s="9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28"/>
    </row>
    <row r="395" spans="4:28" x14ac:dyDescent="0.2">
      <c r="D395" s="9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28"/>
    </row>
    <row r="396" spans="4:28" x14ac:dyDescent="0.2">
      <c r="D396" s="9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28"/>
    </row>
    <row r="397" spans="4:28" x14ac:dyDescent="0.2">
      <c r="D397" s="9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28"/>
    </row>
    <row r="398" spans="4:28" x14ac:dyDescent="0.2">
      <c r="D398" s="9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28"/>
    </row>
    <row r="399" spans="4:28" x14ac:dyDescent="0.2">
      <c r="D399" s="9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28"/>
    </row>
    <row r="400" spans="4:28" x14ac:dyDescent="0.2">
      <c r="D400" s="9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28"/>
    </row>
    <row r="401" spans="4:28" x14ac:dyDescent="0.2">
      <c r="D401" s="9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28"/>
    </row>
    <row r="402" spans="4:28" x14ac:dyDescent="0.2">
      <c r="D402" s="9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28"/>
    </row>
    <row r="403" spans="4:28" x14ac:dyDescent="0.2">
      <c r="D403" s="9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28"/>
    </row>
    <row r="404" spans="4:28" x14ac:dyDescent="0.2">
      <c r="D404" s="9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28"/>
    </row>
    <row r="405" spans="4:28" x14ac:dyDescent="0.2">
      <c r="D405" s="9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28"/>
    </row>
    <row r="406" spans="4:28" x14ac:dyDescent="0.2">
      <c r="D406" s="9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28"/>
    </row>
    <row r="407" spans="4:28" x14ac:dyDescent="0.2">
      <c r="D407" s="9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28"/>
    </row>
    <row r="408" spans="4:28" x14ac:dyDescent="0.2">
      <c r="D408" s="9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28"/>
    </row>
    <row r="409" spans="4:28" x14ac:dyDescent="0.2">
      <c r="D409" s="9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28"/>
    </row>
    <row r="410" spans="4:28" x14ac:dyDescent="0.2">
      <c r="D410" s="9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28"/>
    </row>
    <row r="411" spans="4:28" x14ac:dyDescent="0.2">
      <c r="D411" s="9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28"/>
    </row>
    <row r="412" spans="4:28" x14ac:dyDescent="0.2">
      <c r="D412" s="9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28"/>
    </row>
    <row r="413" spans="4:28" x14ac:dyDescent="0.2">
      <c r="D413" s="9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28"/>
    </row>
    <row r="414" spans="4:28" x14ac:dyDescent="0.2">
      <c r="D414" s="9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28"/>
    </row>
    <row r="415" spans="4:28" x14ac:dyDescent="0.2">
      <c r="D415" s="9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28"/>
    </row>
    <row r="416" spans="4:28" x14ac:dyDescent="0.2">
      <c r="D416" s="9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28"/>
    </row>
    <row r="417" spans="4:28" x14ac:dyDescent="0.2">
      <c r="D417" s="9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28"/>
    </row>
    <row r="418" spans="4:28" x14ac:dyDescent="0.2">
      <c r="D418" s="9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28"/>
    </row>
    <row r="419" spans="4:28" x14ac:dyDescent="0.2">
      <c r="D419" s="9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28"/>
    </row>
    <row r="420" spans="4:28" x14ac:dyDescent="0.2">
      <c r="D420" s="9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28"/>
    </row>
    <row r="421" spans="4:28" x14ac:dyDescent="0.2">
      <c r="D421" s="9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28"/>
    </row>
    <row r="422" spans="4:28" x14ac:dyDescent="0.2">
      <c r="D422" s="9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28"/>
    </row>
    <row r="423" spans="4:28" x14ac:dyDescent="0.2">
      <c r="D423" s="9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28"/>
    </row>
    <row r="424" spans="4:28" x14ac:dyDescent="0.2">
      <c r="D424" s="9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28"/>
    </row>
    <row r="425" spans="4:28" x14ac:dyDescent="0.2">
      <c r="D425" s="9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28"/>
    </row>
    <row r="426" spans="4:28" x14ac:dyDescent="0.2">
      <c r="D426" s="9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28"/>
    </row>
    <row r="427" spans="4:28" x14ac:dyDescent="0.2">
      <c r="D427" s="9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28"/>
    </row>
    <row r="428" spans="4:28" x14ac:dyDescent="0.2">
      <c r="D428" s="9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28"/>
    </row>
    <row r="429" spans="4:28" x14ac:dyDescent="0.2">
      <c r="D429" s="9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28"/>
    </row>
    <row r="430" spans="4:28" x14ac:dyDescent="0.2">
      <c r="D430" s="9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28"/>
    </row>
    <row r="431" spans="4:28" x14ac:dyDescent="0.2">
      <c r="D431" s="9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28"/>
    </row>
    <row r="432" spans="4:28" x14ac:dyDescent="0.2">
      <c r="D432" s="9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28"/>
    </row>
    <row r="433" spans="4:28" x14ac:dyDescent="0.2">
      <c r="D433" s="9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28"/>
    </row>
    <row r="434" spans="4:28" x14ac:dyDescent="0.2">
      <c r="D434" s="9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28"/>
    </row>
    <row r="435" spans="4:28" x14ac:dyDescent="0.2">
      <c r="D435" s="9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28"/>
    </row>
    <row r="436" spans="4:28" x14ac:dyDescent="0.2">
      <c r="D436" s="9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28"/>
    </row>
    <row r="437" spans="4:28" x14ac:dyDescent="0.2">
      <c r="D437" s="9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28"/>
    </row>
    <row r="438" spans="4:28" x14ac:dyDescent="0.2">
      <c r="D438" s="9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28"/>
    </row>
    <row r="439" spans="4:28" x14ac:dyDescent="0.2">
      <c r="D439" s="9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28"/>
    </row>
    <row r="440" spans="4:28" x14ac:dyDescent="0.2">
      <c r="D440" s="9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28"/>
    </row>
    <row r="441" spans="4:28" x14ac:dyDescent="0.2">
      <c r="D441" s="9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28"/>
    </row>
    <row r="442" spans="4:28" x14ac:dyDescent="0.2">
      <c r="D442" s="9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28"/>
    </row>
    <row r="443" spans="4:28" x14ac:dyDescent="0.2">
      <c r="D443" s="9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28"/>
    </row>
    <row r="444" spans="4:28" x14ac:dyDescent="0.2">
      <c r="D444" s="9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28"/>
    </row>
    <row r="445" spans="4:28" x14ac:dyDescent="0.2">
      <c r="D445" s="9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28"/>
    </row>
    <row r="446" spans="4:28" x14ac:dyDescent="0.2">
      <c r="D446" s="9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28"/>
    </row>
    <row r="447" spans="4:28" x14ac:dyDescent="0.2">
      <c r="D447" s="9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28"/>
    </row>
    <row r="448" spans="4:28" x14ac:dyDescent="0.2">
      <c r="D448" s="9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28"/>
    </row>
    <row r="449" spans="4:28" x14ac:dyDescent="0.2">
      <c r="D449" s="9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28"/>
    </row>
    <row r="450" spans="4:28" x14ac:dyDescent="0.2">
      <c r="D450" s="9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28"/>
    </row>
    <row r="451" spans="4:28" x14ac:dyDescent="0.2">
      <c r="D451" s="9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28"/>
    </row>
    <row r="452" spans="4:28" x14ac:dyDescent="0.2">
      <c r="D452" s="9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28"/>
    </row>
    <row r="453" spans="4:28" x14ac:dyDescent="0.2">
      <c r="D453" s="9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28"/>
    </row>
    <row r="454" spans="4:28" x14ac:dyDescent="0.2">
      <c r="D454" s="9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28"/>
    </row>
    <row r="455" spans="4:28" x14ac:dyDescent="0.2">
      <c r="D455" s="9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28"/>
    </row>
    <row r="456" spans="4:28" x14ac:dyDescent="0.2">
      <c r="D456" s="9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28"/>
    </row>
    <row r="457" spans="4:28" x14ac:dyDescent="0.2">
      <c r="D457" s="9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28"/>
    </row>
    <row r="458" spans="4:28" x14ac:dyDescent="0.2">
      <c r="D458" s="9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28"/>
    </row>
    <row r="459" spans="4:28" x14ac:dyDescent="0.2">
      <c r="D459" s="9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28"/>
    </row>
    <row r="460" spans="4:28" x14ac:dyDescent="0.2">
      <c r="D460" s="9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28"/>
    </row>
    <row r="461" spans="4:28" x14ac:dyDescent="0.2">
      <c r="D461" s="9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28"/>
    </row>
    <row r="462" spans="4:28" x14ac:dyDescent="0.2">
      <c r="D462" s="9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28"/>
    </row>
    <row r="463" spans="4:28" x14ac:dyDescent="0.2">
      <c r="D463" s="9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28"/>
    </row>
    <row r="464" spans="4:28" x14ac:dyDescent="0.2">
      <c r="D464" s="9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28"/>
    </row>
    <row r="465" spans="4:28" x14ac:dyDescent="0.2">
      <c r="D465" s="9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28"/>
    </row>
    <row r="466" spans="4:28" x14ac:dyDescent="0.2">
      <c r="D466" s="9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28"/>
    </row>
    <row r="467" spans="4:28" x14ac:dyDescent="0.2">
      <c r="D467" s="9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28"/>
    </row>
    <row r="468" spans="4:28" x14ac:dyDescent="0.2">
      <c r="D468" s="9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28"/>
    </row>
    <row r="469" spans="4:28" x14ac:dyDescent="0.2">
      <c r="D469" s="9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28"/>
    </row>
    <row r="470" spans="4:28" x14ac:dyDescent="0.2">
      <c r="D470" s="9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28"/>
    </row>
    <row r="471" spans="4:28" x14ac:dyDescent="0.2">
      <c r="D471" s="9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28"/>
    </row>
    <row r="472" spans="4:28" x14ac:dyDescent="0.2">
      <c r="D472" s="9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28"/>
    </row>
    <row r="473" spans="4:28" x14ac:dyDescent="0.2">
      <c r="D473" s="9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28"/>
    </row>
    <row r="474" spans="4:28" x14ac:dyDescent="0.2">
      <c r="D474" s="9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28"/>
    </row>
    <row r="475" spans="4:28" x14ac:dyDescent="0.2">
      <c r="D475" s="9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28"/>
    </row>
    <row r="476" spans="4:28" x14ac:dyDescent="0.2">
      <c r="D476" s="9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28"/>
    </row>
    <row r="477" spans="4:28" x14ac:dyDescent="0.2">
      <c r="D477" s="9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28"/>
    </row>
    <row r="478" spans="4:28" x14ac:dyDescent="0.2">
      <c r="D478" s="9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28"/>
    </row>
    <row r="479" spans="4:28" x14ac:dyDescent="0.2">
      <c r="D479" s="9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28"/>
    </row>
    <row r="480" spans="4:28" x14ac:dyDescent="0.2">
      <c r="D480" s="9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28"/>
    </row>
    <row r="481" spans="4:28" x14ac:dyDescent="0.2">
      <c r="D481" s="9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28"/>
    </row>
    <row r="482" spans="4:28" x14ac:dyDescent="0.2">
      <c r="D482" s="9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28"/>
    </row>
    <row r="483" spans="4:28" x14ac:dyDescent="0.2">
      <c r="D483" s="9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28"/>
    </row>
    <row r="484" spans="4:28" x14ac:dyDescent="0.2">
      <c r="D484" s="9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28"/>
    </row>
    <row r="485" spans="4:28" x14ac:dyDescent="0.2">
      <c r="D485" s="9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28"/>
    </row>
    <row r="486" spans="4:28" x14ac:dyDescent="0.2">
      <c r="D486" s="9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28"/>
    </row>
    <row r="487" spans="4:28" x14ac:dyDescent="0.2">
      <c r="D487" s="9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28"/>
    </row>
    <row r="488" spans="4:28" x14ac:dyDescent="0.2">
      <c r="D488" s="9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28"/>
    </row>
    <row r="489" spans="4:28" x14ac:dyDescent="0.2">
      <c r="D489" s="9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28"/>
    </row>
    <row r="490" spans="4:28" x14ac:dyDescent="0.2">
      <c r="D490" s="9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28"/>
    </row>
    <row r="491" spans="4:28" x14ac:dyDescent="0.2">
      <c r="D491" s="9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28"/>
    </row>
    <row r="492" spans="4:28" x14ac:dyDescent="0.2">
      <c r="D492" s="9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28"/>
    </row>
    <row r="493" spans="4:28" x14ac:dyDescent="0.2">
      <c r="D493" s="9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28"/>
    </row>
    <row r="494" spans="4:28" x14ac:dyDescent="0.2">
      <c r="D494" s="9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28"/>
    </row>
    <row r="495" spans="4:28" x14ac:dyDescent="0.2">
      <c r="D495" s="9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28"/>
    </row>
    <row r="496" spans="4:28" x14ac:dyDescent="0.2">
      <c r="D496" s="9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28"/>
    </row>
    <row r="497" spans="4:28" x14ac:dyDescent="0.2">
      <c r="D497" s="9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28"/>
    </row>
    <row r="498" spans="4:28" x14ac:dyDescent="0.2">
      <c r="D498" s="9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28"/>
    </row>
    <row r="499" spans="4:28" x14ac:dyDescent="0.2">
      <c r="D499" s="9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28"/>
    </row>
    <row r="500" spans="4:28" x14ac:dyDescent="0.2">
      <c r="D500" s="9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28"/>
    </row>
  </sheetData>
  <phoneticPr fontId="0" type="noConversion"/>
  <printOptions headings="1"/>
  <pageMargins left="0.75" right="0.75" top="1" bottom="1" header="0.5" footer="0.5"/>
  <pageSetup fitToWidth="2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r:id="rId4" name="Button 1">
              <controlPr defaultSize="0" print="0" autoFill="0" autoPict="0" macro="[0]!CurveFetch">
                <anchor moveWithCells="1" sizeWithCells="1">
                  <from>
                    <xdr:col>0</xdr:col>
                    <xdr:colOff>352425</xdr:colOff>
                    <xdr:row>15</xdr:row>
                    <xdr:rowOff>0</xdr:rowOff>
                  </from>
                  <to>
                    <xdr:col>2</xdr:col>
                    <xdr:colOff>219075</xdr:colOff>
                    <xdr:row>17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AS370"/>
  <sheetViews>
    <sheetView workbookViewId="0">
      <pane xSplit="1" ySplit="15" topLeftCell="B16" activePane="bottomRight" state="frozen"/>
      <selection pane="topRight" activeCell="B1" sqref="B1"/>
      <selection pane="bottomLeft" activeCell="A16" sqref="A16"/>
      <selection pane="bottomRight" activeCell="C21" sqref="C21"/>
    </sheetView>
  </sheetViews>
  <sheetFormatPr defaultColWidth="12.42578125" defaultRowHeight="12" x14ac:dyDescent="0.2"/>
  <cols>
    <col min="1" max="1" width="12.42578125" style="12" customWidth="1"/>
    <col min="2" max="2" width="12.42578125" style="13" customWidth="1"/>
    <col min="3" max="3" width="13.140625" style="12" customWidth="1"/>
    <col min="4" max="4" width="9.140625" style="12" bestFit="1" customWidth="1"/>
    <col min="5" max="6" width="10.5703125" style="12" bestFit="1" customWidth="1"/>
    <col min="7" max="7" width="10.42578125" style="12" bestFit="1" customWidth="1"/>
    <col min="8" max="8" width="14.28515625" style="12" bestFit="1" customWidth="1"/>
    <col min="9" max="9" width="16.140625" style="12" bestFit="1" customWidth="1"/>
    <col min="10" max="10" width="11" style="12" bestFit="1" customWidth="1"/>
    <col min="11" max="11" width="17.5703125" style="22" bestFit="1" customWidth="1"/>
    <col min="12" max="12" width="16.5703125" style="12" bestFit="1" customWidth="1"/>
    <col min="13" max="13" width="15.28515625" style="12" bestFit="1" customWidth="1"/>
    <col min="14" max="14" width="11.85546875" style="12" bestFit="1" customWidth="1"/>
    <col min="15" max="15" width="14.42578125" style="12" bestFit="1" customWidth="1"/>
    <col min="16" max="16" width="13.140625" style="12" bestFit="1" customWidth="1"/>
    <col min="17" max="17" width="12" style="12" bestFit="1" customWidth="1"/>
    <col min="18" max="18" width="7.85546875" style="12" bestFit="1" customWidth="1"/>
    <col min="19" max="19" width="12" style="12" bestFit="1" customWidth="1"/>
    <col min="20" max="20" width="17.7109375" style="12" bestFit="1" customWidth="1"/>
    <col min="21" max="21" width="15.42578125" style="12" bestFit="1" customWidth="1"/>
    <col min="22" max="22" width="14.140625" style="12" bestFit="1" customWidth="1"/>
    <col min="23" max="23" width="12" style="12" bestFit="1" customWidth="1"/>
    <col min="24" max="24" width="15.85546875" style="12" bestFit="1" customWidth="1"/>
    <col min="25" max="25" width="16.7109375" style="12" bestFit="1" customWidth="1"/>
    <col min="26" max="26" width="11" style="12" bestFit="1" customWidth="1"/>
    <col min="27" max="27" width="15.5703125" style="22" bestFit="1" customWidth="1"/>
    <col min="28" max="28" width="11.140625" style="22" bestFit="1" customWidth="1"/>
    <col min="29" max="29" width="17.42578125" style="22" bestFit="1" customWidth="1"/>
    <col min="30" max="30" width="15.42578125" style="22" bestFit="1" customWidth="1"/>
    <col min="31" max="31" width="11.28515625" style="22" bestFit="1" customWidth="1"/>
    <col min="32" max="32" width="14" style="22" bestFit="1" customWidth="1"/>
    <col min="33" max="33" width="10.7109375" style="22" bestFit="1" customWidth="1"/>
    <col min="34" max="34" width="9.85546875" style="22" bestFit="1" customWidth="1"/>
    <col min="35" max="35" width="15.85546875" style="22" customWidth="1"/>
    <col min="36" max="36" width="15.140625" style="22" bestFit="1" customWidth="1"/>
    <col min="37" max="37" width="14.140625" style="22" bestFit="1" customWidth="1"/>
    <col min="38" max="38" width="14.85546875" style="22" bestFit="1" customWidth="1"/>
    <col min="39" max="39" width="17.85546875" style="22" bestFit="1" customWidth="1"/>
    <col min="40" max="40" width="12.5703125" style="22" bestFit="1" customWidth="1"/>
    <col min="41" max="41" width="11.42578125" style="22" bestFit="1" customWidth="1"/>
    <col min="42" max="43" width="12.42578125" style="22" customWidth="1"/>
    <col min="44" max="44" width="15.140625" style="22" customWidth="1"/>
    <col min="45" max="45" width="15.5703125" style="12" bestFit="1" customWidth="1"/>
    <col min="46" max="16384" width="12.42578125" style="12"/>
  </cols>
  <sheetData>
    <row r="1" spans="1:45" x14ac:dyDescent="0.2">
      <c r="A1" s="12" t="s">
        <v>32</v>
      </c>
      <c r="B1" s="13" t="s">
        <v>33</v>
      </c>
      <c r="C1" s="17" t="s">
        <v>34</v>
      </c>
    </row>
    <row r="2" spans="1:45" x14ac:dyDescent="0.2">
      <c r="A2" s="12" t="s">
        <v>35</v>
      </c>
      <c r="B2" s="13" t="s">
        <v>33</v>
      </c>
      <c r="C2" s="17" t="s">
        <v>36</v>
      </c>
    </row>
    <row r="3" spans="1:45" x14ac:dyDescent="0.2">
      <c r="A3" s="12" t="s">
        <v>37</v>
      </c>
      <c r="B3" s="13" t="s">
        <v>38</v>
      </c>
      <c r="C3" s="17" t="s">
        <v>39</v>
      </c>
      <c r="S3" s="30"/>
    </row>
    <row r="4" spans="1:45" x14ac:dyDescent="0.2">
      <c r="C4" s="17"/>
    </row>
    <row r="5" spans="1:45" x14ac:dyDescent="0.2">
      <c r="A5" s="12" t="s">
        <v>40</v>
      </c>
      <c r="B5" s="81">
        <f>CurveFetch!E2</f>
        <v>37168</v>
      </c>
      <c r="C5" s="17" t="s">
        <v>41</v>
      </c>
    </row>
    <row r="6" spans="1:45" x14ac:dyDescent="0.2">
      <c r="C6" s="14"/>
    </row>
    <row r="7" spans="1:45" x14ac:dyDescent="0.2">
      <c r="C7" s="14"/>
    </row>
    <row r="10" spans="1:45" x14ac:dyDescent="0.2">
      <c r="C10" s="12">
        <v>1</v>
      </c>
      <c r="D10" s="12">
        <v>2</v>
      </c>
      <c r="E10" s="12">
        <v>3</v>
      </c>
      <c r="F10" s="12">
        <v>4</v>
      </c>
      <c r="G10" s="12">
        <v>5</v>
      </c>
      <c r="H10" s="12">
        <v>6</v>
      </c>
      <c r="I10" s="12">
        <v>7</v>
      </c>
      <c r="J10" s="12">
        <v>8</v>
      </c>
      <c r="K10" s="12">
        <v>9</v>
      </c>
      <c r="L10" s="12">
        <v>10</v>
      </c>
      <c r="M10" s="12">
        <v>11</v>
      </c>
      <c r="N10" s="12">
        <v>12</v>
      </c>
      <c r="O10" s="12">
        <v>13</v>
      </c>
      <c r="P10" s="12">
        <v>14</v>
      </c>
      <c r="Q10" s="12">
        <v>15</v>
      </c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</row>
    <row r="11" spans="1:45" x14ac:dyDescent="0.2">
      <c r="B11" s="13" t="s">
        <v>2</v>
      </c>
      <c r="C11" s="15">
        <f>EffDt</f>
        <v>37168</v>
      </c>
      <c r="D11" s="15">
        <f>EffDt</f>
        <v>37168</v>
      </c>
      <c r="E11" s="15">
        <f t="shared" ref="E11:Q11" si="0">EffDt</f>
        <v>37168</v>
      </c>
      <c r="F11" s="15">
        <f t="shared" si="0"/>
        <v>37168</v>
      </c>
      <c r="G11" s="15">
        <f t="shared" si="0"/>
        <v>37168</v>
      </c>
      <c r="H11" s="15">
        <f t="shared" si="0"/>
        <v>37168</v>
      </c>
      <c r="I11" s="15">
        <f t="shared" si="0"/>
        <v>37168</v>
      </c>
      <c r="J11" s="15">
        <f t="shared" si="0"/>
        <v>37168</v>
      </c>
      <c r="K11" s="23">
        <f t="shared" si="0"/>
        <v>37168</v>
      </c>
      <c r="L11" s="15">
        <f t="shared" si="0"/>
        <v>37168</v>
      </c>
      <c r="M11" s="15">
        <f t="shared" si="0"/>
        <v>37168</v>
      </c>
      <c r="N11" s="15">
        <f t="shared" si="0"/>
        <v>37168</v>
      </c>
      <c r="O11" s="15">
        <f t="shared" si="0"/>
        <v>37168</v>
      </c>
      <c r="P11" s="15">
        <f t="shared" si="0"/>
        <v>37168</v>
      </c>
      <c r="Q11" s="15">
        <f t="shared" si="0"/>
        <v>37168</v>
      </c>
      <c r="R11" s="15"/>
      <c r="S11" s="15"/>
      <c r="T11" s="15"/>
      <c r="U11" s="15"/>
      <c r="V11" s="15"/>
      <c r="W11" s="15"/>
      <c r="X11" s="15"/>
      <c r="Y11" s="15"/>
      <c r="Z11" s="15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</row>
    <row r="12" spans="1:45" x14ac:dyDescent="0.2">
      <c r="B12" s="13" t="s">
        <v>3</v>
      </c>
      <c r="C12" s="13">
        <v>37135</v>
      </c>
      <c r="D12" s="13">
        <f>C12</f>
        <v>37135</v>
      </c>
      <c r="E12" s="13">
        <f t="shared" ref="E12:O12" si="1">D12</f>
        <v>37135</v>
      </c>
      <c r="F12" s="13">
        <f t="shared" si="1"/>
        <v>37135</v>
      </c>
      <c r="G12" s="13">
        <f t="shared" si="1"/>
        <v>37135</v>
      </c>
      <c r="H12" s="13">
        <f t="shared" si="1"/>
        <v>37135</v>
      </c>
      <c r="I12" s="13">
        <f t="shared" si="1"/>
        <v>37135</v>
      </c>
      <c r="J12" s="13">
        <f t="shared" si="1"/>
        <v>37135</v>
      </c>
      <c r="K12" s="13">
        <f t="shared" si="1"/>
        <v>37135</v>
      </c>
      <c r="L12" s="13">
        <f t="shared" si="1"/>
        <v>37135</v>
      </c>
      <c r="M12" s="13">
        <f t="shared" si="1"/>
        <v>37135</v>
      </c>
      <c r="N12" s="13">
        <f t="shared" si="1"/>
        <v>37135</v>
      </c>
      <c r="O12" s="13">
        <f t="shared" si="1"/>
        <v>37135</v>
      </c>
      <c r="P12" s="13">
        <f>O12</f>
        <v>37135</v>
      </c>
      <c r="Q12" s="13">
        <f>P12</f>
        <v>37135</v>
      </c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</row>
    <row r="13" spans="1:45" ht="12.75" x14ac:dyDescent="0.2">
      <c r="B13" s="13" t="s">
        <v>4</v>
      </c>
      <c r="C13" s="13" t="s">
        <v>42</v>
      </c>
      <c r="D13" s="13" t="s">
        <v>48</v>
      </c>
      <c r="E13" s="13" t="s">
        <v>44</v>
      </c>
      <c r="F13" s="13" t="s">
        <v>45</v>
      </c>
      <c r="G13" s="13" t="s">
        <v>46</v>
      </c>
      <c r="H13" s="13" t="s">
        <v>55</v>
      </c>
      <c r="I13" s="13" t="s">
        <v>103</v>
      </c>
      <c r="J13" s="13" t="s">
        <v>47</v>
      </c>
      <c r="K13" s="13" t="s">
        <v>90</v>
      </c>
      <c r="L13" s="13" t="s">
        <v>56</v>
      </c>
      <c r="M13" s="13" t="s">
        <v>54</v>
      </c>
      <c r="N13" s="13" t="s">
        <v>147</v>
      </c>
      <c r="O13" s="13" t="s">
        <v>0</v>
      </c>
      <c r="P13" s="13" t="s">
        <v>105</v>
      </c>
      <c r="Q13" s="13" t="s">
        <v>107</v>
      </c>
      <c r="R13" s="18"/>
      <c r="S13" s="18"/>
      <c r="T13" s="18"/>
      <c r="U13" s="19"/>
      <c r="V13" s="19"/>
      <c r="W13" s="19"/>
      <c r="X13" s="18"/>
      <c r="Y13" s="18"/>
      <c r="Z13" s="18"/>
      <c r="AA13" s="31"/>
      <c r="AS13" s="22"/>
    </row>
    <row r="14" spans="1:45" x14ac:dyDescent="0.2">
      <c r="B14" s="13" t="s">
        <v>5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6</v>
      </c>
      <c r="K14" s="22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AS14" s="22"/>
    </row>
    <row r="15" spans="1:45" x14ac:dyDescent="0.2">
      <c r="B15" s="13" t="s">
        <v>7</v>
      </c>
      <c r="C15" s="12" t="s">
        <v>43</v>
      </c>
      <c r="D15" s="12" t="s">
        <v>9</v>
      </c>
      <c r="E15" s="12" t="s">
        <v>9</v>
      </c>
      <c r="F15" s="12" t="s">
        <v>9</v>
      </c>
      <c r="G15" s="12" t="s">
        <v>9</v>
      </c>
      <c r="H15" s="12" t="s">
        <v>9</v>
      </c>
      <c r="I15" s="12" t="s">
        <v>9</v>
      </c>
      <c r="J15" s="12" t="s">
        <v>9</v>
      </c>
      <c r="K15" s="22" t="s">
        <v>9</v>
      </c>
      <c r="L15" s="12" t="s">
        <v>9</v>
      </c>
      <c r="M15" s="12" t="s">
        <v>9</v>
      </c>
      <c r="N15" s="12" t="s">
        <v>9</v>
      </c>
      <c r="O15" s="12" t="s">
        <v>9</v>
      </c>
      <c r="P15" s="12" t="s">
        <v>9</v>
      </c>
      <c r="Q15" s="12" t="s">
        <v>9</v>
      </c>
      <c r="AS15" s="22"/>
    </row>
    <row r="16" spans="1:45" x14ac:dyDescent="0.2">
      <c r="A16" s="12">
        <v>1</v>
      </c>
      <c r="B16" s="13">
        <v>37135</v>
      </c>
      <c r="C16" s="12">
        <v>2.2949999999999999</v>
      </c>
      <c r="D16" s="12">
        <v>4.4999999999999998E-2</v>
      </c>
      <c r="E16" s="12">
        <v>0.41499999999999998</v>
      </c>
      <c r="F16" s="12">
        <v>0.14499999999999999</v>
      </c>
      <c r="G16" s="12">
        <v>0.35499999999999998</v>
      </c>
      <c r="H16" s="12">
        <v>-0.20499999999999999</v>
      </c>
      <c r="I16" s="12">
        <v>-6.5000000000000002E-2</v>
      </c>
      <c r="J16" s="12">
        <v>-0.115</v>
      </c>
      <c r="K16" s="22">
        <v>2.5000000000000001E-2</v>
      </c>
      <c r="L16" s="12">
        <v>-0.115</v>
      </c>
      <c r="M16" s="12">
        <v>-2.5895789799071998E-2</v>
      </c>
      <c r="N16" s="12">
        <v>-0.315</v>
      </c>
      <c r="O16" s="12">
        <v>-0.105</v>
      </c>
      <c r="P16" s="12">
        <v>0.255</v>
      </c>
      <c r="Q16" s="12">
        <v>3.5000000000000003E-2</v>
      </c>
    </row>
    <row r="17" spans="1:17" x14ac:dyDescent="0.2">
      <c r="A17" s="12">
        <v>2</v>
      </c>
      <c r="B17" s="13">
        <f t="shared" ref="B17:B48" si="2">EOMONTH(B16,0)+1</f>
        <v>37165</v>
      </c>
      <c r="C17" s="12">
        <v>1.83</v>
      </c>
      <c r="D17" s="12">
        <v>2.9000000000000001E-2</v>
      </c>
      <c r="E17" s="12">
        <v>-0.03</v>
      </c>
      <c r="F17" s="12">
        <v>-0.28000000000000003</v>
      </c>
      <c r="G17" s="12">
        <v>-7.0000000000000007E-2</v>
      </c>
      <c r="H17" s="12">
        <v>-0.59</v>
      </c>
      <c r="I17" s="12">
        <v>-0.11</v>
      </c>
      <c r="J17" s="12">
        <v>-0.49</v>
      </c>
      <c r="K17" s="22">
        <v>-0.12</v>
      </c>
      <c r="L17" s="12">
        <v>-0.5</v>
      </c>
      <c r="M17" s="12">
        <v>-0.38353504785291997</v>
      </c>
      <c r="N17" s="12">
        <v>-0.78</v>
      </c>
      <c r="O17" s="12">
        <v>-0.13</v>
      </c>
      <c r="P17" s="12">
        <v>-0.12</v>
      </c>
      <c r="Q17" s="12">
        <v>-0.2</v>
      </c>
    </row>
    <row r="18" spans="1:17" x14ac:dyDescent="0.2">
      <c r="A18" s="12">
        <v>3</v>
      </c>
      <c r="B18" s="13">
        <f t="shared" si="2"/>
        <v>37196</v>
      </c>
      <c r="C18" s="12">
        <v>2.4140000000000001</v>
      </c>
      <c r="D18" s="12">
        <v>0.01</v>
      </c>
      <c r="E18" s="12">
        <v>9.5000000000000001E-2</v>
      </c>
      <c r="F18" s="12">
        <v>-0.16</v>
      </c>
      <c r="G18" s="12">
        <v>-0.03</v>
      </c>
      <c r="H18" s="12">
        <v>-0.41</v>
      </c>
      <c r="I18" s="12">
        <v>-0.14000000000000001</v>
      </c>
      <c r="J18" s="12">
        <v>-0.31</v>
      </c>
      <c r="K18" s="22">
        <v>-0.15</v>
      </c>
      <c r="L18" s="12">
        <v>-0.21</v>
      </c>
      <c r="M18" s="12">
        <v>-0.46500000000000002</v>
      </c>
      <c r="N18" s="12">
        <v>-0.48</v>
      </c>
      <c r="O18" s="12">
        <v>-0.14000000000000001</v>
      </c>
      <c r="P18" s="12">
        <v>-1.4999999999999999E-2</v>
      </c>
      <c r="Q18" s="12">
        <v>-0.185</v>
      </c>
    </row>
    <row r="19" spans="1:17" x14ac:dyDescent="0.2">
      <c r="A19" s="12">
        <v>4</v>
      </c>
      <c r="B19" s="13">
        <f t="shared" si="2"/>
        <v>37226</v>
      </c>
      <c r="C19" s="12">
        <v>2.77</v>
      </c>
      <c r="D19" s="12">
        <v>5.0000000000000001E-3</v>
      </c>
      <c r="E19" s="12">
        <v>0.22</v>
      </c>
      <c r="F19" s="12">
        <v>0</v>
      </c>
      <c r="G19" s="12">
        <v>1.4999999999999999E-2</v>
      </c>
      <c r="H19" s="12">
        <v>-0.3</v>
      </c>
      <c r="I19" s="12">
        <v>-0.14000000000000001</v>
      </c>
      <c r="J19" s="12">
        <v>-0.23499999999999999</v>
      </c>
      <c r="K19" s="22">
        <v>-0.14499999999999999</v>
      </c>
      <c r="L19" s="12">
        <v>0.22</v>
      </c>
      <c r="M19" s="12">
        <v>-0.46500000000000002</v>
      </c>
      <c r="N19" s="12">
        <v>-0.37</v>
      </c>
      <c r="O19" s="12">
        <v>-0.14249999999999999</v>
      </c>
      <c r="P19" s="12">
        <v>0.02</v>
      </c>
      <c r="Q19" s="12">
        <v>-0.17499999999999999</v>
      </c>
    </row>
    <row r="20" spans="1:17" x14ac:dyDescent="0.2">
      <c r="A20" s="12">
        <v>4</v>
      </c>
      <c r="B20" s="13">
        <f t="shared" si="2"/>
        <v>37257</v>
      </c>
      <c r="C20" s="12">
        <v>2.9670000000000001</v>
      </c>
      <c r="D20" s="12">
        <v>5.0000000000000001E-3</v>
      </c>
      <c r="E20" s="12">
        <v>0.25</v>
      </c>
      <c r="F20" s="12">
        <v>0.01</v>
      </c>
      <c r="G20" s="12">
        <v>0.02</v>
      </c>
      <c r="H20" s="12">
        <v>-0.3</v>
      </c>
      <c r="I20" s="12">
        <v>-0.13500000000000001</v>
      </c>
      <c r="J20" s="12">
        <v>-0.23</v>
      </c>
      <c r="K20" s="22">
        <v>-0.13500000000000001</v>
      </c>
      <c r="L20" s="12">
        <v>0.245</v>
      </c>
      <c r="M20" s="12">
        <v>-0.44500000000000001</v>
      </c>
      <c r="N20" s="12">
        <v>-0.37</v>
      </c>
      <c r="O20" s="12">
        <v>-0.14499999999999999</v>
      </c>
      <c r="P20" s="12">
        <v>0.05</v>
      </c>
      <c r="Q20" s="12">
        <v>-0.17499999999999999</v>
      </c>
    </row>
    <row r="21" spans="1:17" x14ac:dyDescent="0.2">
      <c r="A21" s="12">
        <v>4</v>
      </c>
      <c r="B21" s="13">
        <f t="shared" si="2"/>
        <v>37288</v>
      </c>
      <c r="C21" s="12">
        <v>2.9569999999999999</v>
      </c>
      <c r="D21" s="12">
        <v>5.0000000000000001E-3</v>
      </c>
      <c r="E21" s="12">
        <v>0.21</v>
      </c>
      <c r="F21" s="12">
        <v>-0.05</v>
      </c>
      <c r="G21" s="12">
        <v>-1.4999999999999999E-2</v>
      </c>
      <c r="H21" s="12">
        <v>-0.31</v>
      </c>
      <c r="I21" s="12">
        <v>-0.12</v>
      </c>
      <c r="J21" s="12">
        <v>-0.24</v>
      </c>
      <c r="K21" s="22">
        <v>-0.125</v>
      </c>
      <c r="L21" s="12">
        <v>-0.03</v>
      </c>
      <c r="M21" s="12">
        <v>-0.44500000000000001</v>
      </c>
      <c r="N21" s="12">
        <v>-0.38</v>
      </c>
      <c r="O21" s="12">
        <v>-0.13750000000000001</v>
      </c>
      <c r="P21" s="12">
        <v>9.9999990000000007E-3</v>
      </c>
      <c r="Q21" s="12">
        <v>-0.16500000000000001</v>
      </c>
    </row>
    <row r="22" spans="1:17" x14ac:dyDescent="0.2">
      <c r="A22" s="12">
        <v>4</v>
      </c>
      <c r="B22" s="13">
        <f t="shared" si="2"/>
        <v>37316</v>
      </c>
      <c r="C22" s="12">
        <v>2.9020000000000001</v>
      </c>
      <c r="D22" s="12">
        <v>5.0000000000000001E-3</v>
      </c>
      <c r="E22" s="12">
        <v>7.4999999999999997E-2</v>
      </c>
      <c r="F22" s="12">
        <v>-0.11</v>
      </c>
      <c r="G22" s="12">
        <v>-4.4999999999999998E-2</v>
      </c>
      <c r="H22" s="12">
        <v>-0.375</v>
      </c>
      <c r="I22" s="12">
        <v>-0.11</v>
      </c>
      <c r="J22" s="12">
        <v>-0.28000000000000003</v>
      </c>
      <c r="K22" s="22">
        <v>-0.12</v>
      </c>
      <c r="L22" s="12">
        <v>-0.35</v>
      </c>
      <c r="M22" s="12">
        <v>-0.44500000000000001</v>
      </c>
      <c r="N22" s="12">
        <v>-0.44500000000000001</v>
      </c>
      <c r="O22" s="12">
        <v>-0.13500000000000001</v>
      </c>
      <c r="P22" s="12">
        <v>-0.125</v>
      </c>
      <c r="Q22" s="12">
        <v>-0.15</v>
      </c>
    </row>
    <row r="23" spans="1:17" x14ac:dyDescent="0.2">
      <c r="A23" s="12">
        <v>4</v>
      </c>
      <c r="B23" s="13">
        <f t="shared" si="2"/>
        <v>37347</v>
      </c>
      <c r="C23" s="12">
        <v>2.8050000000000002</v>
      </c>
      <c r="D23" s="12">
        <v>2.5000000000000001E-3</v>
      </c>
      <c r="E23" s="12">
        <v>0.04</v>
      </c>
      <c r="F23" s="12">
        <v>-0.14499999999999999</v>
      </c>
      <c r="G23" s="12">
        <v>-0.04</v>
      </c>
      <c r="H23" s="12">
        <v>-0.56000000000000005</v>
      </c>
      <c r="I23" s="12">
        <v>-0.115</v>
      </c>
      <c r="J23" s="12">
        <v>-0.38500000000000001</v>
      </c>
      <c r="K23" s="22">
        <v>-0.115</v>
      </c>
      <c r="L23" s="12">
        <v>-0.315</v>
      </c>
      <c r="M23" s="12">
        <v>-0.46300000000000002</v>
      </c>
      <c r="N23" s="12">
        <v>-0.68500000000000005</v>
      </c>
      <c r="O23" s="12">
        <v>-0.14000000000000001</v>
      </c>
      <c r="P23" s="12">
        <v>-0.21</v>
      </c>
      <c r="Q23" s="12">
        <v>-0.14499999999999999</v>
      </c>
    </row>
    <row r="24" spans="1:17" x14ac:dyDescent="0.2">
      <c r="A24" s="12">
        <v>5</v>
      </c>
      <c r="B24" s="13">
        <f t="shared" si="2"/>
        <v>37377</v>
      </c>
      <c r="C24" s="12">
        <v>2.83</v>
      </c>
      <c r="D24" s="12">
        <v>2.5000000000000001E-3</v>
      </c>
      <c r="E24" s="12">
        <v>0.125</v>
      </c>
      <c r="F24" s="12">
        <v>-0.14499999999999999</v>
      </c>
      <c r="G24" s="12">
        <v>0.02</v>
      </c>
      <c r="H24" s="12">
        <v>-0.56000000000000005</v>
      </c>
      <c r="I24" s="12">
        <v>-0.115</v>
      </c>
      <c r="J24" s="12">
        <v>-0.38500000000000001</v>
      </c>
      <c r="K24" s="22">
        <v>-0.105</v>
      </c>
      <c r="L24" s="12">
        <v>-0.315</v>
      </c>
      <c r="M24" s="12">
        <v>-0.46300000000000002</v>
      </c>
      <c r="N24" s="12">
        <v>-0.68500000000000005</v>
      </c>
      <c r="O24" s="12">
        <v>-0.14000000000000001</v>
      </c>
      <c r="P24" s="12">
        <v>-0.125</v>
      </c>
      <c r="Q24" s="12">
        <v>-0.14000000000000001</v>
      </c>
    </row>
    <row r="25" spans="1:17" x14ac:dyDescent="0.2">
      <c r="A25" s="12">
        <v>5</v>
      </c>
      <c r="B25" s="13">
        <f t="shared" si="2"/>
        <v>37408</v>
      </c>
      <c r="C25" s="12">
        <v>2.875</v>
      </c>
      <c r="D25" s="12">
        <v>2.5000000000000001E-3</v>
      </c>
      <c r="E25" s="12">
        <v>0.125</v>
      </c>
      <c r="F25" s="12">
        <v>-0.14499999999999999</v>
      </c>
      <c r="G25" s="12">
        <v>7.0000000000000007E-2</v>
      </c>
      <c r="H25" s="12">
        <v>-0.56000000000000005</v>
      </c>
      <c r="I25" s="12">
        <v>-0.115</v>
      </c>
      <c r="J25" s="12">
        <v>-0.38500000000000001</v>
      </c>
      <c r="K25" s="22">
        <v>-8.7499999999999994E-2</v>
      </c>
      <c r="L25" s="12">
        <v>-0.315</v>
      </c>
      <c r="M25" s="12">
        <v>-0.46300000000000002</v>
      </c>
      <c r="N25" s="12">
        <v>-0.68500000000000005</v>
      </c>
      <c r="O25" s="12">
        <v>-0.14000000000000001</v>
      </c>
      <c r="P25" s="12">
        <v>-0.125</v>
      </c>
      <c r="Q25" s="12">
        <v>-0.13</v>
      </c>
    </row>
    <row r="26" spans="1:17" x14ac:dyDescent="0.2">
      <c r="A26" s="12">
        <v>5</v>
      </c>
      <c r="B26" s="13">
        <f t="shared" si="2"/>
        <v>37438</v>
      </c>
      <c r="C26" s="16">
        <v>2.9169999999999998</v>
      </c>
      <c r="D26" s="12">
        <v>2.5000000000000001E-3</v>
      </c>
      <c r="E26" s="12">
        <v>0.23</v>
      </c>
      <c r="F26" s="12">
        <v>-0.05</v>
      </c>
      <c r="G26" s="12">
        <v>0.14499999999999999</v>
      </c>
      <c r="H26" s="12">
        <v>-0.56000000000000005</v>
      </c>
      <c r="I26" s="12">
        <v>-0.115</v>
      </c>
      <c r="J26" s="12">
        <v>-0.34499999999999997</v>
      </c>
      <c r="K26" s="22">
        <v>-7.7499999999999999E-2</v>
      </c>
      <c r="L26" s="12">
        <v>-0.315</v>
      </c>
      <c r="M26" s="12">
        <v>-0.46300000000000002</v>
      </c>
      <c r="N26" s="12">
        <v>-0.68500000000000005</v>
      </c>
      <c r="O26" s="12">
        <v>-0.14000000000000001</v>
      </c>
      <c r="P26" s="12">
        <v>-0.02</v>
      </c>
      <c r="Q26" s="12">
        <v>-0.1075</v>
      </c>
    </row>
    <row r="27" spans="1:17" x14ac:dyDescent="0.2">
      <c r="A27" s="12">
        <v>5</v>
      </c>
      <c r="B27" s="13">
        <f t="shared" si="2"/>
        <v>37469</v>
      </c>
      <c r="C27" s="12">
        <v>2.952</v>
      </c>
      <c r="D27" s="12">
        <v>2.5000000000000001E-3</v>
      </c>
      <c r="E27" s="12">
        <v>0.24</v>
      </c>
      <c r="F27" s="12">
        <v>-0.05</v>
      </c>
      <c r="G27" s="12">
        <v>0.14499999999999999</v>
      </c>
      <c r="H27" s="12">
        <v>-0.56000000000000005</v>
      </c>
      <c r="I27" s="12">
        <v>-0.115</v>
      </c>
      <c r="J27" s="12">
        <v>-0.34499999999999997</v>
      </c>
      <c r="K27" s="22">
        <v>-6.7500000000000004E-2</v>
      </c>
      <c r="L27" s="12">
        <v>-0.315</v>
      </c>
      <c r="M27" s="12">
        <v>-0.46300000000000002</v>
      </c>
      <c r="N27" s="12">
        <v>-0.68500000000000005</v>
      </c>
      <c r="O27" s="12">
        <v>-0.14000000000000001</v>
      </c>
      <c r="P27" s="12">
        <v>-0.01</v>
      </c>
      <c r="Q27" s="12">
        <v>-0.1</v>
      </c>
    </row>
    <row r="28" spans="1:17" x14ac:dyDescent="0.2">
      <c r="A28" s="12">
        <v>5</v>
      </c>
      <c r="B28" s="13">
        <f t="shared" si="2"/>
        <v>37500</v>
      </c>
      <c r="C28" s="12">
        <v>2.95</v>
      </c>
      <c r="D28" s="12">
        <v>2.5000000000000001E-3</v>
      </c>
      <c r="E28" s="12">
        <v>0.20499999999999999</v>
      </c>
      <c r="F28" s="12">
        <v>-0.05</v>
      </c>
      <c r="G28" s="12">
        <v>0.14499999999999999</v>
      </c>
      <c r="H28" s="12">
        <v>-0.56000000000000005</v>
      </c>
      <c r="I28" s="12">
        <v>-0.115</v>
      </c>
      <c r="J28" s="12">
        <v>-0.34499999999999997</v>
      </c>
      <c r="K28" s="22">
        <v>-0.08</v>
      </c>
      <c r="L28" s="12">
        <v>-0.315</v>
      </c>
      <c r="M28" s="12">
        <v>-0.46300000000000002</v>
      </c>
      <c r="N28" s="12">
        <v>-0.68500000000000005</v>
      </c>
      <c r="O28" s="12">
        <v>-0.14000000000000001</v>
      </c>
      <c r="P28" s="12">
        <v>-4.4999999999999998E-2</v>
      </c>
      <c r="Q28" s="12">
        <v>-0.1125</v>
      </c>
    </row>
    <row r="29" spans="1:17" x14ac:dyDescent="0.2">
      <c r="A29" s="12">
        <v>5</v>
      </c>
      <c r="B29" s="13">
        <f t="shared" si="2"/>
        <v>37530</v>
      </c>
      <c r="C29" s="12">
        <v>2.9750000000000001</v>
      </c>
      <c r="D29" s="12">
        <v>2.5000000000000001E-3</v>
      </c>
      <c r="E29" s="12">
        <v>0.16500000000000001</v>
      </c>
      <c r="F29" s="12">
        <v>-7.0000000000000007E-2</v>
      </c>
      <c r="G29" s="12">
        <v>1.4999999999999999E-2</v>
      </c>
      <c r="H29" s="12">
        <v>-0.56000000000000005</v>
      </c>
      <c r="I29" s="12">
        <v>-0.115</v>
      </c>
      <c r="J29" s="12">
        <v>-0.37</v>
      </c>
      <c r="K29" s="22">
        <v>-0.12</v>
      </c>
      <c r="L29" s="12">
        <v>-0.315</v>
      </c>
      <c r="M29" s="12">
        <v>-0.46300000000000002</v>
      </c>
      <c r="N29" s="12">
        <v>-0.68500000000000005</v>
      </c>
      <c r="O29" s="12">
        <v>-0.14000000000000001</v>
      </c>
      <c r="P29" s="12">
        <v>-8.5000000000000006E-2</v>
      </c>
      <c r="Q29" s="12">
        <v>-0.155</v>
      </c>
    </row>
    <row r="30" spans="1:17" x14ac:dyDescent="0.2">
      <c r="A30" s="12">
        <v>5</v>
      </c>
      <c r="B30" s="13">
        <f t="shared" si="2"/>
        <v>37561</v>
      </c>
      <c r="C30" s="12">
        <v>3.165</v>
      </c>
      <c r="D30" s="12">
        <v>2.5000000000000001E-3</v>
      </c>
      <c r="E30" s="12">
        <v>0.39</v>
      </c>
      <c r="F30" s="12">
        <v>0.1</v>
      </c>
      <c r="G30" s="12">
        <v>0.105</v>
      </c>
      <c r="H30" s="12">
        <v>-0.27</v>
      </c>
      <c r="I30" s="12">
        <v>-0.11</v>
      </c>
      <c r="J30" s="12">
        <v>-0.2</v>
      </c>
      <c r="K30" s="22">
        <v>-0.1125</v>
      </c>
      <c r="L30" s="12">
        <v>-5.5E-2</v>
      </c>
      <c r="M30" s="12">
        <v>-0.42</v>
      </c>
      <c r="N30" s="12">
        <v>-0.35</v>
      </c>
      <c r="O30" s="12">
        <v>-0.14000000000000001</v>
      </c>
      <c r="P30" s="12">
        <v>0.19</v>
      </c>
      <c r="Q30" s="12">
        <v>-0.1275</v>
      </c>
    </row>
    <row r="31" spans="1:17" x14ac:dyDescent="0.2">
      <c r="B31" s="13">
        <f t="shared" si="2"/>
        <v>37591</v>
      </c>
      <c r="C31" s="12">
        <v>3.375</v>
      </c>
      <c r="D31" s="12">
        <v>2.5000000000000001E-3</v>
      </c>
      <c r="E31" s="12">
        <v>0.39</v>
      </c>
      <c r="F31" s="12">
        <v>0.1</v>
      </c>
      <c r="G31" s="12">
        <v>0.105</v>
      </c>
      <c r="H31" s="12">
        <v>-0.27</v>
      </c>
      <c r="I31" s="12">
        <v>-0.11</v>
      </c>
      <c r="J31" s="12">
        <v>-0.2</v>
      </c>
      <c r="K31" s="22">
        <v>-0.1125</v>
      </c>
      <c r="L31" s="12">
        <v>0.375</v>
      </c>
      <c r="M31" s="12">
        <v>-0.42</v>
      </c>
      <c r="N31" s="12">
        <v>-0.35</v>
      </c>
      <c r="O31" s="12">
        <v>-0.14249999999999999</v>
      </c>
      <c r="P31" s="12">
        <v>0.19</v>
      </c>
      <c r="Q31" s="12">
        <v>-0.1275</v>
      </c>
    </row>
    <row r="32" spans="1:17" x14ac:dyDescent="0.2">
      <c r="B32" s="13">
        <f t="shared" si="2"/>
        <v>37622</v>
      </c>
      <c r="C32" s="12">
        <v>3.4950000000000001</v>
      </c>
      <c r="D32" s="12">
        <v>2.5000000000000001E-3</v>
      </c>
      <c r="E32" s="12">
        <v>0.36499999999999999</v>
      </c>
      <c r="F32" s="12">
        <v>0.1</v>
      </c>
      <c r="G32" s="12">
        <v>0.08</v>
      </c>
      <c r="H32" s="12">
        <v>-0.27</v>
      </c>
      <c r="I32" s="12">
        <v>-0.11</v>
      </c>
      <c r="J32" s="12">
        <v>-0.2</v>
      </c>
      <c r="K32" s="22">
        <v>-0.1125</v>
      </c>
      <c r="L32" s="12">
        <v>0.4</v>
      </c>
      <c r="M32" s="12">
        <v>-0.42</v>
      </c>
      <c r="N32" s="12">
        <v>-0.35</v>
      </c>
      <c r="O32" s="12">
        <v>-0.14499999999999999</v>
      </c>
      <c r="P32" s="12">
        <v>0.16500000000000001</v>
      </c>
      <c r="Q32" s="12">
        <v>-0.1275</v>
      </c>
    </row>
    <row r="33" spans="2:17" x14ac:dyDescent="0.2">
      <c r="B33" s="13">
        <f t="shared" si="2"/>
        <v>37653</v>
      </c>
      <c r="C33" s="12">
        <v>3.4049999999999998</v>
      </c>
      <c r="D33" s="12">
        <v>2.5000000000000001E-3</v>
      </c>
      <c r="E33" s="12">
        <v>0.36499999999999999</v>
      </c>
      <c r="F33" s="12">
        <v>0.1</v>
      </c>
      <c r="G33" s="12">
        <v>0.08</v>
      </c>
      <c r="H33" s="12">
        <v>-0.27</v>
      </c>
      <c r="I33" s="12">
        <v>-0.11</v>
      </c>
      <c r="J33" s="12">
        <v>-0.2</v>
      </c>
      <c r="K33" s="22">
        <v>-0.1125</v>
      </c>
      <c r="L33" s="12">
        <v>0.125</v>
      </c>
      <c r="M33" s="12">
        <v>-0.42</v>
      </c>
      <c r="N33" s="12">
        <v>-0.35</v>
      </c>
      <c r="O33" s="12">
        <v>-0.13750000000000001</v>
      </c>
      <c r="P33" s="12">
        <v>0.16500000000000001</v>
      </c>
      <c r="Q33" s="12">
        <v>-0.1275</v>
      </c>
    </row>
    <row r="34" spans="2:17" x14ac:dyDescent="0.2">
      <c r="B34" s="13">
        <f t="shared" si="2"/>
        <v>37681</v>
      </c>
      <c r="C34" s="12">
        <v>3.2949999999999999</v>
      </c>
      <c r="D34" s="12">
        <v>2.5000000000000001E-3</v>
      </c>
      <c r="E34" s="12">
        <v>0.36499999999999999</v>
      </c>
      <c r="F34" s="12">
        <v>0.1</v>
      </c>
      <c r="G34" s="12">
        <v>0.08</v>
      </c>
      <c r="H34" s="12">
        <v>-0.27</v>
      </c>
      <c r="I34" s="12">
        <v>-0.11</v>
      </c>
      <c r="J34" s="12">
        <v>-0.2</v>
      </c>
      <c r="K34" s="22">
        <v>-0.1125</v>
      </c>
      <c r="L34" s="12">
        <v>-0.19500000000000001</v>
      </c>
      <c r="M34" s="12">
        <v>-0.42</v>
      </c>
      <c r="N34" s="12">
        <v>-0.35</v>
      </c>
      <c r="O34" s="12">
        <v>-0.13500000000000001</v>
      </c>
      <c r="P34" s="12">
        <v>0.16500000000000001</v>
      </c>
      <c r="Q34" s="12">
        <v>-0.1275</v>
      </c>
    </row>
    <row r="35" spans="2:17" x14ac:dyDescent="0.2">
      <c r="B35" s="13">
        <f t="shared" si="2"/>
        <v>37712</v>
      </c>
      <c r="C35" s="12">
        <v>3.1549999999999998</v>
      </c>
      <c r="D35" s="12">
        <v>2.5000000000000001E-3</v>
      </c>
      <c r="E35" s="12">
        <v>0.46</v>
      </c>
      <c r="F35" s="12">
        <v>6.5000000000000002E-2</v>
      </c>
      <c r="G35" s="12">
        <v>0.21</v>
      </c>
      <c r="H35" s="12">
        <v>-0.45</v>
      </c>
      <c r="I35" s="12">
        <v>-0.105</v>
      </c>
      <c r="J35" s="12">
        <v>-0.31</v>
      </c>
      <c r="K35" s="22">
        <v>-8.5000000000000006E-2</v>
      </c>
      <c r="L35" s="12">
        <v>-0.28000000000000003</v>
      </c>
      <c r="M35" s="12">
        <v>-0.46500000000000002</v>
      </c>
      <c r="N35" s="12">
        <v>-0.53</v>
      </c>
      <c r="O35" s="12">
        <v>-0.14000000000000001</v>
      </c>
      <c r="P35" s="12">
        <v>0.26</v>
      </c>
      <c r="Q35" s="12">
        <v>-0.105</v>
      </c>
    </row>
    <row r="36" spans="2:17" x14ac:dyDescent="0.2">
      <c r="B36" s="13">
        <f t="shared" si="2"/>
        <v>37742</v>
      </c>
      <c r="C36" s="12">
        <v>3.1680000000000001</v>
      </c>
      <c r="D36" s="12">
        <v>2.5000000000000001E-3</v>
      </c>
      <c r="E36" s="12">
        <v>0.46</v>
      </c>
      <c r="F36" s="12">
        <v>6.5000000000000002E-2</v>
      </c>
      <c r="G36" s="12">
        <v>0.21</v>
      </c>
      <c r="H36" s="12">
        <v>-0.45</v>
      </c>
      <c r="I36" s="12">
        <v>-0.105</v>
      </c>
      <c r="J36" s="12">
        <v>-0.31</v>
      </c>
      <c r="K36" s="22">
        <v>-8.5000000000000006E-2</v>
      </c>
      <c r="L36" s="12">
        <v>-0.28000000000000003</v>
      </c>
      <c r="M36" s="12">
        <v>-0.46500000000000002</v>
      </c>
      <c r="N36" s="12">
        <v>-0.53</v>
      </c>
      <c r="O36" s="12">
        <v>-0.14000000000000001</v>
      </c>
      <c r="P36" s="12">
        <v>0.26</v>
      </c>
      <c r="Q36" s="12">
        <v>-0.105</v>
      </c>
    </row>
    <row r="37" spans="2:17" x14ac:dyDescent="0.2">
      <c r="B37" s="13">
        <f t="shared" si="2"/>
        <v>37773</v>
      </c>
      <c r="C37" s="12">
        <v>3.2</v>
      </c>
      <c r="D37" s="12">
        <v>2.5000000000000001E-3</v>
      </c>
      <c r="E37" s="12">
        <v>0.46</v>
      </c>
      <c r="F37" s="12">
        <v>6.5000000000000002E-2</v>
      </c>
      <c r="G37" s="12">
        <v>0.21</v>
      </c>
      <c r="H37" s="12">
        <v>-0.45</v>
      </c>
      <c r="I37" s="12">
        <v>-0.105</v>
      </c>
      <c r="J37" s="12">
        <v>-0.31</v>
      </c>
      <c r="K37" s="22">
        <v>-8.5000000000000006E-2</v>
      </c>
      <c r="L37" s="12">
        <v>-0.28000000000000003</v>
      </c>
      <c r="M37" s="12">
        <v>-0.46500000000000002</v>
      </c>
      <c r="N37" s="12">
        <v>-0.53</v>
      </c>
      <c r="O37" s="12">
        <v>-0.14000000000000001</v>
      </c>
      <c r="P37" s="12">
        <v>0.26</v>
      </c>
      <c r="Q37" s="12">
        <v>-0.105</v>
      </c>
    </row>
    <row r="38" spans="2:17" x14ac:dyDescent="0.2">
      <c r="B38" s="13">
        <f t="shared" si="2"/>
        <v>37803</v>
      </c>
      <c r="C38" s="12">
        <v>3.2250000000000001</v>
      </c>
      <c r="D38" s="12">
        <v>2.5000000000000001E-3</v>
      </c>
      <c r="E38" s="12">
        <v>0.46</v>
      </c>
      <c r="F38" s="12">
        <v>6.5000000000000002E-2</v>
      </c>
      <c r="G38" s="12">
        <v>0.21</v>
      </c>
      <c r="H38" s="12">
        <v>-0.45</v>
      </c>
      <c r="I38" s="12">
        <v>-0.105</v>
      </c>
      <c r="J38" s="12">
        <v>-0.31</v>
      </c>
      <c r="K38" s="22">
        <v>-8.5000000000000006E-2</v>
      </c>
      <c r="L38" s="12">
        <v>-0.28000000000000003</v>
      </c>
      <c r="M38" s="12">
        <v>-0.46500000000000002</v>
      </c>
      <c r="N38" s="12">
        <v>-0.53</v>
      </c>
      <c r="O38" s="12">
        <v>-0.14000000000000001</v>
      </c>
      <c r="P38" s="12">
        <v>0.26</v>
      </c>
      <c r="Q38" s="12">
        <v>-0.105</v>
      </c>
    </row>
    <row r="39" spans="2:17" x14ac:dyDescent="0.2">
      <c r="B39" s="13">
        <f t="shared" si="2"/>
        <v>37834</v>
      </c>
      <c r="C39" s="12">
        <v>3.2469999999999999</v>
      </c>
      <c r="D39" s="12">
        <v>2.5000000000000001E-3</v>
      </c>
      <c r="E39" s="12">
        <v>0.46</v>
      </c>
      <c r="F39" s="12">
        <v>6.5000000000000002E-2</v>
      </c>
      <c r="G39" s="12">
        <v>0.21</v>
      </c>
      <c r="H39" s="12">
        <v>-0.45</v>
      </c>
      <c r="I39" s="12">
        <v>-0.105</v>
      </c>
      <c r="J39" s="12">
        <v>-0.31</v>
      </c>
      <c r="K39" s="22">
        <v>-8.5000000000000006E-2</v>
      </c>
      <c r="L39" s="12">
        <v>-0.28000000000000003</v>
      </c>
      <c r="M39" s="12">
        <v>-0.46500000000000002</v>
      </c>
      <c r="N39" s="12">
        <v>-0.53</v>
      </c>
      <c r="O39" s="12">
        <v>-0.14000000000000001</v>
      </c>
      <c r="P39" s="12">
        <v>0.26</v>
      </c>
      <c r="Q39" s="12">
        <v>-0.105</v>
      </c>
    </row>
    <row r="40" spans="2:17" x14ac:dyDescent="0.2">
      <c r="B40" s="13">
        <f t="shared" si="2"/>
        <v>37865</v>
      </c>
      <c r="C40" s="12">
        <v>3.2530000000000001</v>
      </c>
      <c r="D40" s="12">
        <v>2.5000000000000001E-3</v>
      </c>
      <c r="E40" s="12">
        <v>0.46</v>
      </c>
      <c r="F40" s="12">
        <v>6.5000000000000002E-2</v>
      </c>
      <c r="G40" s="12">
        <v>0.21</v>
      </c>
      <c r="H40" s="12">
        <v>-0.45</v>
      </c>
      <c r="I40" s="12">
        <v>-0.105</v>
      </c>
      <c r="J40" s="12">
        <v>-0.31</v>
      </c>
      <c r="K40" s="22">
        <v>-8.5000000000000006E-2</v>
      </c>
      <c r="L40" s="12">
        <v>-0.28000000000000003</v>
      </c>
      <c r="M40" s="12">
        <v>-0.46500000000000002</v>
      </c>
      <c r="N40" s="12">
        <v>-0.53</v>
      </c>
      <c r="O40" s="12">
        <v>-0.14000000000000001</v>
      </c>
      <c r="P40" s="12">
        <v>0.26</v>
      </c>
      <c r="Q40" s="12">
        <v>-0.105</v>
      </c>
    </row>
    <row r="41" spans="2:17" x14ac:dyDescent="0.2">
      <c r="B41" s="13">
        <f t="shared" si="2"/>
        <v>37895</v>
      </c>
      <c r="C41" s="12">
        <v>3.2679999999999998</v>
      </c>
      <c r="D41" s="12">
        <v>2.5000000000000001E-3</v>
      </c>
      <c r="E41" s="12">
        <v>0.46</v>
      </c>
      <c r="F41" s="12">
        <v>6.5000000000000002E-2</v>
      </c>
      <c r="G41" s="12">
        <v>0.21</v>
      </c>
      <c r="H41" s="12">
        <v>-0.45</v>
      </c>
      <c r="I41" s="12">
        <v>-0.105</v>
      </c>
      <c r="J41" s="12">
        <v>-0.31</v>
      </c>
      <c r="K41" s="22">
        <v>-8.5000000000000006E-2</v>
      </c>
      <c r="L41" s="12">
        <v>-0.28000000000000003</v>
      </c>
      <c r="M41" s="12">
        <v>-0.46500000000000002</v>
      </c>
      <c r="N41" s="12">
        <v>-0.53</v>
      </c>
      <c r="O41" s="12">
        <v>-0.14000000000000001</v>
      </c>
      <c r="P41" s="12">
        <v>0.26</v>
      </c>
      <c r="Q41" s="12">
        <v>-0.105</v>
      </c>
    </row>
    <row r="42" spans="2:17" x14ac:dyDescent="0.2">
      <c r="B42" s="13">
        <f t="shared" si="2"/>
        <v>37926</v>
      </c>
      <c r="C42" s="12">
        <v>3.4470000000000001</v>
      </c>
      <c r="D42" s="12">
        <v>2.5000000000000001E-3</v>
      </c>
      <c r="E42" s="12">
        <v>0.46</v>
      </c>
      <c r="F42" s="12">
        <v>0.14000000000000001</v>
      </c>
      <c r="G42" s="12">
        <v>0.21</v>
      </c>
      <c r="H42" s="12">
        <v>-0.26</v>
      </c>
      <c r="I42" s="12">
        <v>-0.105</v>
      </c>
      <c r="J42" s="12">
        <v>-0.17</v>
      </c>
      <c r="K42" s="22">
        <v>-8.5000000000000006E-2</v>
      </c>
      <c r="L42" s="12">
        <v>0.18</v>
      </c>
      <c r="M42" s="12">
        <v>-0.41499999999999998</v>
      </c>
      <c r="N42" s="12">
        <v>-0.34</v>
      </c>
      <c r="O42" s="12">
        <v>-0.14000000000000001</v>
      </c>
      <c r="P42" s="12">
        <v>0.26</v>
      </c>
      <c r="Q42" s="12">
        <v>-0.105</v>
      </c>
    </row>
    <row r="43" spans="2:17" x14ac:dyDescent="0.2">
      <c r="B43" s="13">
        <f t="shared" si="2"/>
        <v>37956</v>
      </c>
      <c r="C43" s="12">
        <v>3.6179999999999999</v>
      </c>
      <c r="D43" s="12">
        <v>2.5000000000000001E-3</v>
      </c>
      <c r="E43" s="12">
        <v>0.46</v>
      </c>
      <c r="F43" s="12">
        <v>0.14000000000000001</v>
      </c>
      <c r="G43" s="12">
        <v>0.21</v>
      </c>
      <c r="H43" s="12">
        <v>-0.26</v>
      </c>
      <c r="I43" s="12">
        <v>-0.105</v>
      </c>
      <c r="J43" s="12">
        <v>-0.17</v>
      </c>
      <c r="K43" s="22">
        <v>-8.5000000000000006E-2</v>
      </c>
      <c r="L43" s="12">
        <v>0.28000000000000003</v>
      </c>
      <c r="M43" s="12">
        <v>-0.41499999999999998</v>
      </c>
      <c r="N43" s="12">
        <v>-0.34</v>
      </c>
      <c r="O43" s="12">
        <v>-0.14249999999999999</v>
      </c>
      <c r="P43" s="12">
        <v>0.26</v>
      </c>
      <c r="Q43" s="12">
        <v>-0.105</v>
      </c>
    </row>
    <row r="44" spans="2:17" x14ac:dyDescent="0.2">
      <c r="B44" s="13">
        <f t="shared" si="2"/>
        <v>37987</v>
      </c>
      <c r="C44" s="12">
        <v>3.677</v>
      </c>
      <c r="D44" s="12">
        <v>2.5000000000000001E-3</v>
      </c>
      <c r="E44" s="12">
        <v>0.46</v>
      </c>
      <c r="F44" s="12">
        <v>0.14000000000000001</v>
      </c>
      <c r="G44" s="12">
        <v>0.21</v>
      </c>
      <c r="H44" s="12">
        <v>-0.26</v>
      </c>
      <c r="I44" s="12">
        <v>-0.09</v>
      </c>
      <c r="J44" s="12">
        <v>-0.17</v>
      </c>
      <c r="K44" s="22">
        <v>-8.5000000000000006E-2</v>
      </c>
      <c r="L44" s="12">
        <v>0.45</v>
      </c>
      <c r="M44" s="12">
        <v>-0.41499999999999998</v>
      </c>
      <c r="N44" s="12">
        <v>-0.34</v>
      </c>
      <c r="O44" s="12">
        <v>-0.14499999999999999</v>
      </c>
      <c r="P44" s="12">
        <v>0.26</v>
      </c>
      <c r="Q44" s="12">
        <v>-9.5000000000000001E-2</v>
      </c>
    </row>
    <row r="45" spans="2:17" x14ac:dyDescent="0.2">
      <c r="B45" s="13">
        <f t="shared" si="2"/>
        <v>38018</v>
      </c>
      <c r="C45" s="12">
        <v>3.5590000000000002</v>
      </c>
      <c r="D45" s="12">
        <v>2.5000000000000001E-3</v>
      </c>
      <c r="E45" s="12">
        <v>0.46</v>
      </c>
      <c r="F45" s="12">
        <v>0.14000000000000001</v>
      </c>
      <c r="G45" s="12">
        <v>0.21</v>
      </c>
      <c r="H45" s="12">
        <v>-0.26</v>
      </c>
      <c r="I45" s="12">
        <v>-0.09</v>
      </c>
      <c r="J45" s="12">
        <v>-0.17</v>
      </c>
      <c r="K45" s="22">
        <v>-8.5000000000000006E-2</v>
      </c>
      <c r="L45" s="12">
        <v>0.19</v>
      </c>
      <c r="M45" s="12">
        <v>-0.41499999999999998</v>
      </c>
      <c r="N45" s="12">
        <v>-0.34</v>
      </c>
      <c r="O45" s="12">
        <v>-0.13750000000000001</v>
      </c>
      <c r="P45" s="12">
        <v>0.26</v>
      </c>
      <c r="Q45" s="12">
        <v>-9.5000000000000001E-2</v>
      </c>
    </row>
    <row r="46" spans="2:17" x14ac:dyDescent="0.2">
      <c r="B46" s="13">
        <f t="shared" si="2"/>
        <v>38047</v>
      </c>
      <c r="C46" s="12">
        <v>3.4169999999999998</v>
      </c>
      <c r="D46" s="12">
        <v>2.5000000000000001E-3</v>
      </c>
      <c r="E46" s="12">
        <v>0.46</v>
      </c>
      <c r="F46" s="12">
        <v>0.14000000000000001</v>
      </c>
      <c r="G46" s="12">
        <v>0.21</v>
      </c>
      <c r="H46" s="12">
        <v>-0.26</v>
      </c>
      <c r="I46" s="12">
        <v>-0.09</v>
      </c>
      <c r="J46" s="12">
        <v>-0.17</v>
      </c>
      <c r="K46" s="22">
        <v>-8.5000000000000006E-2</v>
      </c>
      <c r="L46" s="12">
        <v>0.15</v>
      </c>
      <c r="M46" s="12">
        <v>-0.41499999999999998</v>
      </c>
      <c r="N46" s="12">
        <v>-0.34</v>
      </c>
      <c r="O46" s="12">
        <v>-0.13500000000000001</v>
      </c>
      <c r="P46" s="12">
        <v>0.26</v>
      </c>
      <c r="Q46" s="12">
        <v>-9.5000000000000001E-2</v>
      </c>
    </row>
    <row r="47" spans="2:17" x14ac:dyDescent="0.2">
      <c r="B47" s="13">
        <f t="shared" si="2"/>
        <v>38078</v>
      </c>
      <c r="C47" s="12">
        <v>3.2469999999999999</v>
      </c>
      <c r="D47" s="12">
        <v>2.5000000000000001E-3</v>
      </c>
      <c r="E47" s="12">
        <v>0.5</v>
      </c>
      <c r="F47" s="12">
        <v>0.03</v>
      </c>
      <c r="G47" s="12">
        <v>0.25</v>
      </c>
      <c r="H47" s="12">
        <v>-0.37</v>
      </c>
      <c r="I47" s="12">
        <v>-0.09</v>
      </c>
      <c r="J47" s="12">
        <v>-0.26</v>
      </c>
      <c r="K47" s="22">
        <v>-8.5000000000000006E-2</v>
      </c>
      <c r="L47" s="12">
        <v>-0.3</v>
      </c>
      <c r="M47" s="12">
        <v>-0.46</v>
      </c>
      <c r="N47" s="12">
        <v>-0.46</v>
      </c>
      <c r="O47" s="12">
        <v>-0.14000000000000001</v>
      </c>
      <c r="P47" s="12">
        <v>0.3</v>
      </c>
      <c r="Q47" s="12">
        <v>-9.5000000000000001E-2</v>
      </c>
    </row>
    <row r="48" spans="2:17" x14ac:dyDescent="0.2">
      <c r="B48" s="13">
        <f t="shared" si="2"/>
        <v>38108</v>
      </c>
      <c r="C48" s="12">
        <v>3.242</v>
      </c>
      <c r="D48" s="12">
        <v>2.5000000000000001E-3</v>
      </c>
      <c r="E48" s="12">
        <v>0.5</v>
      </c>
      <c r="F48" s="12">
        <v>0.03</v>
      </c>
      <c r="G48" s="12">
        <v>0.25</v>
      </c>
      <c r="H48" s="12">
        <v>-0.37</v>
      </c>
      <c r="I48" s="12">
        <v>-0.09</v>
      </c>
      <c r="J48" s="12">
        <v>-0.26</v>
      </c>
      <c r="K48" s="22">
        <v>-8.5000000000000006E-2</v>
      </c>
      <c r="L48" s="12">
        <v>-0.3</v>
      </c>
      <c r="M48" s="12">
        <v>-0.46</v>
      </c>
      <c r="N48" s="12">
        <v>-0.46</v>
      </c>
      <c r="O48" s="12">
        <v>-0.14000000000000001</v>
      </c>
      <c r="P48" s="12">
        <v>0.3</v>
      </c>
      <c r="Q48" s="12">
        <v>-9.5000000000000001E-2</v>
      </c>
    </row>
    <row r="49" spans="2:17" x14ac:dyDescent="0.2">
      <c r="B49" s="13">
        <f t="shared" ref="B49:B80" si="3">EOMONTH(B48,0)+1</f>
        <v>38139</v>
      </c>
      <c r="C49" s="12">
        <v>3.274</v>
      </c>
      <c r="D49" s="12">
        <v>2.5000000000000001E-3</v>
      </c>
      <c r="E49" s="12">
        <v>0.5</v>
      </c>
      <c r="F49" s="12">
        <v>0.03</v>
      </c>
      <c r="G49" s="12">
        <v>0.25</v>
      </c>
      <c r="H49" s="12">
        <v>-0.37</v>
      </c>
      <c r="I49" s="12">
        <v>-0.09</v>
      </c>
      <c r="J49" s="12">
        <v>-0.26</v>
      </c>
      <c r="K49" s="22">
        <v>-8.5000000000000006E-2</v>
      </c>
      <c r="L49" s="12">
        <v>-0.3</v>
      </c>
      <c r="M49" s="12">
        <v>-0.46</v>
      </c>
      <c r="N49" s="12">
        <v>-0.46</v>
      </c>
      <c r="O49" s="12">
        <v>-0.14000000000000001</v>
      </c>
      <c r="P49" s="12">
        <v>0.3</v>
      </c>
      <c r="Q49" s="12">
        <v>-9.5000000000000001E-2</v>
      </c>
    </row>
    <row r="50" spans="2:17" x14ac:dyDescent="0.2">
      <c r="B50" s="13">
        <f t="shared" si="3"/>
        <v>38169</v>
      </c>
      <c r="C50" s="12">
        <v>3.32</v>
      </c>
      <c r="D50" s="12">
        <v>2.5000000000000001E-3</v>
      </c>
      <c r="E50" s="12">
        <v>0.5</v>
      </c>
      <c r="F50" s="12">
        <v>0.03</v>
      </c>
      <c r="G50" s="12">
        <v>0.25</v>
      </c>
      <c r="H50" s="12">
        <v>-0.37</v>
      </c>
      <c r="I50" s="12">
        <v>-0.09</v>
      </c>
      <c r="J50" s="12">
        <v>-0.26</v>
      </c>
      <c r="K50" s="22">
        <v>-8.5000000000000006E-2</v>
      </c>
      <c r="L50" s="12">
        <v>-0.3</v>
      </c>
      <c r="M50" s="12">
        <v>-0.46</v>
      </c>
      <c r="N50" s="12">
        <v>-0.46</v>
      </c>
      <c r="O50" s="12">
        <v>-0.14000000000000001</v>
      </c>
      <c r="P50" s="12">
        <v>0.3</v>
      </c>
      <c r="Q50" s="12">
        <v>-9.5000000000000001E-2</v>
      </c>
    </row>
    <row r="51" spans="2:17" x14ac:dyDescent="0.2">
      <c r="B51" s="13">
        <f t="shared" si="3"/>
        <v>38200</v>
      </c>
      <c r="C51" s="12">
        <v>3.3530000000000002</v>
      </c>
      <c r="D51" s="12">
        <v>2.5000000000000001E-3</v>
      </c>
      <c r="E51" s="12">
        <v>0.5</v>
      </c>
      <c r="F51" s="12">
        <v>0.03</v>
      </c>
      <c r="G51" s="12">
        <v>0.25</v>
      </c>
      <c r="H51" s="12">
        <v>-0.37</v>
      </c>
      <c r="I51" s="12">
        <v>-0.09</v>
      </c>
      <c r="J51" s="12">
        <v>-0.26</v>
      </c>
      <c r="K51" s="22">
        <v>-8.5000000000000006E-2</v>
      </c>
      <c r="L51" s="12">
        <v>-0.3</v>
      </c>
      <c r="M51" s="12">
        <v>-0.46</v>
      </c>
      <c r="N51" s="12">
        <v>-0.46</v>
      </c>
      <c r="O51" s="12">
        <v>-0.14000000000000001</v>
      </c>
      <c r="P51" s="12">
        <v>0.3</v>
      </c>
      <c r="Q51" s="12">
        <v>-9.5000000000000001E-2</v>
      </c>
    </row>
    <row r="52" spans="2:17" x14ac:dyDescent="0.2">
      <c r="B52" s="13">
        <f t="shared" si="3"/>
        <v>38231</v>
      </c>
      <c r="C52" s="12">
        <v>3.3530000000000002</v>
      </c>
      <c r="D52" s="12">
        <v>2.5000000000000001E-3</v>
      </c>
      <c r="E52" s="12">
        <v>0.5</v>
      </c>
      <c r="F52" s="12">
        <v>0.03</v>
      </c>
      <c r="G52" s="12">
        <v>0.25</v>
      </c>
      <c r="H52" s="12">
        <v>-0.37</v>
      </c>
      <c r="I52" s="12">
        <v>-0.09</v>
      </c>
      <c r="J52" s="12">
        <v>-0.26</v>
      </c>
      <c r="K52" s="22">
        <v>-8.5000000000000006E-2</v>
      </c>
      <c r="L52" s="12">
        <v>-0.3</v>
      </c>
      <c r="M52" s="12">
        <v>-0.46</v>
      </c>
      <c r="N52" s="12">
        <v>-0.46</v>
      </c>
      <c r="O52" s="12">
        <v>-0.14000000000000001</v>
      </c>
      <c r="P52" s="12">
        <v>0.3</v>
      </c>
      <c r="Q52" s="12">
        <v>-9.5000000000000001E-2</v>
      </c>
    </row>
    <row r="53" spans="2:17" x14ac:dyDescent="0.2">
      <c r="B53" s="13">
        <f t="shared" si="3"/>
        <v>38261</v>
      </c>
      <c r="C53" s="12">
        <v>3.3580000000000001</v>
      </c>
      <c r="D53" s="12">
        <v>2.5000000000000001E-3</v>
      </c>
      <c r="E53" s="12">
        <v>0.5</v>
      </c>
      <c r="F53" s="12">
        <v>0.03</v>
      </c>
      <c r="G53" s="12">
        <v>0.25</v>
      </c>
      <c r="H53" s="12">
        <v>-0.37</v>
      </c>
      <c r="I53" s="12">
        <v>-0.09</v>
      </c>
      <c r="J53" s="12">
        <v>-0.26</v>
      </c>
      <c r="K53" s="22">
        <v>-8.5000000000000006E-2</v>
      </c>
      <c r="L53" s="12">
        <v>-0.3</v>
      </c>
      <c r="M53" s="12">
        <v>-0.46</v>
      </c>
      <c r="N53" s="12">
        <v>-0.46</v>
      </c>
      <c r="O53" s="12">
        <v>-0.14000000000000001</v>
      </c>
      <c r="P53" s="12">
        <v>0.3</v>
      </c>
      <c r="Q53" s="12">
        <v>-9.5000000000000001E-2</v>
      </c>
    </row>
    <row r="54" spans="2:17" x14ac:dyDescent="0.2">
      <c r="B54" s="13">
        <f t="shared" si="3"/>
        <v>38292</v>
      </c>
      <c r="C54" s="12">
        <v>3.532</v>
      </c>
      <c r="D54" s="12">
        <v>2.5000000000000001E-3</v>
      </c>
      <c r="E54" s="12">
        <v>0.49</v>
      </c>
      <c r="F54" s="12">
        <v>0.14000000000000001</v>
      </c>
      <c r="G54" s="12">
        <v>0.24</v>
      </c>
      <c r="H54" s="12">
        <v>-0.24</v>
      </c>
      <c r="I54" s="12">
        <v>-0.09</v>
      </c>
      <c r="J54" s="12">
        <v>-0.155</v>
      </c>
      <c r="K54" s="22">
        <v>-8.5000000000000006E-2</v>
      </c>
      <c r="L54" s="12">
        <v>0.248</v>
      </c>
      <c r="M54" s="12">
        <v>-0.42499999999999999</v>
      </c>
      <c r="N54" s="12">
        <v>-0.32</v>
      </c>
      <c r="O54" s="12">
        <v>-0.14000000000000001</v>
      </c>
      <c r="P54" s="12">
        <v>0.28999999999999998</v>
      </c>
      <c r="Q54" s="12">
        <v>-9.5000000000000001E-2</v>
      </c>
    </row>
    <row r="55" spans="2:17" x14ac:dyDescent="0.2">
      <c r="B55" s="13">
        <f t="shared" si="3"/>
        <v>38322</v>
      </c>
      <c r="C55" s="12">
        <v>3.698</v>
      </c>
      <c r="D55" s="12">
        <v>2.5000000000000001E-3</v>
      </c>
      <c r="E55" s="12">
        <v>0.49</v>
      </c>
      <c r="F55" s="12">
        <v>0.14000000000000001</v>
      </c>
      <c r="G55" s="12">
        <v>0.24</v>
      </c>
      <c r="H55" s="12">
        <v>-0.24</v>
      </c>
      <c r="I55" s="12">
        <v>-0.09</v>
      </c>
      <c r="J55" s="12">
        <v>-0.155</v>
      </c>
      <c r="K55" s="22">
        <v>-8.5000000000000006E-2</v>
      </c>
      <c r="L55" s="12">
        <v>0.308</v>
      </c>
      <c r="M55" s="12">
        <v>-0.42499999999999999</v>
      </c>
      <c r="N55" s="12">
        <v>-0.32</v>
      </c>
      <c r="O55" s="12">
        <v>-0.14249999999999999</v>
      </c>
      <c r="P55" s="12">
        <v>0.28999999999999998</v>
      </c>
      <c r="Q55" s="12">
        <v>-9.5000000000000001E-2</v>
      </c>
    </row>
    <row r="56" spans="2:17" x14ac:dyDescent="0.2">
      <c r="B56" s="13">
        <f t="shared" si="3"/>
        <v>38353</v>
      </c>
      <c r="C56" s="12">
        <v>3.7645</v>
      </c>
      <c r="D56" s="12">
        <v>2.5000000000000001E-3</v>
      </c>
      <c r="E56" s="12">
        <v>0.49</v>
      </c>
      <c r="F56" s="12">
        <v>0.14000000000000001</v>
      </c>
      <c r="G56" s="12">
        <v>0.24</v>
      </c>
      <c r="H56" s="12">
        <v>-0.24</v>
      </c>
      <c r="I56" s="12">
        <v>-0.08</v>
      </c>
      <c r="J56" s="12">
        <v>-0.155</v>
      </c>
      <c r="K56" s="22">
        <v>-7.4999999999999997E-2</v>
      </c>
      <c r="L56" s="12">
        <v>0.378</v>
      </c>
      <c r="M56" s="12">
        <v>-0.42499999999999999</v>
      </c>
      <c r="N56" s="12">
        <v>-0.32</v>
      </c>
      <c r="O56" s="12">
        <v>-0.14499999999999999</v>
      </c>
      <c r="P56" s="12">
        <v>0.28999999999999998</v>
      </c>
      <c r="Q56" s="12">
        <v>-8.5000000000000006E-2</v>
      </c>
    </row>
    <row r="57" spans="2:17" x14ac:dyDescent="0.2">
      <c r="B57" s="13">
        <f t="shared" si="3"/>
        <v>38384</v>
      </c>
      <c r="C57" s="12">
        <v>3.6465000000000001</v>
      </c>
      <c r="D57" s="12">
        <v>2.5000000000000001E-3</v>
      </c>
      <c r="E57" s="12">
        <v>0.49</v>
      </c>
      <c r="F57" s="12">
        <v>0.14000000000000001</v>
      </c>
      <c r="G57" s="12">
        <v>0.24</v>
      </c>
      <c r="H57" s="12">
        <v>-0.24</v>
      </c>
      <c r="I57" s="12">
        <v>-0.08</v>
      </c>
      <c r="J57" s="12">
        <v>-0.155</v>
      </c>
      <c r="K57" s="22">
        <v>-7.4999999999999997E-2</v>
      </c>
      <c r="L57" s="12">
        <v>0.248</v>
      </c>
      <c r="M57" s="12">
        <v>-0.42499999999999999</v>
      </c>
      <c r="N57" s="12">
        <v>-0.32</v>
      </c>
      <c r="O57" s="12">
        <v>-0.13750000000000001</v>
      </c>
      <c r="P57" s="12">
        <v>0.28999999999999998</v>
      </c>
      <c r="Q57" s="12">
        <v>-8.5000000000000006E-2</v>
      </c>
    </row>
    <row r="58" spans="2:17" x14ac:dyDescent="0.2">
      <c r="B58" s="13">
        <f t="shared" si="3"/>
        <v>38412</v>
      </c>
      <c r="C58" s="12">
        <v>3.5045000000000002</v>
      </c>
      <c r="D58" s="12">
        <v>2.5000000000000001E-3</v>
      </c>
      <c r="E58" s="12">
        <v>0.49</v>
      </c>
      <c r="F58" s="12">
        <v>0.14000000000000001</v>
      </c>
      <c r="G58" s="12">
        <v>0.24</v>
      </c>
      <c r="H58" s="12">
        <v>-0.24</v>
      </c>
      <c r="I58" s="12">
        <v>-0.08</v>
      </c>
      <c r="J58" s="12">
        <v>-0.155</v>
      </c>
      <c r="K58" s="22">
        <v>-7.4999999999999997E-2</v>
      </c>
      <c r="L58" s="12">
        <v>6.8000000000000005E-2</v>
      </c>
      <c r="M58" s="12">
        <v>-0.42499999999999999</v>
      </c>
      <c r="N58" s="12">
        <v>-0.32</v>
      </c>
      <c r="O58" s="12">
        <v>-0.13500000000000001</v>
      </c>
      <c r="P58" s="12">
        <v>0.28999999999999998</v>
      </c>
      <c r="Q58" s="12">
        <v>-8.5000000000000006E-2</v>
      </c>
    </row>
    <row r="59" spans="2:17" x14ac:dyDescent="0.2">
      <c r="B59" s="13">
        <f t="shared" si="3"/>
        <v>38443</v>
      </c>
      <c r="C59" s="12">
        <v>3.3344999999999998</v>
      </c>
      <c r="D59" s="12">
        <v>2.5000000000000001E-3</v>
      </c>
      <c r="E59" s="12">
        <v>0.5</v>
      </c>
      <c r="F59" s="12">
        <v>0.03</v>
      </c>
      <c r="G59" s="12">
        <v>0.25</v>
      </c>
      <c r="H59" s="12">
        <v>-0.36</v>
      </c>
      <c r="I59" s="12">
        <v>-0.08</v>
      </c>
      <c r="J59" s="12">
        <v>-0.23499999999999999</v>
      </c>
      <c r="K59" s="22">
        <v>-7.4999999999999997E-2</v>
      </c>
      <c r="L59" s="12">
        <v>-0.25</v>
      </c>
      <c r="M59" s="12">
        <v>-0.47</v>
      </c>
      <c r="N59" s="12">
        <v>-0.44</v>
      </c>
      <c r="O59" s="12">
        <v>-0.14000000000000001</v>
      </c>
      <c r="P59" s="12">
        <v>0.3</v>
      </c>
      <c r="Q59" s="12">
        <v>-8.5000000000000006E-2</v>
      </c>
    </row>
    <row r="60" spans="2:17" x14ac:dyDescent="0.2">
      <c r="B60" s="13">
        <f t="shared" si="3"/>
        <v>38473</v>
      </c>
      <c r="C60" s="12">
        <v>3.3294999999999999</v>
      </c>
      <c r="D60" s="12">
        <v>2.5000000000000001E-3</v>
      </c>
      <c r="E60" s="12">
        <v>0.5</v>
      </c>
      <c r="F60" s="12">
        <v>0.03</v>
      </c>
      <c r="G60" s="12">
        <v>0.25</v>
      </c>
      <c r="H60" s="12">
        <v>-0.36</v>
      </c>
      <c r="I60" s="12">
        <v>-0.08</v>
      </c>
      <c r="J60" s="12">
        <v>-0.23499999999999999</v>
      </c>
      <c r="K60" s="22">
        <v>-7.4999999999999997E-2</v>
      </c>
      <c r="L60" s="12">
        <v>-0.25</v>
      </c>
      <c r="M60" s="12">
        <v>-0.47</v>
      </c>
      <c r="N60" s="12">
        <v>-0.44</v>
      </c>
      <c r="O60" s="12">
        <v>-0.14000000000000001</v>
      </c>
      <c r="P60" s="12">
        <v>0.3</v>
      </c>
      <c r="Q60" s="12">
        <v>-8.5000000000000006E-2</v>
      </c>
    </row>
    <row r="61" spans="2:17" x14ac:dyDescent="0.2">
      <c r="B61" s="13">
        <f t="shared" si="3"/>
        <v>38504</v>
      </c>
      <c r="C61" s="12">
        <v>3.3614999999999999</v>
      </c>
      <c r="D61" s="12">
        <v>2.5000000000000001E-3</v>
      </c>
      <c r="E61" s="12">
        <v>0.5</v>
      </c>
      <c r="F61" s="12">
        <v>0.03</v>
      </c>
      <c r="G61" s="12">
        <v>0.25</v>
      </c>
      <c r="H61" s="12">
        <v>-0.36</v>
      </c>
      <c r="I61" s="12">
        <v>-0.08</v>
      </c>
      <c r="J61" s="12">
        <v>-0.23499999999999999</v>
      </c>
      <c r="K61" s="22">
        <v>-7.4999999999999997E-2</v>
      </c>
      <c r="L61" s="12">
        <v>-0.25</v>
      </c>
      <c r="M61" s="12">
        <v>-0.47</v>
      </c>
      <c r="N61" s="12">
        <v>-0.44</v>
      </c>
      <c r="O61" s="12">
        <v>-0.14000000000000001</v>
      </c>
      <c r="P61" s="12">
        <v>0.3</v>
      </c>
      <c r="Q61" s="12">
        <v>-8.5000000000000006E-2</v>
      </c>
    </row>
    <row r="62" spans="2:17" x14ac:dyDescent="0.2">
      <c r="B62" s="13">
        <f t="shared" si="3"/>
        <v>38534</v>
      </c>
      <c r="C62" s="12">
        <v>3.4075000000000002</v>
      </c>
      <c r="D62" s="12">
        <v>2.5000000000000001E-3</v>
      </c>
      <c r="E62" s="12">
        <v>0.5</v>
      </c>
      <c r="F62" s="12">
        <v>0.03</v>
      </c>
      <c r="G62" s="12">
        <v>0.25</v>
      </c>
      <c r="H62" s="12">
        <v>-0.36</v>
      </c>
      <c r="I62" s="12">
        <v>-0.08</v>
      </c>
      <c r="J62" s="12">
        <v>-0.23499999999999999</v>
      </c>
      <c r="K62" s="22">
        <v>-7.4999999999999997E-2</v>
      </c>
      <c r="L62" s="12">
        <v>-0.25</v>
      </c>
      <c r="M62" s="12">
        <v>-0.47</v>
      </c>
      <c r="N62" s="12">
        <v>-0.44</v>
      </c>
      <c r="O62" s="12">
        <v>-0.14000000000000001</v>
      </c>
      <c r="P62" s="12">
        <v>0.3</v>
      </c>
      <c r="Q62" s="12">
        <v>-8.5000000000000006E-2</v>
      </c>
    </row>
    <row r="63" spans="2:17" x14ac:dyDescent="0.2">
      <c r="B63" s="13">
        <f t="shared" si="3"/>
        <v>38565</v>
      </c>
      <c r="C63" s="12">
        <v>3.4405000000000001</v>
      </c>
      <c r="D63" s="12">
        <v>2.5000000000000001E-3</v>
      </c>
      <c r="E63" s="12">
        <v>0.5</v>
      </c>
      <c r="F63" s="12">
        <v>0.03</v>
      </c>
      <c r="G63" s="12">
        <v>0.25</v>
      </c>
      <c r="H63" s="12">
        <v>-0.36</v>
      </c>
      <c r="I63" s="12">
        <v>-0.08</v>
      </c>
      <c r="J63" s="12">
        <v>-0.23499999999999999</v>
      </c>
      <c r="K63" s="22">
        <v>-7.4999999999999997E-2</v>
      </c>
      <c r="L63" s="12">
        <v>-0.25</v>
      </c>
      <c r="M63" s="12">
        <v>-0.47</v>
      </c>
      <c r="N63" s="12">
        <v>-0.44</v>
      </c>
      <c r="O63" s="12">
        <v>-0.14000000000000001</v>
      </c>
      <c r="P63" s="12">
        <v>0.3</v>
      </c>
      <c r="Q63" s="12">
        <v>-8.5000000000000006E-2</v>
      </c>
    </row>
    <row r="64" spans="2:17" x14ac:dyDescent="0.2">
      <c r="B64" s="13">
        <f t="shared" si="3"/>
        <v>38596</v>
      </c>
      <c r="C64" s="12">
        <v>3.4405000000000001</v>
      </c>
      <c r="D64" s="12">
        <v>2.5000000000000001E-3</v>
      </c>
      <c r="E64" s="12">
        <v>0.5</v>
      </c>
      <c r="F64" s="12">
        <v>0.03</v>
      </c>
      <c r="G64" s="12">
        <v>0.25</v>
      </c>
      <c r="H64" s="12">
        <v>-0.36</v>
      </c>
      <c r="I64" s="12">
        <v>-0.08</v>
      </c>
      <c r="J64" s="12">
        <v>-0.23499999999999999</v>
      </c>
      <c r="K64" s="22">
        <v>-7.4999999999999997E-2</v>
      </c>
      <c r="L64" s="12">
        <v>-0.25</v>
      </c>
      <c r="M64" s="12">
        <v>-0.47</v>
      </c>
      <c r="N64" s="12">
        <v>-0.44</v>
      </c>
      <c r="O64" s="12">
        <v>-0.14000000000000001</v>
      </c>
      <c r="P64" s="12">
        <v>0.3</v>
      </c>
      <c r="Q64" s="12">
        <v>-8.5000000000000006E-2</v>
      </c>
    </row>
    <row r="65" spans="2:17" x14ac:dyDescent="0.2">
      <c r="B65" s="13">
        <f t="shared" si="3"/>
        <v>38626</v>
      </c>
      <c r="C65" s="12">
        <v>3.4455</v>
      </c>
      <c r="D65" s="12">
        <v>2.5000000000000001E-3</v>
      </c>
      <c r="E65" s="12">
        <v>0.5</v>
      </c>
      <c r="F65" s="12">
        <v>0.03</v>
      </c>
      <c r="G65" s="12">
        <v>0.25</v>
      </c>
      <c r="H65" s="12">
        <v>-0.36</v>
      </c>
      <c r="I65" s="12">
        <v>-0.08</v>
      </c>
      <c r="J65" s="12">
        <v>-0.23499999999999999</v>
      </c>
      <c r="K65" s="22">
        <v>-7.4999999999999997E-2</v>
      </c>
      <c r="L65" s="12">
        <v>-0.25</v>
      </c>
      <c r="M65" s="12">
        <v>-0.47</v>
      </c>
      <c r="N65" s="12">
        <v>-0.44</v>
      </c>
      <c r="O65" s="12">
        <v>-0.14000000000000001</v>
      </c>
      <c r="P65" s="12">
        <v>0.3</v>
      </c>
      <c r="Q65" s="12">
        <v>-8.5000000000000006E-2</v>
      </c>
    </row>
    <row r="66" spans="2:17" x14ac:dyDescent="0.2">
      <c r="B66" s="13">
        <f t="shared" si="3"/>
        <v>38657</v>
      </c>
      <c r="C66" s="12">
        <v>3.6194999999999999</v>
      </c>
      <c r="D66" s="12">
        <v>2.5000000000000001E-3</v>
      </c>
      <c r="E66" s="12">
        <v>0.49</v>
      </c>
      <c r="F66" s="12">
        <v>0.14000000000000001</v>
      </c>
      <c r="G66" s="12">
        <v>0.24</v>
      </c>
      <c r="H66" s="12">
        <v>-0.22</v>
      </c>
      <c r="I66" s="12">
        <v>-0.08</v>
      </c>
      <c r="J66" s="12">
        <v>-0.14499999999999999</v>
      </c>
      <c r="K66" s="22">
        <v>-7.4999999999999997E-2</v>
      </c>
      <c r="L66" s="12">
        <v>0.248</v>
      </c>
      <c r="M66" s="12">
        <v>-0.43</v>
      </c>
      <c r="N66" s="12">
        <v>-0.3</v>
      </c>
      <c r="O66" s="12">
        <v>-0.14000000000000001</v>
      </c>
      <c r="P66" s="12">
        <v>0.28999999999999998</v>
      </c>
      <c r="Q66" s="12">
        <v>-8.5000000000000006E-2</v>
      </c>
    </row>
    <row r="67" spans="2:17" x14ac:dyDescent="0.2">
      <c r="B67" s="13">
        <f t="shared" si="3"/>
        <v>38687</v>
      </c>
      <c r="C67" s="12">
        <v>3.7854999999999999</v>
      </c>
      <c r="D67" s="12">
        <v>2.5000000000000001E-3</v>
      </c>
      <c r="E67" s="12">
        <v>0.49</v>
      </c>
      <c r="F67" s="12">
        <v>0.14000000000000001</v>
      </c>
      <c r="G67" s="12">
        <v>0.24</v>
      </c>
      <c r="H67" s="12">
        <v>-0.22</v>
      </c>
      <c r="I67" s="12">
        <v>-0.08</v>
      </c>
      <c r="J67" s="12">
        <v>-0.14499999999999999</v>
      </c>
      <c r="K67" s="22">
        <v>-7.4999999999999997E-2</v>
      </c>
      <c r="L67" s="12">
        <v>0.308</v>
      </c>
      <c r="M67" s="12">
        <v>-0.43</v>
      </c>
      <c r="N67" s="12">
        <v>-0.3</v>
      </c>
      <c r="O67" s="12">
        <v>-0.14249999999999999</v>
      </c>
      <c r="P67" s="12">
        <v>0.28999999999999998</v>
      </c>
      <c r="Q67" s="12">
        <v>-8.5000000000000006E-2</v>
      </c>
    </row>
    <row r="68" spans="2:17" x14ac:dyDescent="0.2">
      <c r="B68" s="13">
        <f t="shared" si="3"/>
        <v>38718</v>
      </c>
      <c r="C68" s="12">
        <v>3.8570000000000002</v>
      </c>
      <c r="D68" s="12">
        <v>2.5000000000000001E-3</v>
      </c>
      <c r="E68" s="12">
        <v>0.49</v>
      </c>
      <c r="F68" s="12">
        <v>0.14000000000000001</v>
      </c>
      <c r="G68" s="12">
        <v>0.24</v>
      </c>
      <c r="H68" s="12">
        <v>-0.22</v>
      </c>
      <c r="I68" s="12">
        <v>-7.0000000000000007E-2</v>
      </c>
      <c r="J68" s="12">
        <v>-0.14499999999999999</v>
      </c>
      <c r="K68" s="22">
        <v>-6.5000000000000002E-2</v>
      </c>
      <c r="L68" s="12">
        <v>0.378</v>
      </c>
      <c r="M68" s="12">
        <v>-0.43</v>
      </c>
      <c r="N68" s="12">
        <v>-0.3</v>
      </c>
      <c r="O68" s="12">
        <v>-0.14499999999999999</v>
      </c>
      <c r="P68" s="12">
        <v>0.28999999999999998</v>
      </c>
      <c r="Q68" s="12">
        <v>-7.4999999999999997E-2</v>
      </c>
    </row>
    <row r="69" spans="2:17" x14ac:dyDescent="0.2">
      <c r="B69" s="13">
        <f t="shared" si="3"/>
        <v>38749</v>
      </c>
      <c r="C69" s="12">
        <v>3.7389999999999999</v>
      </c>
      <c r="D69" s="12">
        <v>2.5000000000000001E-3</v>
      </c>
      <c r="E69" s="12">
        <v>0.49</v>
      </c>
      <c r="F69" s="12">
        <v>0.14000000000000001</v>
      </c>
      <c r="G69" s="12">
        <v>0.24</v>
      </c>
      <c r="H69" s="12">
        <v>-0.22</v>
      </c>
      <c r="I69" s="12">
        <v>-7.0000000000000007E-2</v>
      </c>
      <c r="J69" s="12">
        <v>-0.14499999999999999</v>
      </c>
      <c r="K69" s="22">
        <v>-6.5000000000000002E-2</v>
      </c>
      <c r="L69" s="12">
        <v>0.248</v>
      </c>
      <c r="M69" s="12">
        <v>-0.43</v>
      </c>
      <c r="N69" s="12">
        <v>-0.3</v>
      </c>
      <c r="O69" s="12">
        <v>-0.13750000000000001</v>
      </c>
      <c r="P69" s="12">
        <v>0.28999999999999998</v>
      </c>
      <c r="Q69" s="12">
        <v>-7.4999999999999997E-2</v>
      </c>
    </row>
    <row r="70" spans="2:17" x14ac:dyDescent="0.2">
      <c r="B70" s="13">
        <f t="shared" si="3"/>
        <v>38777</v>
      </c>
      <c r="C70" s="12">
        <v>3.597</v>
      </c>
      <c r="D70" s="12">
        <v>2.5000000000000001E-3</v>
      </c>
      <c r="E70" s="12">
        <v>0.49</v>
      </c>
      <c r="F70" s="12">
        <v>0.14000000000000001</v>
      </c>
      <c r="G70" s="12">
        <v>0.24</v>
      </c>
      <c r="H70" s="12">
        <v>-0.22</v>
      </c>
      <c r="I70" s="12">
        <v>-7.0000000000000007E-2</v>
      </c>
      <c r="J70" s="12">
        <v>-0.14499999999999999</v>
      </c>
      <c r="K70" s="22">
        <v>-6.5000000000000002E-2</v>
      </c>
      <c r="L70" s="12">
        <v>6.8000000000000005E-2</v>
      </c>
      <c r="M70" s="12">
        <v>-0.43</v>
      </c>
      <c r="N70" s="12">
        <v>-0.3</v>
      </c>
      <c r="O70" s="12">
        <v>-0.13500000000000001</v>
      </c>
      <c r="P70" s="12">
        <v>0.28999999999999998</v>
      </c>
      <c r="Q70" s="12">
        <v>-7.4999999999999997E-2</v>
      </c>
    </row>
    <row r="71" spans="2:17" x14ac:dyDescent="0.2">
      <c r="B71" s="13">
        <f t="shared" si="3"/>
        <v>38808</v>
      </c>
      <c r="C71" s="12">
        <v>3.427</v>
      </c>
      <c r="D71" s="12">
        <v>2.5000000000000001E-3</v>
      </c>
      <c r="E71" s="12">
        <v>0.5</v>
      </c>
      <c r="F71" s="12">
        <v>0.03</v>
      </c>
      <c r="G71" s="12">
        <v>0.25</v>
      </c>
      <c r="H71" s="12">
        <v>-0.36</v>
      </c>
      <c r="I71" s="12">
        <v>-7.0000000000000007E-2</v>
      </c>
      <c r="J71" s="12">
        <v>-0.22500000000000001</v>
      </c>
      <c r="K71" s="22">
        <v>-6.5000000000000002E-2</v>
      </c>
      <c r="L71" s="12">
        <v>-0.25</v>
      </c>
      <c r="M71" s="12">
        <v>-0.48</v>
      </c>
      <c r="N71" s="12">
        <v>-0.44</v>
      </c>
      <c r="O71" s="12">
        <v>-0.14000000000000001</v>
      </c>
      <c r="P71" s="12">
        <v>0.3</v>
      </c>
      <c r="Q71" s="12">
        <v>-7.4999999999999997E-2</v>
      </c>
    </row>
    <row r="72" spans="2:17" x14ac:dyDescent="0.2">
      <c r="B72" s="13">
        <f t="shared" si="3"/>
        <v>38838</v>
      </c>
      <c r="C72" s="12">
        <v>3.4220000000000002</v>
      </c>
      <c r="D72" s="12">
        <v>2.5000000000000001E-3</v>
      </c>
      <c r="E72" s="12">
        <v>0.5</v>
      </c>
      <c r="F72" s="12">
        <v>0.03</v>
      </c>
      <c r="G72" s="12">
        <v>0.25</v>
      </c>
      <c r="H72" s="12">
        <v>-0.36</v>
      </c>
      <c r="I72" s="12">
        <v>-7.0000000000000007E-2</v>
      </c>
      <c r="J72" s="12">
        <v>-0.22500000000000001</v>
      </c>
      <c r="K72" s="22">
        <v>-6.5000000000000002E-2</v>
      </c>
      <c r="L72" s="12">
        <v>-0.25</v>
      </c>
      <c r="M72" s="12">
        <v>-0.48</v>
      </c>
      <c r="N72" s="12">
        <v>-0.44</v>
      </c>
      <c r="O72" s="12">
        <v>-0.14000000000000001</v>
      </c>
      <c r="P72" s="12">
        <v>0.3</v>
      </c>
      <c r="Q72" s="12">
        <v>-7.4999999999999997E-2</v>
      </c>
    </row>
    <row r="73" spans="2:17" x14ac:dyDescent="0.2">
      <c r="B73" s="13">
        <f t="shared" si="3"/>
        <v>38869</v>
      </c>
      <c r="C73" s="12">
        <v>3.4540000000000002</v>
      </c>
      <c r="D73" s="12">
        <v>2.5000000000000001E-3</v>
      </c>
      <c r="E73" s="12">
        <v>0.5</v>
      </c>
      <c r="F73" s="12">
        <v>0.03</v>
      </c>
      <c r="G73" s="12">
        <v>0.25</v>
      </c>
      <c r="H73" s="12">
        <v>-0.36</v>
      </c>
      <c r="I73" s="12">
        <v>-7.0000000000000007E-2</v>
      </c>
      <c r="J73" s="12">
        <v>-0.22500000000000001</v>
      </c>
      <c r="K73" s="22">
        <v>-6.5000000000000002E-2</v>
      </c>
      <c r="L73" s="12">
        <v>-0.25</v>
      </c>
      <c r="M73" s="12">
        <v>-0.48</v>
      </c>
      <c r="N73" s="12">
        <v>-0.44</v>
      </c>
      <c r="O73" s="12">
        <v>-0.14000000000000001</v>
      </c>
      <c r="P73" s="12">
        <v>0.3</v>
      </c>
      <c r="Q73" s="12">
        <v>-7.4999999999999997E-2</v>
      </c>
    </row>
    <row r="74" spans="2:17" x14ac:dyDescent="0.2">
      <c r="B74" s="13">
        <f t="shared" si="3"/>
        <v>38899</v>
      </c>
      <c r="C74" s="12">
        <v>3.5</v>
      </c>
      <c r="D74" s="12">
        <v>2.5000000000000001E-3</v>
      </c>
      <c r="E74" s="12">
        <v>0.5</v>
      </c>
      <c r="F74" s="12">
        <v>0.03</v>
      </c>
      <c r="G74" s="12">
        <v>0.25</v>
      </c>
      <c r="H74" s="12">
        <v>-0.36</v>
      </c>
      <c r="I74" s="12">
        <v>-7.0000000000000007E-2</v>
      </c>
      <c r="J74" s="12">
        <v>-0.22500000000000001</v>
      </c>
      <c r="K74" s="22">
        <v>-6.5000000000000002E-2</v>
      </c>
      <c r="L74" s="12">
        <v>-0.25</v>
      </c>
      <c r="M74" s="12">
        <v>-0.48</v>
      </c>
      <c r="N74" s="12">
        <v>-0.44</v>
      </c>
      <c r="O74" s="12">
        <v>-0.14000000000000001</v>
      </c>
      <c r="P74" s="12">
        <v>0.3</v>
      </c>
      <c r="Q74" s="12">
        <v>-7.4999999999999997E-2</v>
      </c>
    </row>
    <row r="75" spans="2:17" x14ac:dyDescent="0.2">
      <c r="B75" s="13">
        <f t="shared" si="3"/>
        <v>38930</v>
      </c>
      <c r="C75" s="12">
        <v>3.5329999999999999</v>
      </c>
      <c r="D75" s="12">
        <v>2.5000000000000001E-3</v>
      </c>
      <c r="E75" s="12">
        <v>0.5</v>
      </c>
      <c r="F75" s="12">
        <v>0.03</v>
      </c>
      <c r="G75" s="12">
        <v>0.25</v>
      </c>
      <c r="H75" s="12">
        <v>-0.36</v>
      </c>
      <c r="I75" s="12">
        <v>-7.0000000000000007E-2</v>
      </c>
      <c r="J75" s="12">
        <v>-0.22500000000000001</v>
      </c>
      <c r="K75" s="22">
        <v>-6.5000000000000002E-2</v>
      </c>
      <c r="L75" s="12">
        <v>-0.25</v>
      </c>
      <c r="M75" s="12">
        <v>-0.48</v>
      </c>
      <c r="N75" s="12">
        <v>-0.44</v>
      </c>
      <c r="O75" s="12">
        <v>-0.14000000000000001</v>
      </c>
      <c r="P75" s="12">
        <v>0.3</v>
      </c>
      <c r="Q75" s="12">
        <v>-7.4999999999999997E-2</v>
      </c>
    </row>
    <row r="76" spans="2:17" x14ac:dyDescent="0.2">
      <c r="B76" s="13">
        <f t="shared" si="3"/>
        <v>38961</v>
      </c>
      <c r="C76" s="12">
        <v>3.5329999999999999</v>
      </c>
      <c r="D76" s="12">
        <v>2.5000000000000001E-3</v>
      </c>
      <c r="E76" s="12">
        <v>0.5</v>
      </c>
      <c r="F76" s="12">
        <v>0.03</v>
      </c>
      <c r="G76" s="12">
        <v>0.25</v>
      </c>
      <c r="H76" s="12">
        <v>-0.36</v>
      </c>
      <c r="I76" s="12">
        <v>-7.0000000000000007E-2</v>
      </c>
      <c r="J76" s="12">
        <v>-0.22500000000000001</v>
      </c>
      <c r="K76" s="22">
        <v>-6.5000000000000002E-2</v>
      </c>
      <c r="L76" s="12">
        <v>-0.25</v>
      </c>
      <c r="M76" s="12">
        <v>-0.48</v>
      </c>
      <c r="N76" s="12">
        <v>-0.44</v>
      </c>
      <c r="O76" s="12">
        <v>-0.14000000000000001</v>
      </c>
      <c r="P76" s="12">
        <v>0.3</v>
      </c>
      <c r="Q76" s="12">
        <v>-7.4999999999999997E-2</v>
      </c>
    </row>
    <row r="77" spans="2:17" x14ac:dyDescent="0.2">
      <c r="B77" s="13">
        <f t="shared" si="3"/>
        <v>38991</v>
      </c>
      <c r="C77" s="12">
        <v>3.5379999999999998</v>
      </c>
      <c r="D77" s="12">
        <v>2.5000000000000001E-3</v>
      </c>
      <c r="E77" s="12">
        <v>0.5</v>
      </c>
      <c r="F77" s="12">
        <v>0.03</v>
      </c>
      <c r="G77" s="12">
        <v>0.25</v>
      </c>
      <c r="H77" s="12">
        <v>-0.36</v>
      </c>
      <c r="I77" s="12">
        <v>-7.0000000000000007E-2</v>
      </c>
      <c r="J77" s="12">
        <v>-0.22500000000000001</v>
      </c>
      <c r="K77" s="22">
        <v>-6.5000000000000002E-2</v>
      </c>
      <c r="L77" s="12">
        <v>-0.25</v>
      </c>
      <c r="M77" s="12">
        <v>-0.48</v>
      </c>
      <c r="N77" s="12">
        <v>-0.44</v>
      </c>
      <c r="O77" s="12">
        <v>-0.14000000000000001</v>
      </c>
      <c r="P77" s="12">
        <v>0.3</v>
      </c>
      <c r="Q77" s="12">
        <v>-7.4999999999999997E-2</v>
      </c>
    </row>
    <row r="78" spans="2:17" x14ac:dyDescent="0.2">
      <c r="B78" s="13">
        <f t="shared" si="3"/>
        <v>39022</v>
      </c>
      <c r="C78" s="12">
        <v>3.7120000000000002</v>
      </c>
      <c r="D78" s="12">
        <v>2.5000000000000001E-3</v>
      </c>
      <c r="E78" s="12">
        <v>0.49</v>
      </c>
      <c r="F78" s="12">
        <v>0.14000000000000001</v>
      </c>
      <c r="G78" s="12">
        <v>0.24</v>
      </c>
      <c r="H78" s="12">
        <v>-0.21</v>
      </c>
      <c r="I78" s="12">
        <v>-7.0000000000000007E-2</v>
      </c>
      <c r="J78" s="12">
        <v>-0.14499999999999999</v>
      </c>
      <c r="K78" s="22">
        <v>-6.5000000000000002E-2</v>
      </c>
      <c r="L78" s="12">
        <v>0.248</v>
      </c>
      <c r="M78" s="12">
        <v>-0.43</v>
      </c>
      <c r="N78" s="12">
        <v>-0.28999999999999998</v>
      </c>
      <c r="O78" s="12">
        <v>-0.14000000000000001</v>
      </c>
      <c r="P78" s="12">
        <v>0.28999999999999998</v>
      </c>
      <c r="Q78" s="12">
        <v>-7.4999999999999997E-2</v>
      </c>
    </row>
    <row r="79" spans="2:17" x14ac:dyDescent="0.2">
      <c r="B79" s="13">
        <f t="shared" si="3"/>
        <v>39052</v>
      </c>
      <c r="C79" s="12">
        <v>3.8780000000000001</v>
      </c>
      <c r="D79" s="12">
        <v>2.5000000000000001E-3</v>
      </c>
      <c r="E79" s="12">
        <v>0.49</v>
      </c>
      <c r="F79" s="12">
        <v>0.14000000000000001</v>
      </c>
      <c r="G79" s="12">
        <v>0.24</v>
      </c>
      <c r="H79" s="12">
        <v>-0.21</v>
      </c>
      <c r="I79" s="12">
        <v>-7.0000000000000007E-2</v>
      </c>
      <c r="J79" s="12">
        <v>-0.14499999999999999</v>
      </c>
      <c r="K79" s="22">
        <v>-6.5000000000000002E-2</v>
      </c>
      <c r="L79" s="12">
        <v>0.308</v>
      </c>
      <c r="M79" s="12">
        <v>-0.43</v>
      </c>
      <c r="N79" s="12">
        <v>-0.28999999999999998</v>
      </c>
      <c r="O79" s="12">
        <v>-0.14249999999999999</v>
      </c>
      <c r="P79" s="12">
        <v>0.28999999999999998</v>
      </c>
      <c r="Q79" s="12">
        <v>-7.4999999999999997E-2</v>
      </c>
    </row>
    <row r="80" spans="2:17" x14ac:dyDescent="0.2">
      <c r="B80" s="13">
        <f t="shared" si="3"/>
        <v>39083</v>
      </c>
      <c r="C80" s="12">
        <v>3.952</v>
      </c>
      <c r="D80" s="12">
        <v>2.5000000000000001E-3</v>
      </c>
      <c r="E80" s="12">
        <v>0.49</v>
      </c>
      <c r="F80" s="12">
        <v>0.14000000000000001</v>
      </c>
      <c r="G80" s="12">
        <v>0.24</v>
      </c>
      <c r="H80" s="12">
        <v>-0.21</v>
      </c>
      <c r="I80" s="12">
        <v>-7.0000000000000007E-2</v>
      </c>
      <c r="J80" s="12">
        <v>-0.14499999999999999</v>
      </c>
      <c r="K80" s="22">
        <v>-0.06</v>
      </c>
      <c r="L80" s="12">
        <v>0.378</v>
      </c>
      <c r="M80" s="12">
        <v>-0.43</v>
      </c>
      <c r="N80" s="12">
        <v>-0.28999999999999998</v>
      </c>
      <c r="O80" s="12">
        <v>-0.14499999999999999</v>
      </c>
      <c r="P80" s="12">
        <v>0.28999999999999998</v>
      </c>
      <c r="Q80" s="12">
        <v>-7.0000000000000007E-2</v>
      </c>
    </row>
    <row r="81" spans="2:17" x14ac:dyDescent="0.2">
      <c r="B81" s="13">
        <f t="shared" ref="B81:B107" si="4">EOMONTH(B80,0)+1</f>
        <v>39114</v>
      </c>
      <c r="C81" s="12">
        <v>3.8340000000000001</v>
      </c>
      <c r="D81" s="12">
        <v>2.5000000000000001E-3</v>
      </c>
      <c r="E81" s="12">
        <v>0.49</v>
      </c>
      <c r="F81" s="12">
        <v>0.14000000000000001</v>
      </c>
      <c r="G81" s="12">
        <v>0.24</v>
      </c>
      <c r="H81" s="12">
        <v>-0.21</v>
      </c>
      <c r="I81" s="12">
        <v>-7.0000000000000007E-2</v>
      </c>
      <c r="J81" s="12">
        <v>-0.14499999999999999</v>
      </c>
      <c r="K81" s="22">
        <v>-0.06</v>
      </c>
      <c r="L81" s="12">
        <v>0.248</v>
      </c>
      <c r="M81" s="12">
        <v>-0.43</v>
      </c>
      <c r="N81" s="12">
        <v>-0.28999999999999998</v>
      </c>
      <c r="O81" s="12">
        <v>-0.13750000000000001</v>
      </c>
      <c r="P81" s="12">
        <v>0.28999999999999998</v>
      </c>
      <c r="Q81" s="12">
        <v>-7.0000000000000007E-2</v>
      </c>
    </row>
    <row r="82" spans="2:17" x14ac:dyDescent="0.2">
      <c r="B82" s="13">
        <f t="shared" si="4"/>
        <v>39142</v>
      </c>
      <c r="C82" s="12">
        <v>3.6920000000000002</v>
      </c>
      <c r="D82" s="12">
        <v>2.5000000000000001E-3</v>
      </c>
      <c r="E82" s="12">
        <v>0.49</v>
      </c>
      <c r="F82" s="12">
        <v>0.14000000000000001</v>
      </c>
      <c r="G82" s="12">
        <v>0.24</v>
      </c>
      <c r="H82" s="12">
        <v>-0.21</v>
      </c>
      <c r="I82" s="12">
        <v>-7.0000000000000007E-2</v>
      </c>
      <c r="J82" s="12">
        <v>-0.14499999999999999</v>
      </c>
      <c r="K82" s="22">
        <v>-0.06</v>
      </c>
      <c r="L82" s="12">
        <v>6.8000000000000005E-2</v>
      </c>
      <c r="M82" s="12">
        <v>-0.43</v>
      </c>
      <c r="N82" s="12">
        <v>-0.28999999999999998</v>
      </c>
      <c r="O82" s="12">
        <v>-0.13500000000000001</v>
      </c>
      <c r="P82" s="12">
        <v>0.28999999999999998</v>
      </c>
      <c r="Q82" s="12">
        <v>-7.0000000000000007E-2</v>
      </c>
    </row>
    <row r="83" spans="2:17" x14ac:dyDescent="0.2">
      <c r="B83" s="13">
        <f t="shared" si="4"/>
        <v>39173</v>
      </c>
      <c r="C83" s="12">
        <v>3.5219999999999998</v>
      </c>
      <c r="D83" s="12">
        <v>2.5000000000000001E-3</v>
      </c>
      <c r="E83" s="12">
        <v>0.5</v>
      </c>
      <c r="F83" s="12">
        <v>0.03</v>
      </c>
      <c r="G83" s="12">
        <v>0.25</v>
      </c>
      <c r="H83" s="12">
        <v>-0.36</v>
      </c>
      <c r="I83" s="12">
        <v>-7.0000000000000007E-2</v>
      </c>
      <c r="J83" s="12">
        <v>-0.22500000000000001</v>
      </c>
      <c r="K83" s="22">
        <v>-0.06</v>
      </c>
      <c r="L83" s="12">
        <v>-0.25</v>
      </c>
      <c r="M83" s="12">
        <v>-0.48</v>
      </c>
      <c r="N83" s="12">
        <v>-0.44</v>
      </c>
      <c r="O83" s="12">
        <v>-0.14000000000000001</v>
      </c>
      <c r="P83" s="12">
        <v>0.3</v>
      </c>
      <c r="Q83" s="12">
        <v>-7.0000000000000007E-2</v>
      </c>
    </row>
    <row r="84" spans="2:17" x14ac:dyDescent="0.2">
      <c r="B84" s="13">
        <f t="shared" si="4"/>
        <v>39203</v>
      </c>
      <c r="C84" s="12">
        <v>3.5169999999999999</v>
      </c>
      <c r="D84" s="12">
        <v>2.5000000000000001E-3</v>
      </c>
      <c r="E84" s="12">
        <v>0.5</v>
      </c>
      <c r="F84" s="12">
        <v>0.03</v>
      </c>
      <c r="G84" s="12">
        <v>0.25</v>
      </c>
      <c r="H84" s="12">
        <v>-0.36</v>
      </c>
      <c r="I84" s="12">
        <v>-7.0000000000000007E-2</v>
      </c>
      <c r="J84" s="12">
        <v>-0.22500000000000001</v>
      </c>
      <c r="K84" s="22">
        <v>-0.06</v>
      </c>
      <c r="L84" s="12">
        <v>-0.25</v>
      </c>
      <c r="M84" s="12">
        <v>-0.48</v>
      </c>
      <c r="N84" s="12">
        <v>-0.44</v>
      </c>
      <c r="O84" s="12">
        <v>-0.14000000000000001</v>
      </c>
      <c r="P84" s="12">
        <v>0.3</v>
      </c>
      <c r="Q84" s="12">
        <v>-7.0000000000000007E-2</v>
      </c>
    </row>
    <row r="85" spans="2:17" x14ac:dyDescent="0.2">
      <c r="B85" s="13">
        <f t="shared" si="4"/>
        <v>39234</v>
      </c>
      <c r="C85" s="12">
        <v>3.5489999999999999</v>
      </c>
      <c r="D85" s="12">
        <v>2.5000000000000001E-3</v>
      </c>
      <c r="E85" s="12">
        <v>0.5</v>
      </c>
      <c r="F85" s="12">
        <v>0.03</v>
      </c>
      <c r="G85" s="12">
        <v>0.25</v>
      </c>
      <c r="H85" s="12">
        <v>-0.36</v>
      </c>
      <c r="I85" s="12">
        <v>-7.0000000000000007E-2</v>
      </c>
      <c r="J85" s="12">
        <v>-0.22500000000000001</v>
      </c>
      <c r="K85" s="22">
        <v>-0.06</v>
      </c>
      <c r="L85" s="12">
        <v>-0.25</v>
      </c>
      <c r="M85" s="12">
        <v>-0.48</v>
      </c>
      <c r="N85" s="12">
        <v>-0.44</v>
      </c>
      <c r="O85" s="12">
        <v>-0.14000000000000001</v>
      </c>
      <c r="P85" s="12">
        <v>0.3</v>
      </c>
      <c r="Q85" s="12">
        <v>-7.0000000000000007E-2</v>
      </c>
    </row>
    <row r="86" spans="2:17" x14ac:dyDescent="0.2">
      <c r="B86" s="13">
        <f t="shared" si="4"/>
        <v>39264</v>
      </c>
      <c r="C86" s="12">
        <v>3.5950000000000002</v>
      </c>
      <c r="D86" s="12">
        <v>2.5000000000000001E-3</v>
      </c>
      <c r="E86" s="12">
        <v>0.5</v>
      </c>
      <c r="F86" s="12">
        <v>0.03</v>
      </c>
      <c r="G86" s="12">
        <v>0.25</v>
      </c>
      <c r="H86" s="12">
        <v>-0.36</v>
      </c>
      <c r="I86" s="12">
        <v>-7.0000000000000007E-2</v>
      </c>
      <c r="J86" s="12">
        <v>-0.22500000000000001</v>
      </c>
      <c r="K86" s="22">
        <v>-0.06</v>
      </c>
      <c r="L86" s="12">
        <v>-0.25</v>
      </c>
      <c r="M86" s="12">
        <v>-0.48</v>
      </c>
      <c r="N86" s="12">
        <v>-0.44</v>
      </c>
      <c r="O86" s="12">
        <v>-0.14000000000000001</v>
      </c>
      <c r="P86" s="12">
        <v>0.3</v>
      </c>
      <c r="Q86" s="12">
        <v>-7.0000000000000007E-2</v>
      </c>
    </row>
    <row r="87" spans="2:17" x14ac:dyDescent="0.2">
      <c r="B87" s="13">
        <f t="shared" si="4"/>
        <v>39295</v>
      </c>
      <c r="C87" s="12">
        <v>3.6280000000000001</v>
      </c>
      <c r="D87" s="12">
        <v>2.5000000000000001E-3</v>
      </c>
      <c r="E87" s="12">
        <v>0.5</v>
      </c>
      <c r="F87" s="12">
        <v>0.03</v>
      </c>
      <c r="G87" s="12">
        <v>0.25</v>
      </c>
      <c r="H87" s="12">
        <v>-0.36</v>
      </c>
      <c r="I87" s="12">
        <v>-7.0000000000000007E-2</v>
      </c>
      <c r="J87" s="12">
        <v>-0.22500000000000001</v>
      </c>
      <c r="K87" s="22">
        <v>-0.06</v>
      </c>
      <c r="L87" s="12">
        <v>-0.25</v>
      </c>
      <c r="M87" s="12">
        <v>-0.48</v>
      </c>
      <c r="N87" s="12">
        <v>-0.44</v>
      </c>
      <c r="O87" s="12">
        <v>-0.14000000000000001</v>
      </c>
      <c r="P87" s="12">
        <v>0.3</v>
      </c>
      <c r="Q87" s="12">
        <v>-7.0000000000000007E-2</v>
      </c>
    </row>
    <row r="88" spans="2:17" x14ac:dyDescent="0.2">
      <c r="B88" s="13">
        <f t="shared" si="4"/>
        <v>39326</v>
      </c>
      <c r="C88" s="12">
        <v>3.6280000000000001</v>
      </c>
      <c r="D88" s="12">
        <v>2.5000000000000001E-3</v>
      </c>
      <c r="E88" s="12">
        <v>0.5</v>
      </c>
      <c r="F88" s="12">
        <v>0.03</v>
      </c>
      <c r="G88" s="12">
        <v>0.25</v>
      </c>
      <c r="H88" s="12">
        <v>-0.36</v>
      </c>
      <c r="I88" s="12">
        <v>-7.0000000000000007E-2</v>
      </c>
      <c r="J88" s="12">
        <v>-0.22500000000000001</v>
      </c>
      <c r="K88" s="22">
        <v>-0.06</v>
      </c>
      <c r="L88" s="12">
        <v>-0.25</v>
      </c>
      <c r="M88" s="12">
        <v>-0.48</v>
      </c>
      <c r="N88" s="12">
        <v>-0.44</v>
      </c>
      <c r="O88" s="12">
        <v>-0.14000000000000001</v>
      </c>
      <c r="P88" s="12">
        <v>0.3</v>
      </c>
      <c r="Q88" s="12">
        <v>-7.0000000000000007E-2</v>
      </c>
    </row>
    <row r="89" spans="2:17" x14ac:dyDescent="0.2">
      <c r="B89" s="13">
        <f t="shared" si="4"/>
        <v>39356</v>
      </c>
      <c r="C89" s="12">
        <v>3.633</v>
      </c>
      <c r="D89" s="12">
        <v>2.5000000000000001E-3</v>
      </c>
      <c r="E89" s="12">
        <v>0.5</v>
      </c>
      <c r="F89" s="12">
        <v>0.03</v>
      </c>
      <c r="G89" s="12">
        <v>0.25</v>
      </c>
      <c r="H89" s="12">
        <v>-0.36</v>
      </c>
      <c r="I89" s="12">
        <v>-7.0000000000000007E-2</v>
      </c>
      <c r="J89" s="12">
        <v>-0.22500000000000001</v>
      </c>
      <c r="K89" s="22">
        <v>-0.06</v>
      </c>
      <c r="L89" s="12">
        <v>-0.25</v>
      </c>
      <c r="M89" s="12">
        <v>-0.48</v>
      </c>
      <c r="N89" s="12">
        <v>-0.44</v>
      </c>
      <c r="O89" s="12">
        <v>-0.14000000000000001</v>
      </c>
      <c r="P89" s="12">
        <v>0.3</v>
      </c>
      <c r="Q89" s="12">
        <v>-7.0000000000000007E-2</v>
      </c>
    </row>
    <row r="90" spans="2:17" x14ac:dyDescent="0.2">
      <c r="B90" s="13">
        <f t="shared" si="4"/>
        <v>39387</v>
      </c>
      <c r="C90" s="12">
        <v>3.8069999999999999</v>
      </c>
      <c r="D90" s="12">
        <v>2.5000000000000001E-3</v>
      </c>
      <c r="E90" s="12">
        <v>0.49</v>
      </c>
      <c r="F90" s="12">
        <v>0.14000000000000001</v>
      </c>
      <c r="G90" s="12">
        <v>0.24</v>
      </c>
      <c r="H90" s="12">
        <v>-0.2</v>
      </c>
      <c r="I90" s="12">
        <v>-7.0000000000000007E-2</v>
      </c>
      <c r="J90" s="12">
        <v>-0.14499999999999999</v>
      </c>
      <c r="K90" s="22">
        <v>-0.06</v>
      </c>
      <c r="L90" s="12">
        <v>0.248</v>
      </c>
      <c r="M90" s="12">
        <v>-0.47499999999999998</v>
      </c>
      <c r="N90" s="12">
        <v>-0.28000000000000003</v>
      </c>
      <c r="O90" s="12">
        <v>-0.14000000000000001</v>
      </c>
      <c r="P90" s="12">
        <v>0.28999999999999998</v>
      </c>
      <c r="Q90" s="12">
        <v>-7.0000000000000007E-2</v>
      </c>
    </row>
    <row r="91" spans="2:17" x14ac:dyDescent="0.2">
      <c r="B91" s="13">
        <f t="shared" si="4"/>
        <v>39417</v>
      </c>
      <c r="C91" s="12">
        <v>3.9729999999999999</v>
      </c>
      <c r="D91" s="12">
        <v>2.5000000000000001E-3</v>
      </c>
      <c r="E91" s="12">
        <v>0.49</v>
      </c>
      <c r="F91" s="12">
        <v>0.14000000000000001</v>
      </c>
      <c r="G91" s="12">
        <v>0.24</v>
      </c>
      <c r="H91" s="12">
        <v>-0.2</v>
      </c>
      <c r="I91" s="12">
        <v>-7.0000000000000007E-2</v>
      </c>
      <c r="J91" s="12">
        <v>-0.14499999999999999</v>
      </c>
      <c r="K91" s="22">
        <v>-0.06</v>
      </c>
      <c r="L91" s="12">
        <v>0.308</v>
      </c>
      <c r="M91" s="12">
        <v>-0.47499999999999998</v>
      </c>
      <c r="N91" s="12">
        <v>-0.28000000000000003</v>
      </c>
      <c r="O91" s="12">
        <v>-0.14249999999999999</v>
      </c>
      <c r="P91" s="12">
        <v>0.28999999999999998</v>
      </c>
      <c r="Q91" s="12">
        <v>-7.0000000000000007E-2</v>
      </c>
    </row>
    <row r="92" spans="2:17" x14ac:dyDescent="0.2">
      <c r="B92" s="13">
        <f t="shared" si="4"/>
        <v>39448</v>
      </c>
      <c r="C92" s="12">
        <v>4.0495000000000001</v>
      </c>
      <c r="D92" s="12">
        <v>2.5000000000000001E-3</v>
      </c>
      <c r="E92" s="12">
        <v>0.49</v>
      </c>
      <c r="F92" s="12">
        <v>0.14000000000000001</v>
      </c>
      <c r="G92" s="12">
        <v>0.24</v>
      </c>
      <c r="H92" s="12">
        <v>-0.2</v>
      </c>
      <c r="I92" s="12">
        <v>-7.0000000000000007E-2</v>
      </c>
      <c r="J92" s="12">
        <v>-0.14499999999999999</v>
      </c>
      <c r="K92" s="22">
        <v>-0.06</v>
      </c>
      <c r="L92" s="12">
        <v>0.378</v>
      </c>
      <c r="M92" s="12">
        <v>-0.47499999999999998</v>
      </c>
      <c r="N92" s="12">
        <v>-0.28000000000000003</v>
      </c>
      <c r="O92" s="12">
        <v>-0.14499999999999999</v>
      </c>
      <c r="P92" s="12">
        <v>0.28999999999999998</v>
      </c>
      <c r="Q92" s="12">
        <v>-7.0000000000000007E-2</v>
      </c>
    </row>
    <row r="93" spans="2:17" x14ac:dyDescent="0.2">
      <c r="B93" s="13">
        <f t="shared" si="4"/>
        <v>39479</v>
      </c>
      <c r="C93" s="12">
        <v>3.9315000000000002</v>
      </c>
      <c r="D93" s="12">
        <v>2.5000000000000001E-3</v>
      </c>
      <c r="E93" s="12">
        <v>0.49</v>
      </c>
      <c r="F93" s="12">
        <v>0.14000000000000001</v>
      </c>
      <c r="G93" s="12">
        <v>0.24</v>
      </c>
      <c r="H93" s="12">
        <v>-0.2</v>
      </c>
      <c r="I93" s="12">
        <v>-7.0000000000000007E-2</v>
      </c>
      <c r="J93" s="12">
        <v>-0.14499999999999999</v>
      </c>
      <c r="K93" s="22">
        <v>-0.06</v>
      </c>
      <c r="L93" s="12">
        <v>0.248</v>
      </c>
      <c r="M93" s="12">
        <v>-0.47499999999999998</v>
      </c>
      <c r="N93" s="12">
        <v>-0.28000000000000003</v>
      </c>
      <c r="O93" s="12">
        <v>-0.13750000000000001</v>
      </c>
      <c r="P93" s="12">
        <v>0.28999999999999998</v>
      </c>
      <c r="Q93" s="12">
        <v>-7.0000000000000007E-2</v>
      </c>
    </row>
    <row r="94" spans="2:17" x14ac:dyDescent="0.2">
      <c r="B94" s="13">
        <f t="shared" si="4"/>
        <v>39508</v>
      </c>
      <c r="C94" s="12">
        <v>3.7894999999999999</v>
      </c>
      <c r="D94" s="12">
        <v>2.5000000000000001E-3</v>
      </c>
      <c r="E94" s="12">
        <v>0.49</v>
      </c>
      <c r="F94" s="12">
        <v>0.14000000000000001</v>
      </c>
      <c r="G94" s="12">
        <v>0.24</v>
      </c>
      <c r="H94" s="12">
        <v>-0.2</v>
      </c>
      <c r="I94" s="12">
        <v>-7.0000000000000007E-2</v>
      </c>
      <c r="J94" s="12">
        <v>-0.14499999999999999</v>
      </c>
      <c r="K94" s="22">
        <v>-0.06</v>
      </c>
      <c r="L94" s="12">
        <v>6.8000000000000005E-2</v>
      </c>
      <c r="M94" s="12">
        <v>-0.47499999999999998</v>
      </c>
      <c r="N94" s="12">
        <v>-0.28000000000000003</v>
      </c>
      <c r="O94" s="12">
        <v>-0.13500000000000001</v>
      </c>
      <c r="P94" s="12">
        <v>0.28999999999999998</v>
      </c>
      <c r="Q94" s="12">
        <v>-7.0000000000000007E-2</v>
      </c>
    </row>
    <row r="95" spans="2:17" x14ac:dyDescent="0.2">
      <c r="B95" s="13">
        <f t="shared" si="4"/>
        <v>39539</v>
      </c>
      <c r="C95" s="12">
        <v>3.6194999999999999</v>
      </c>
      <c r="D95" s="12">
        <v>2.5000000000000001E-3</v>
      </c>
      <c r="E95" s="12">
        <v>0.5</v>
      </c>
      <c r="F95" s="12">
        <v>0.03</v>
      </c>
      <c r="G95" s="12">
        <v>0.25</v>
      </c>
      <c r="H95" s="12">
        <v>-0.36</v>
      </c>
      <c r="I95" s="12">
        <v>-7.0000000000000007E-2</v>
      </c>
      <c r="J95" s="12">
        <v>-0.22500000000000001</v>
      </c>
      <c r="K95" s="22">
        <v>-0.06</v>
      </c>
      <c r="L95" s="12">
        <v>-0.25</v>
      </c>
      <c r="M95" s="12">
        <v>-0.52</v>
      </c>
      <c r="N95" s="12">
        <v>-0.44</v>
      </c>
      <c r="O95" s="12">
        <v>-0.14000000000000001</v>
      </c>
      <c r="P95" s="12">
        <v>0.3</v>
      </c>
      <c r="Q95" s="12">
        <v>-7.0000000000000007E-2</v>
      </c>
    </row>
    <row r="96" spans="2:17" x14ac:dyDescent="0.2">
      <c r="B96" s="13">
        <f t="shared" si="4"/>
        <v>39569</v>
      </c>
      <c r="C96" s="12">
        <v>3.6145</v>
      </c>
      <c r="D96" s="12">
        <v>2.5000000000000001E-3</v>
      </c>
      <c r="E96" s="12">
        <v>0.5</v>
      </c>
      <c r="F96" s="12">
        <v>0.03</v>
      </c>
      <c r="G96" s="12">
        <v>0.25</v>
      </c>
      <c r="H96" s="12">
        <v>-0.36</v>
      </c>
      <c r="I96" s="12">
        <v>-7.0000000000000007E-2</v>
      </c>
      <c r="J96" s="12">
        <v>-0.22500000000000001</v>
      </c>
      <c r="K96" s="22">
        <v>-0.06</v>
      </c>
      <c r="L96" s="12">
        <v>-0.25</v>
      </c>
      <c r="M96" s="12">
        <v>-0.52</v>
      </c>
      <c r="N96" s="12">
        <v>-0.44</v>
      </c>
      <c r="O96" s="12">
        <v>-0.14000000000000001</v>
      </c>
      <c r="P96" s="12">
        <v>0.3</v>
      </c>
      <c r="Q96" s="12">
        <v>-7.0000000000000007E-2</v>
      </c>
    </row>
    <row r="97" spans="2:17" x14ac:dyDescent="0.2">
      <c r="B97" s="13">
        <f t="shared" si="4"/>
        <v>39600</v>
      </c>
      <c r="C97" s="12">
        <v>3.6465000000000001</v>
      </c>
      <c r="D97" s="12">
        <v>2.5000000000000001E-3</v>
      </c>
      <c r="E97" s="12">
        <v>0.5</v>
      </c>
      <c r="F97" s="12">
        <v>0.03</v>
      </c>
      <c r="G97" s="12">
        <v>0.25</v>
      </c>
      <c r="H97" s="12">
        <v>-0.36</v>
      </c>
      <c r="I97" s="12">
        <v>-7.0000000000000007E-2</v>
      </c>
      <c r="J97" s="12">
        <v>-0.22500000000000001</v>
      </c>
      <c r="K97" s="22">
        <v>-0.06</v>
      </c>
      <c r="L97" s="12">
        <v>-0.25</v>
      </c>
      <c r="M97" s="12">
        <v>-0.52</v>
      </c>
      <c r="N97" s="12">
        <v>-0.44</v>
      </c>
      <c r="O97" s="12">
        <v>-0.14000000000000001</v>
      </c>
      <c r="P97" s="12">
        <v>0.3</v>
      </c>
      <c r="Q97" s="12">
        <v>-7.0000000000000007E-2</v>
      </c>
    </row>
    <row r="98" spans="2:17" x14ac:dyDescent="0.2">
      <c r="B98" s="13">
        <f t="shared" si="4"/>
        <v>39630</v>
      </c>
      <c r="C98" s="12">
        <v>3.6924999999999999</v>
      </c>
      <c r="D98" s="12">
        <v>2.5000000000000001E-3</v>
      </c>
      <c r="E98" s="12">
        <v>0.5</v>
      </c>
      <c r="F98" s="12">
        <v>0.03</v>
      </c>
      <c r="G98" s="12">
        <v>0.25</v>
      </c>
      <c r="H98" s="12">
        <v>-0.36</v>
      </c>
      <c r="I98" s="12">
        <v>-7.0000000000000007E-2</v>
      </c>
      <c r="J98" s="12">
        <v>-0.22500000000000001</v>
      </c>
      <c r="K98" s="22">
        <v>-0.06</v>
      </c>
      <c r="L98" s="12">
        <v>-0.25</v>
      </c>
      <c r="M98" s="12">
        <v>-0.52</v>
      </c>
      <c r="N98" s="12">
        <v>-0.44</v>
      </c>
      <c r="O98" s="12">
        <v>-0.14000000000000001</v>
      </c>
      <c r="P98" s="12">
        <v>0.3</v>
      </c>
      <c r="Q98" s="12">
        <v>-7.0000000000000007E-2</v>
      </c>
    </row>
    <row r="99" spans="2:17" x14ac:dyDescent="0.2">
      <c r="B99" s="13">
        <f t="shared" si="4"/>
        <v>39661</v>
      </c>
      <c r="C99" s="12">
        <v>3.7254999999999998</v>
      </c>
      <c r="D99" s="12">
        <v>2.5000000000000001E-3</v>
      </c>
      <c r="E99" s="12">
        <v>0.5</v>
      </c>
      <c r="F99" s="12">
        <v>0.03</v>
      </c>
      <c r="G99" s="12">
        <v>0.25</v>
      </c>
      <c r="H99" s="12">
        <v>-0.36</v>
      </c>
      <c r="I99" s="12">
        <v>-7.0000000000000007E-2</v>
      </c>
      <c r="J99" s="12">
        <v>-0.22500000000000001</v>
      </c>
      <c r="K99" s="22">
        <v>-0.06</v>
      </c>
      <c r="L99" s="12">
        <v>-0.25</v>
      </c>
      <c r="M99" s="12">
        <v>-0.52</v>
      </c>
      <c r="N99" s="12">
        <v>-0.44</v>
      </c>
      <c r="O99" s="12">
        <v>-0.14000000000000001</v>
      </c>
      <c r="P99" s="12">
        <v>0.3</v>
      </c>
      <c r="Q99" s="12">
        <v>-7.0000000000000007E-2</v>
      </c>
    </row>
    <row r="100" spans="2:17" x14ac:dyDescent="0.2">
      <c r="B100" s="13">
        <f t="shared" si="4"/>
        <v>39692</v>
      </c>
      <c r="C100" s="12">
        <v>3.7254999999999998</v>
      </c>
      <c r="D100" s="12">
        <v>2.5000000000000001E-3</v>
      </c>
      <c r="E100" s="12">
        <v>0.5</v>
      </c>
      <c r="F100" s="12">
        <v>0.03</v>
      </c>
      <c r="G100" s="12">
        <v>0.25</v>
      </c>
      <c r="H100" s="12">
        <v>-0.36</v>
      </c>
      <c r="I100" s="12">
        <v>-7.0000000000000007E-2</v>
      </c>
      <c r="J100" s="12">
        <v>-0.22500000000000001</v>
      </c>
      <c r="K100" s="22">
        <v>-0.06</v>
      </c>
      <c r="L100" s="12">
        <v>-0.25</v>
      </c>
      <c r="M100" s="12">
        <v>-0.52</v>
      </c>
      <c r="N100" s="12">
        <v>-0.44</v>
      </c>
      <c r="O100" s="12">
        <v>-0.14000000000000001</v>
      </c>
      <c r="P100" s="12">
        <v>0.3</v>
      </c>
      <c r="Q100" s="12">
        <v>-7.0000000000000007E-2</v>
      </c>
    </row>
    <row r="101" spans="2:17" x14ac:dyDescent="0.2">
      <c r="B101" s="13">
        <f t="shared" si="4"/>
        <v>39722</v>
      </c>
      <c r="C101" s="12">
        <v>3.7305000000000001</v>
      </c>
      <c r="D101" s="12">
        <v>2.5000000000000001E-3</v>
      </c>
      <c r="E101" s="12">
        <v>0.5</v>
      </c>
      <c r="F101" s="12">
        <v>0.03</v>
      </c>
      <c r="G101" s="12">
        <v>0.25</v>
      </c>
      <c r="H101" s="12">
        <v>-0.36</v>
      </c>
      <c r="I101" s="12">
        <v>-7.0000000000000007E-2</v>
      </c>
      <c r="J101" s="12">
        <v>-0.22500000000000001</v>
      </c>
      <c r="K101" s="22">
        <v>-0.06</v>
      </c>
      <c r="L101" s="12">
        <v>-0.25</v>
      </c>
      <c r="M101" s="12">
        <v>-0.52</v>
      </c>
      <c r="N101" s="12">
        <v>-0.44</v>
      </c>
      <c r="O101" s="12">
        <v>-0.14000000000000001</v>
      </c>
      <c r="P101" s="12">
        <v>0.3</v>
      </c>
      <c r="Q101" s="12">
        <v>-7.0000000000000007E-2</v>
      </c>
    </row>
    <row r="102" spans="2:17" x14ac:dyDescent="0.2">
      <c r="B102" s="13">
        <f t="shared" si="4"/>
        <v>39753</v>
      </c>
      <c r="C102" s="12">
        <v>3.9045000000000001</v>
      </c>
      <c r="D102" s="12">
        <v>2.5000000000000001E-3</v>
      </c>
      <c r="E102" s="12">
        <v>0.52</v>
      </c>
      <c r="F102" s="12">
        <v>0</v>
      </c>
      <c r="G102" s="12">
        <v>0.24</v>
      </c>
      <c r="H102" s="12">
        <v>-0.2</v>
      </c>
      <c r="I102" s="12">
        <v>-7.0000000000000007E-2</v>
      </c>
      <c r="J102" s="12">
        <v>-0.14499999999999999</v>
      </c>
      <c r="K102" s="22">
        <v>-0.06</v>
      </c>
      <c r="L102" s="12">
        <v>0.248</v>
      </c>
      <c r="M102" s="12">
        <v>-0.48</v>
      </c>
      <c r="N102" s="12">
        <v>-0.28000000000000003</v>
      </c>
      <c r="O102" s="12">
        <v>-0.14000000000000001</v>
      </c>
      <c r="P102" s="12">
        <v>0.32</v>
      </c>
      <c r="Q102" s="12">
        <v>-7.0000000000000007E-2</v>
      </c>
    </row>
    <row r="103" spans="2:17" x14ac:dyDescent="0.2">
      <c r="B103" s="13">
        <f t="shared" si="4"/>
        <v>39783</v>
      </c>
      <c r="C103" s="12">
        <v>4.0705</v>
      </c>
      <c r="D103" s="12">
        <v>2.5000000000000001E-3</v>
      </c>
      <c r="E103" s="12">
        <v>0.52</v>
      </c>
      <c r="F103" s="12">
        <v>0</v>
      </c>
      <c r="G103" s="12">
        <v>0.24</v>
      </c>
      <c r="H103" s="12">
        <v>-0.2</v>
      </c>
      <c r="I103" s="12">
        <v>-7.0000000000000007E-2</v>
      </c>
      <c r="J103" s="12">
        <v>-0.14499999999999999</v>
      </c>
      <c r="K103" s="22">
        <v>-0.06</v>
      </c>
      <c r="L103" s="12">
        <v>0.308</v>
      </c>
      <c r="M103" s="12">
        <v>-0.48</v>
      </c>
      <c r="N103" s="12">
        <v>-0.28000000000000003</v>
      </c>
      <c r="O103" s="12">
        <v>-0.14249999999999999</v>
      </c>
      <c r="P103" s="12">
        <v>0.32</v>
      </c>
      <c r="Q103" s="12">
        <v>-7.0000000000000007E-2</v>
      </c>
    </row>
    <row r="104" spans="2:17" x14ac:dyDescent="0.2">
      <c r="B104" s="13">
        <f t="shared" si="4"/>
        <v>39814</v>
      </c>
      <c r="C104" s="12">
        <v>4.1494999999999997</v>
      </c>
      <c r="D104" s="12">
        <v>2.5000000000000001E-3</v>
      </c>
      <c r="E104" s="12">
        <v>0.52</v>
      </c>
      <c r="F104" s="12">
        <v>0</v>
      </c>
      <c r="G104" s="12">
        <v>0.24</v>
      </c>
      <c r="H104" s="12">
        <v>-0.2</v>
      </c>
      <c r="I104" s="12">
        <v>-7.0000000000000007E-2</v>
      </c>
      <c r="J104" s="12">
        <v>-0.14499999999999999</v>
      </c>
      <c r="K104" s="22">
        <v>-0.06</v>
      </c>
      <c r="L104" s="12">
        <v>0.378</v>
      </c>
      <c r="M104" s="12">
        <v>-0.48</v>
      </c>
      <c r="N104" s="12">
        <v>-0.28000000000000003</v>
      </c>
      <c r="O104" s="12">
        <v>-0.14499999999999999</v>
      </c>
      <c r="P104" s="12">
        <v>0.32</v>
      </c>
      <c r="Q104" s="12">
        <v>-7.0000000000000007E-2</v>
      </c>
    </row>
    <row r="105" spans="2:17" x14ac:dyDescent="0.2">
      <c r="B105" s="13">
        <f t="shared" si="4"/>
        <v>39845</v>
      </c>
      <c r="C105" s="12">
        <v>4.0315000000000003</v>
      </c>
      <c r="D105" s="12">
        <v>2.5000000000000001E-3</v>
      </c>
      <c r="E105" s="12">
        <v>0.52</v>
      </c>
      <c r="F105" s="12">
        <v>0</v>
      </c>
      <c r="G105" s="12">
        <v>0.24</v>
      </c>
      <c r="H105" s="12">
        <v>-0.2</v>
      </c>
      <c r="I105" s="12">
        <v>-7.0000000000000007E-2</v>
      </c>
      <c r="J105" s="12">
        <v>-0.14499999999999999</v>
      </c>
      <c r="K105" s="22">
        <v>-0.06</v>
      </c>
      <c r="L105" s="12">
        <v>0.248</v>
      </c>
      <c r="M105" s="12">
        <v>-0.48</v>
      </c>
      <c r="N105" s="12">
        <v>-0.28000000000000003</v>
      </c>
      <c r="O105" s="12">
        <v>-0.13750000000000001</v>
      </c>
      <c r="P105" s="12">
        <v>0.32</v>
      </c>
      <c r="Q105" s="12">
        <v>-7.0000000000000007E-2</v>
      </c>
    </row>
    <row r="106" spans="2:17" x14ac:dyDescent="0.2">
      <c r="B106" s="13">
        <f t="shared" si="4"/>
        <v>39873</v>
      </c>
      <c r="C106" s="12">
        <v>3.8895</v>
      </c>
      <c r="D106" s="12">
        <v>2.5000000000000001E-3</v>
      </c>
      <c r="E106" s="12">
        <v>0.52</v>
      </c>
      <c r="F106" s="12">
        <v>0</v>
      </c>
      <c r="G106" s="12">
        <v>0.24</v>
      </c>
      <c r="H106" s="12">
        <v>-0.2</v>
      </c>
      <c r="I106" s="12">
        <v>-7.0000000000000007E-2</v>
      </c>
      <c r="J106" s="12">
        <v>-0.14499999999999999</v>
      </c>
      <c r="K106" s="22">
        <v>-0.06</v>
      </c>
      <c r="L106" s="12">
        <v>6.8000000000000005E-2</v>
      </c>
      <c r="M106" s="12">
        <v>-0.48</v>
      </c>
      <c r="N106" s="12">
        <v>-0.28000000000000003</v>
      </c>
      <c r="O106" s="12">
        <v>-0.13500000000000001</v>
      </c>
      <c r="P106" s="12">
        <v>0.32</v>
      </c>
      <c r="Q106" s="12">
        <v>-7.0000000000000007E-2</v>
      </c>
    </row>
    <row r="107" spans="2:17" x14ac:dyDescent="0.2">
      <c r="B107" s="13">
        <f t="shared" si="4"/>
        <v>39904</v>
      </c>
      <c r="C107" s="12">
        <v>3.7195</v>
      </c>
      <c r="D107" s="12">
        <v>2.5000000000000001E-3</v>
      </c>
      <c r="E107" s="12">
        <v>0.53</v>
      </c>
      <c r="F107" s="12">
        <v>0</v>
      </c>
      <c r="G107" s="12">
        <v>0.25</v>
      </c>
      <c r="H107" s="12">
        <v>-0.35</v>
      </c>
      <c r="I107" s="12">
        <v>-7.0000000000000007E-2</v>
      </c>
      <c r="J107" s="12">
        <v>-0.22500000000000001</v>
      </c>
      <c r="K107" s="22">
        <v>-0.06</v>
      </c>
      <c r="L107" s="12">
        <v>-0.25</v>
      </c>
      <c r="M107" s="12">
        <v>-0.59499999999999997</v>
      </c>
      <c r="N107" s="12">
        <v>-0.43</v>
      </c>
      <c r="O107" s="12">
        <v>-0.14000000000000001</v>
      </c>
      <c r="P107" s="12">
        <v>0.33</v>
      </c>
      <c r="Q107" s="12">
        <v>-7.0000000000000007E-2</v>
      </c>
    </row>
    <row r="108" spans="2:17" x14ac:dyDescent="0.2">
      <c r="C108" s="12">
        <v>3.7145000000000001</v>
      </c>
      <c r="D108" s="12">
        <v>2.5000000000000001E-3</v>
      </c>
      <c r="E108" s="12">
        <v>0.53</v>
      </c>
      <c r="F108" s="12">
        <v>0</v>
      </c>
      <c r="G108" s="12">
        <v>0.25</v>
      </c>
      <c r="H108" s="12">
        <v>-0.35</v>
      </c>
      <c r="I108" s="12">
        <v>-7.0000000000000007E-2</v>
      </c>
      <c r="J108" s="12">
        <v>-0.22500000000000001</v>
      </c>
      <c r="K108" s="22">
        <v>-0.06</v>
      </c>
      <c r="L108" s="12">
        <v>-0.25</v>
      </c>
      <c r="M108" s="12">
        <v>-0.59499999999999997</v>
      </c>
      <c r="N108" s="12">
        <v>-0.43</v>
      </c>
      <c r="O108" s="12">
        <v>-0.14000000000000001</v>
      </c>
      <c r="P108" s="12">
        <v>0.33</v>
      </c>
      <c r="Q108" s="12">
        <v>-7.0000000000000007E-2</v>
      </c>
    </row>
    <row r="109" spans="2:17" x14ac:dyDescent="0.2">
      <c r="C109" s="12">
        <v>3.7465000000000002</v>
      </c>
      <c r="D109" s="12">
        <v>2.5000000000000001E-3</v>
      </c>
      <c r="E109" s="12">
        <v>0.53</v>
      </c>
      <c r="F109" s="12">
        <v>0</v>
      </c>
      <c r="G109" s="12">
        <v>0.25</v>
      </c>
      <c r="H109" s="12">
        <v>-0.35</v>
      </c>
      <c r="I109" s="12">
        <v>-7.0000000000000007E-2</v>
      </c>
      <c r="J109" s="12">
        <v>-0.22500000000000001</v>
      </c>
      <c r="K109" s="22">
        <v>-0.06</v>
      </c>
      <c r="L109" s="12">
        <v>-0.25</v>
      </c>
      <c r="M109" s="12">
        <v>-0.59499999999999997</v>
      </c>
      <c r="N109" s="12">
        <v>-0.43</v>
      </c>
      <c r="O109" s="12">
        <v>-0.14000000000000001</v>
      </c>
      <c r="P109" s="12">
        <v>0.33</v>
      </c>
      <c r="Q109" s="12">
        <v>-7.0000000000000007E-2</v>
      </c>
    </row>
    <row r="110" spans="2:17" x14ac:dyDescent="0.2">
      <c r="C110" s="12">
        <v>3.7925</v>
      </c>
      <c r="D110" s="12">
        <v>2.5000000000000001E-3</v>
      </c>
      <c r="E110" s="12">
        <v>0.53</v>
      </c>
      <c r="F110" s="12">
        <v>0</v>
      </c>
      <c r="G110" s="12">
        <v>0.25</v>
      </c>
      <c r="H110" s="12">
        <v>-0.35</v>
      </c>
      <c r="I110" s="12">
        <v>-7.0000000000000007E-2</v>
      </c>
      <c r="J110" s="12">
        <v>-0.22500000000000001</v>
      </c>
      <c r="K110" s="22">
        <v>-0.06</v>
      </c>
      <c r="L110" s="12">
        <v>-0.25</v>
      </c>
      <c r="M110" s="12">
        <v>-0.59499999999999997</v>
      </c>
      <c r="N110" s="12">
        <v>-0.43</v>
      </c>
      <c r="O110" s="12">
        <v>-0.14000000000000001</v>
      </c>
      <c r="P110" s="12">
        <v>0.33</v>
      </c>
      <c r="Q110" s="12">
        <v>-7.0000000000000007E-2</v>
      </c>
    </row>
    <row r="111" spans="2:17" x14ac:dyDescent="0.2">
      <c r="C111" s="12">
        <v>3.8254999999999999</v>
      </c>
      <c r="D111" s="12">
        <v>2.5000000000000001E-3</v>
      </c>
      <c r="E111" s="12">
        <v>0.53</v>
      </c>
      <c r="F111" s="12">
        <v>0</v>
      </c>
      <c r="G111" s="12">
        <v>0.25</v>
      </c>
      <c r="H111" s="12">
        <v>-0.35</v>
      </c>
      <c r="I111" s="12">
        <v>-7.0000000000000007E-2</v>
      </c>
      <c r="J111" s="12">
        <v>-0.22500000000000001</v>
      </c>
      <c r="K111" s="22">
        <v>-0.06</v>
      </c>
      <c r="L111" s="12">
        <v>-0.25</v>
      </c>
      <c r="M111" s="12">
        <v>-0.59499999999999997</v>
      </c>
      <c r="N111" s="12">
        <v>-0.43</v>
      </c>
      <c r="O111" s="12">
        <v>-0.14000000000000001</v>
      </c>
      <c r="P111" s="12">
        <v>0.33</v>
      </c>
      <c r="Q111" s="12">
        <v>-7.0000000000000007E-2</v>
      </c>
    </row>
    <row r="112" spans="2:17" x14ac:dyDescent="0.2">
      <c r="C112" s="12">
        <v>3.8254999999999999</v>
      </c>
      <c r="D112" s="12">
        <v>2.5000000000000001E-3</v>
      </c>
      <c r="E112" s="12">
        <v>0.53</v>
      </c>
      <c r="F112" s="12">
        <v>0</v>
      </c>
      <c r="G112" s="12">
        <v>0.25</v>
      </c>
      <c r="H112" s="12">
        <v>-0.35</v>
      </c>
      <c r="I112" s="12">
        <v>-7.0000000000000007E-2</v>
      </c>
      <c r="J112" s="12">
        <v>-0.22500000000000001</v>
      </c>
      <c r="K112" s="22">
        <v>-0.06</v>
      </c>
      <c r="L112" s="12">
        <v>-0.25</v>
      </c>
      <c r="M112" s="12">
        <v>-0.59499999999999997</v>
      </c>
      <c r="N112" s="12">
        <v>-0.43</v>
      </c>
      <c r="O112" s="12">
        <v>-0.14000000000000001</v>
      </c>
      <c r="P112" s="12">
        <v>0.33</v>
      </c>
      <c r="Q112" s="12">
        <v>-7.0000000000000007E-2</v>
      </c>
    </row>
    <row r="113" spans="3:17" x14ac:dyDescent="0.2">
      <c r="C113" s="12">
        <v>3.8304999999999998</v>
      </c>
      <c r="D113" s="12">
        <v>2.5000000000000001E-3</v>
      </c>
      <c r="E113" s="12">
        <v>0.53</v>
      </c>
      <c r="F113" s="12">
        <v>0</v>
      </c>
      <c r="G113" s="12">
        <v>0.25</v>
      </c>
      <c r="H113" s="12">
        <v>-0.35</v>
      </c>
      <c r="I113" s="12">
        <v>-7.0000000000000007E-2</v>
      </c>
      <c r="J113" s="12">
        <v>-0.22500000000000001</v>
      </c>
      <c r="K113" s="22">
        <v>-0.06</v>
      </c>
      <c r="L113" s="12">
        <v>-0.25</v>
      </c>
      <c r="M113" s="12">
        <v>-0.59499999999999997</v>
      </c>
      <c r="N113" s="12">
        <v>-0.43</v>
      </c>
      <c r="O113" s="12">
        <v>-0.14000000000000001</v>
      </c>
      <c r="P113" s="12">
        <v>0.33</v>
      </c>
      <c r="Q113" s="12">
        <v>-7.0000000000000007E-2</v>
      </c>
    </row>
    <row r="114" spans="3:17" x14ac:dyDescent="0.2">
      <c r="C114" s="12">
        <v>4.0045000000000002</v>
      </c>
      <c r="D114" s="12">
        <v>2.5000000000000001E-3</v>
      </c>
      <c r="E114" s="12">
        <v>0.52</v>
      </c>
      <c r="F114" s="12">
        <v>0</v>
      </c>
      <c r="G114" s="12">
        <v>0.24</v>
      </c>
      <c r="H114" s="12">
        <v>-0.2</v>
      </c>
      <c r="I114" s="12">
        <v>-7.0000000000000007E-2</v>
      </c>
      <c r="J114" s="12">
        <v>-0.14499999999999999</v>
      </c>
      <c r="K114" s="22">
        <v>-0.06</v>
      </c>
      <c r="L114" s="12">
        <v>0.248</v>
      </c>
      <c r="M114" s="12">
        <v>-0.48</v>
      </c>
      <c r="N114" s="12">
        <v>-0.28000000000000003</v>
      </c>
      <c r="O114" s="12">
        <v>-0.14000000000000001</v>
      </c>
      <c r="P114" s="12">
        <v>0.32</v>
      </c>
      <c r="Q114" s="12">
        <v>-7.0000000000000007E-2</v>
      </c>
    </row>
    <row r="115" spans="3:17" x14ac:dyDescent="0.2">
      <c r="C115" s="12">
        <v>4.1704999999999997</v>
      </c>
      <c r="D115" s="12">
        <v>2.5000000000000001E-3</v>
      </c>
      <c r="E115" s="12">
        <v>0.52</v>
      </c>
      <c r="F115" s="12">
        <v>0</v>
      </c>
      <c r="G115" s="12">
        <v>0.24</v>
      </c>
      <c r="H115" s="12">
        <v>-0.2</v>
      </c>
      <c r="I115" s="12">
        <v>-7.0000000000000007E-2</v>
      </c>
      <c r="J115" s="12">
        <v>-0.14499999999999999</v>
      </c>
      <c r="K115" s="22">
        <v>-0.06</v>
      </c>
      <c r="L115" s="12">
        <v>0.308</v>
      </c>
      <c r="M115" s="12">
        <v>-0.48</v>
      </c>
      <c r="N115" s="12">
        <v>-0.28000000000000003</v>
      </c>
      <c r="O115" s="12">
        <v>-0.14249999999999999</v>
      </c>
      <c r="P115" s="12">
        <v>0.32</v>
      </c>
      <c r="Q115" s="12">
        <v>-7.0000000000000007E-2</v>
      </c>
    </row>
    <row r="116" spans="3:17" x14ac:dyDescent="0.2">
      <c r="C116" s="12">
        <v>4.2519999999999998</v>
      </c>
      <c r="D116" s="12">
        <v>2.5000000000000001E-3</v>
      </c>
      <c r="E116" s="12">
        <v>0.52</v>
      </c>
      <c r="F116" s="12">
        <v>0</v>
      </c>
      <c r="G116" s="12">
        <v>0.24</v>
      </c>
      <c r="H116" s="12">
        <v>-0.2</v>
      </c>
      <c r="I116" s="12">
        <v>-7.0000000000000007E-2</v>
      </c>
      <c r="J116" s="12">
        <v>-0.14499999999999999</v>
      </c>
      <c r="K116" s="22">
        <v>-0.06</v>
      </c>
      <c r="L116" s="12">
        <v>0.378</v>
      </c>
      <c r="M116" s="12">
        <v>-0.48</v>
      </c>
      <c r="N116" s="12">
        <v>-0.28000000000000003</v>
      </c>
      <c r="O116" s="12">
        <v>-0.14499999999999999</v>
      </c>
      <c r="P116" s="12">
        <v>0.32</v>
      </c>
      <c r="Q116" s="12">
        <v>-7.0000000000000007E-2</v>
      </c>
    </row>
    <row r="117" spans="3:17" x14ac:dyDescent="0.2">
      <c r="C117" s="12">
        <v>4.1340000000000003</v>
      </c>
      <c r="D117" s="12">
        <v>2.5000000000000001E-3</v>
      </c>
      <c r="E117" s="12">
        <v>0.52</v>
      </c>
      <c r="F117" s="12">
        <v>0</v>
      </c>
      <c r="G117" s="12">
        <v>0.24</v>
      </c>
      <c r="H117" s="12">
        <v>-0.2</v>
      </c>
      <c r="I117" s="12">
        <v>-7.0000000000000007E-2</v>
      </c>
      <c r="J117" s="12">
        <v>-0.14499999999999999</v>
      </c>
      <c r="K117" s="22">
        <v>-0.06</v>
      </c>
      <c r="L117" s="12">
        <v>0.248</v>
      </c>
      <c r="M117" s="12">
        <v>-0.48</v>
      </c>
      <c r="N117" s="12">
        <v>-0.28000000000000003</v>
      </c>
      <c r="O117" s="12">
        <v>-0.13750000000000001</v>
      </c>
      <c r="P117" s="12">
        <v>0.32</v>
      </c>
      <c r="Q117" s="12">
        <v>-7.0000000000000007E-2</v>
      </c>
    </row>
    <row r="118" spans="3:17" x14ac:dyDescent="0.2">
      <c r="C118" s="12">
        <v>3.992</v>
      </c>
      <c r="D118" s="12">
        <v>2.5000000000000001E-3</v>
      </c>
      <c r="E118" s="12">
        <v>0.52</v>
      </c>
      <c r="F118" s="12">
        <v>0</v>
      </c>
      <c r="G118" s="12">
        <v>0.24</v>
      </c>
      <c r="H118" s="12">
        <v>-0.2</v>
      </c>
      <c r="I118" s="12">
        <v>-7.0000000000000007E-2</v>
      </c>
      <c r="J118" s="12">
        <v>-0.14499999999999999</v>
      </c>
      <c r="K118" s="22">
        <v>-0.06</v>
      </c>
      <c r="L118" s="12">
        <v>6.8000000000000005E-2</v>
      </c>
      <c r="M118" s="12">
        <v>-0.48</v>
      </c>
      <c r="N118" s="12">
        <v>-0.28000000000000003</v>
      </c>
      <c r="O118" s="12">
        <v>-0.13500000000000001</v>
      </c>
      <c r="P118" s="12">
        <v>0.32</v>
      </c>
      <c r="Q118" s="12">
        <v>-7.0000000000000007E-2</v>
      </c>
    </row>
    <row r="119" spans="3:17" x14ac:dyDescent="0.2">
      <c r="C119" s="12">
        <v>3.8220000000000001</v>
      </c>
      <c r="D119" s="12">
        <v>2.5000000000000001E-3</v>
      </c>
      <c r="E119" s="12">
        <v>0.53</v>
      </c>
      <c r="F119" s="12">
        <v>0</v>
      </c>
      <c r="G119" s="12">
        <v>0.25</v>
      </c>
      <c r="H119" s="12">
        <v>-0.32</v>
      </c>
      <c r="I119" s="12">
        <v>-7.0000000000000007E-2</v>
      </c>
      <c r="J119" s="12">
        <v>-0.22500000000000001</v>
      </c>
      <c r="K119" s="22">
        <v>-0.06</v>
      </c>
      <c r="L119" s="12">
        <v>-0.25</v>
      </c>
      <c r="M119" s="12">
        <v>-0.60499999999999998</v>
      </c>
      <c r="N119" s="12">
        <v>-0.4</v>
      </c>
      <c r="O119" s="12">
        <v>-0.14000000000000001</v>
      </c>
      <c r="P119" s="12">
        <v>0.33</v>
      </c>
      <c r="Q119" s="12">
        <v>-7.0000000000000007E-2</v>
      </c>
    </row>
    <row r="120" spans="3:17" x14ac:dyDescent="0.2">
      <c r="C120" s="12">
        <v>3.8170000000000002</v>
      </c>
      <c r="D120" s="12">
        <v>2.5000000000000001E-3</v>
      </c>
      <c r="E120" s="12">
        <v>0.53</v>
      </c>
      <c r="F120" s="12">
        <v>0</v>
      </c>
      <c r="G120" s="12">
        <v>0.25</v>
      </c>
      <c r="H120" s="12">
        <v>-0.32</v>
      </c>
      <c r="I120" s="12">
        <v>-7.0000000000000007E-2</v>
      </c>
      <c r="J120" s="12">
        <v>-0.22500000000000001</v>
      </c>
      <c r="K120" s="22">
        <v>-0.06</v>
      </c>
      <c r="L120" s="12">
        <v>-0.25</v>
      </c>
      <c r="M120" s="12">
        <v>-0.60499999999999998</v>
      </c>
      <c r="N120" s="12">
        <v>-0.4</v>
      </c>
      <c r="O120" s="12">
        <v>-0.14000000000000001</v>
      </c>
      <c r="P120" s="12">
        <v>0.33</v>
      </c>
      <c r="Q120" s="12">
        <v>-7.0000000000000007E-2</v>
      </c>
    </row>
    <row r="121" spans="3:17" x14ac:dyDescent="0.2">
      <c r="C121" s="12">
        <v>3.8490000000000002</v>
      </c>
      <c r="D121" s="12">
        <v>2.5000000000000001E-3</v>
      </c>
      <c r="E121" s="12">
        <v>0.53</v>
      </c>
      <c r="F121" s="12">
        <v>0</v>
      </c>
      <c r="G121" s="12">
        <v>0.25</v>
      </c>
      <c r="H121" s="12">
        <v>-0.32</v>
      </c>
      <c r="I121" s="12">
        <v>-7.0000000000000007E-2</v>
      </c>
      <c r="J121" s="12">
        <v>-0.22500000000000001</v>
      </c>
      <c r="K121" s="22">
        <v>-0.06</v>
      </c>
      <c r="L121" s="12">
        <v>-0.25</v>
      </c>
      <c r="M121" s="12">
        <v>-0.60499999999999998</v>
      </c>
      <c r="N121" s="12">
        <v>-0.4</v>
      </c>
      <c r="O121" s="12">
        <v>-0.14000000000000001</v>
      </c>
      <c r="P121" s="12">
        <v>0.33</v>
      </c>
      <c r="Q121" s="12">
        <v>-7.0000000000000007E-2</v>
      </c>
    </row>
    <row r="122" spans="3:17" x14ac:dyDescent="0.2">
      <c r="C122" s="12">
        <v>3.895</v>
      </c>
      <c r="D122" s="12">
        <v>2.5000000000000001E-3</v>
      </c>
      <c r="E122" s="12">
        <v>0.53</v>
      </c>
      <c r="F122" s="12">
        <v>0</v>
      </c>
      <c r="G122" s="12">
        <v>0.25</v>
      </c>
      <c r="H122" s="12">
        <v>-0.32</v>
      </c>
      <c r="I122" s="12">
        <v>-7.0000000000000007E-2</v>
      </c>
      <c r="J122" s="12">
        <v>-0.22500000000000001</v>
      </c>
      <c r="K122" s="22">
        <v>-0.06</v>
      </c>
      <c r="L122" s="12">
        <v>-0.25</v>
      </c>
      <c r="M122" s="12">
        <v>-0.60499999999999998</v>
      </c>
      <c r="N122" s="12">
        <v>-0.4</v>
      </c>
      <c r="O122" s="12">
        <v>-0.14000000000000001</v>
      </c>
      <c r="P122" s="12">
        <v>0.33</v>
      </c>
      <c r="Q122" s="12">
        <v>-7.0000000000000007E-2</v>
      </c>
    </row>
    <row r="123" spans="3:17" x14ac:dyDescent="0.2">
      <c r="C123" s="12">
        <v>3.9279999999999999</v>
      </c>
      <c r="D123" s="12">
        <v>2.5000000000000001E-3</v>
      </c>
      <c r="E123" s="12">
        <v>0.53</v>
      </c>
      <c r="F123" s="12">
        <v>0</v>
      </c>
      <c r="G123" s="12">
        <v>0.25</v>
      </c>
      <c r="H123" s="12">
        <v>-0.32</v>
      </c>
      <c r="I123" s="12">
        <v>-7.0000000000000007E-2</v>
      </c>
      <c r="J123" s="12">
        <v>-0.22500000000000001</v>
      </c>
      <c r="K123" s="22">
        <v>-0.06</v>
      </c>
      <c r="L123" s="12">
        <v>-0.25</v>
      </c>
      <c r="M123" s="12">
        <v>-0.60499999999999998</v>
      </c>
      <c r="N123" s="12">
        <v>-0.4</v>
      </c>
      <c r="O123" s="12">
        <v>-0.14000000000000001</v>
      </c>
      <c r="P123" s="12">
        <v>0.33</v>
      </c>
      <c r="Q123" s="12">
        <v>-7.0000000000000007E-2</v>
      </c>
    </row>
    <row r="124" spans="3:17" x14ac:dyDescent="0.2">
      <c r="C124" s="12">
        <v>3.9279999999999999</v>
      </c>
      <c r="D124" s="12">
        <v>2.5000000000000001E-3</v>
      </c>
      <c r="E124" s="12">
        <v>0.53</v>
      </c>
      <c r="F124" s="12">
        <v>0</v>
      </c>
      <c r="G124" s="12">
        <v>0.25</v>
      </c>
      <c r="H124" s="12">
        <v>-0.32</v>
      </c>
      <c r="I124" s="12">
        <v>-7.0000000000000007E-2</v>
      </c>
      <c r="J124" s="12">
        <v>-0.22500000000000001</v>
      </c>
      <c r="K124" s="22">
        <v>-0.06</v>
      </c>
      <c r="L124" s="12">
        <v>-0.25</v>
      </c>
      <c r="M124" s="12">
        <v>-0.60499999999999998</v>
      </c>
      <c r="N124" s="12">
        <v>-0.4</v>
      </c>
      <c r="O124" s="12">
        <v>-0.14000000000000001</v>
      </c>
      <c r="P124" s="12">
        <v>0.33</v>
      </c>
      <c r="Q124" s="12">
        <v>-7.0000000000000007E-2</v>
      </c>
    </row>
    <row r="125" spans="3:17" x14ac:dyDescent="0.2">
      <c r="C125" s="12">
        <v>3.9329999999999998</v>
      </c>
      <c r="D125" s="12">
        <v>2.5000000000000001E-3</v>
      </c>
      <c r="E125" s="12">
        <v>0.53</v>
      </c>
      <c r="F125" s="12">
        <v>0</v>
      </c>
      <c r="G125" s="12">
        <v>0.25</v>
      </c>
      <c r="H125" s="12">
        <v>-0.32</v>
      </c>
      <c r="I125" s="12">
        <v>-7.0000000000000007E-2</v>
      </c>
      <c r="J125" s="12">
        <v>-0.22500000000000001</v>
      </c>
      <c r="K125" s="22">
        <v>-0.06</v>
      </c>
      <c r="L125" s="12">
        <v>-0.25</v>
      </c>
      <c r="M125" s="12">
        <v>-0.60499999999999998</v>
      </c>
      <c r="N125" s="12">
        <v>-0.4</v>
      </c>
      <c r="O125" s="12">
        <v>-0.14000000000000001</v>
      </c>
      <c r="P125" s="12">
        <v>0.33</v>
      </c>
      <c r="Q125" s="12">
        <v>-7.0000000000000007E-2</v>
      </c>
    </row>
    <row r="126" spans="3:17" x14ac:dyDescent="0.2">
      <c r="C126" s="12">
        <v>4.1070000000000002</v>
      </c>
      <c r="D126" s="12">
        <v>2.5000000000000001E-3</v>
      </c>
      <c r="E126" s="12">
        <v>0.63</v>
      </c>
      <c r="F126" s="12">
        <v>0</v>
      </c>
      <c r="G126" s="12">
        <v>0.35</v>
      </c>
      <c r="H126" s="12">
        <v>-0.2</v>
      </c>
      <c r="I126" s="12">
        <v>-7.0000000000000007E-2</v>
      </c>
      <c r="J126" s="12">
        <v>-0.14499999999999999</v>
      </c>
      <c r="K126" s="22">
        <v>-0.06</v>
      </c>
      <c r="L126" s="12">
        <v>0.248</v>
      </c>
      <c r="M126" s="12">
        <v>-0.57499999999999996</v>
      </c>
      <c r="N126" s="12">
        <v>-0.28000000000000003</v>
      </c>
      <c r="O126" s="12">
        <v>-0.14000000000000001</v>
      </c>
      <c r="P126" s="12">
        <v>0.43</v>
      </c>
      <c r="Q126" s="12">
        <v>-7.0000000000000007E-2</v>
      </c>
    </row>
    <row r="127" spans="3:17" x14ac:dyDescent="0.2">
      <c r="C127" s="12">
        <v>4.2729999999999997</v>
      </c>
      <c r="D127" s="12">
        <v>2.5000000000000001E-3</v>
      </c>
      <c r="E127" s="12">
        <v>0.63</v>
      </c>
      <c r="F127" s="12">
        <v>0</v>
      </c>
      <c r="G127" s="12">
        <v>0.35</v>
      </c>
      <c r="H127" s="12">
        <v>-0.2</v>
      </c>
      <c r="I127" s="12">
        <v>-7.0000000000000007E-2</v>
      </c>
      <c r="J127" s="12">
        <v>-0.14499999999999999</v>
      </c>
      <c r="K127" s="22">
        <v>-0.06</v>
      </c>
      <c r="L127" s="12">
        <v>0.308</v>
      </c>
      <c r="M127" s="12">
        <v>-0.57499999999999996</v>
      </c>
      <c r="N127" s="12">
        <v>-0.28000000000000003</v>
      </c>
      <c r="O127" s="12">
        <v>-0.14249999999999999</v>
      </c>
      <c r="P127" s="12">
        <v>0.43</v>
      </c>
      <c r="Q127" s="12">
        <v>-7.0000000000000007E-2</v>
      </c>
    </row>
    <row r="128" spans="3:17" x14ac:dyDescent="0.2">
      <c r="C128" s="12">
        <v>4.3570000000000002</v>
      </c>
      <c r="D128" s="12">
        <v>2.5000000000000001E-3</v>
      </c>
      <c r="E128" s="12">
        <v>0.63</v>
      </c>
      <c r="F128" s="12">
        <v>0</v>
      </c>
      <c r="G128" s="12">
        <v>0.35</v>
      </c>
      <c r="H128" s="12">
        <v>-0.2</v>
      </c>
      <c r="I128" s="12">
        <v>-7.0000000000000007E-2</v>
      </c>
      <c r="J128" s="12">
        <v>-0.14499999999999999</v>
      </c>
      <c r="K128" s="22">
        <v>-0.06</v>
      </c>
      <c r="L128" s="12">
        <v>0.378</v>
      </c>
      <c r="M128" s="12">
        <v>-0.57499999999999996</v>
      </c>
      <c r="N128" s="12">
        <v>-0.28000000000000003</v>
      </c>
      <c r="O128" s="12">
        <v>-0.14499999999999999</v>
      </c>
      <c r="P128" s="12">
        <v>0.43</v>
      </c>
      <c r="Q128" s="12">
        <v>-7.0000000000000007E-2</v>
      </c>
    </row>
    <row r="129" spans="3:17" x14ac:dyDescent="0.2">
      <c r="C129" s="12">
        <v>4.2389999999999999</v>
      </c>
      <c r="D129" s="12">
        <v>2.5000000000000001E-3</v>
      </c>
      <c r="E129" s="12">
        <v>0.63</v>
      </c>
      <c r="F129" s="12">
        <v>0</v>
      </c>
      <c r="G129" s="12">
        <v>0.35</v>
      </c>
      <c r="H129" s="12">
        <v>-0.2</v>
      </c>
      <c r="I129" s="12">
        <v>-7.0000000000000007E-2</v>
      </c>
      <c r="J129" s="12">
        <v>-0.14499999999999999</v>
      </c>
      <c r="K129" s="22">
        <v>-0.06</v>
      </c>
      <c r="L129" s="12">
        <v>0.248</v>
      </c>
      <c r="M129" s="12">
        <v>-0.57499999999999996</v>
      </c>
      <c r="N129" s="12">
        <v>-0.28000000000000003</v>
      </c>
      <c r="O129" s="12">
        <v>-0.13750000000000001</v>
      </c>
      <c r="P129" s="12">
        <v>0.43</v>
      </c>
      <c r="Q129" s="12">
        <v>-7.0000000000000007E-2</v>
      </c>
    </row>
    <row r="130" spans="3:17" x14ac:dyDescent="0.2">
      <c r="C130" s="12">
        <v>4.0970000000000004</v>
      </c>
      <c r="D130" s="12">
        <v>2.5000000000000001E-3</v>
      </c>
      <c r="E130" s="12">
        <v>0.63</v>
      </c>
      <c r="F130" s="12">
        <v>0</v>
      </c>
      <c r="G130" s="12">
        <v>0.35</v>
      </c>
      <c r="H130" s="12">
        <v>-0.2</v>
      </c>
      <c r="I130" s="12">
        <v>-7.0000000000000007E-2</v>
      </c>
      <c r="J130" s="12">
        <v>-0.14499999999999999</v>
      </c>
      <c r="K130" s="22">
        <v>-0.06</v>
      </c>
      <c r="L130" s="12">
        <v>6.8000000000000005E-2</v>
      </c>
      <c r="M130" s="12">
        <v>-0.57499999999999996</v>
      </c>
      <c r="N130" s="12">
        <v>-0.28000000000000003</v>
      </c>
      <c r="O130" s="12">
        <v>-0.13500000000000001</v>
      </c>
      <c r="P130" s="12">
        <v>0.43</v>
      </c>
      <c r="Q130" s="12">
        <v>-7.0000000000000007E-2</v>
      </c>
    </row>
    <row r="131" spans="3:17" x14ac:dyDescent="0.2">
      <c r="C131" s="12">
        <v>3.927</v>
      </c>
      <c r="D131" s="12">
        <v>2.5000000000000001E-3</v>
      </c>
      <c r="E131" s="12">
        <v>0.71</v>
      </c>
      <c r="F131" s="12">
        <v>0</v>
      </c>
      <c r="G131" s="12">
        <v>0.43</v>
      </c>
      <c r="H131" s="12">
        <v>-0.32</v>
      </c>
      <c r="I131" s="12">
        <v>-7.0000000000000007E-2</v>
      </c>
      <c r="J131" s="12">
        <v>-0.22500000000000001</v>
      </c>
      <c r="K131" s="22">
        <v>-0.06</v>
      </c>
      <c r="L131" s="12">
        <v>-0.25</v>
      </c>
      <c r="M131" s="12">
        <v>-0.56499999999999995</v>
      </c>
      <c r="N131" s="12">
        <v>-0.4</v>
      </c>
      <c r="O131" s="12">
        <v>-0.14000000000000001</v>
      </c>
      <c r="P131" s="12">
        <v>0.51</v>
      </c>
      <c r="Q131" s="12">
        <v>-7.0000000000000007E-2</v>
      </c>
    </row>
    <row r="132" spans="3:17" x14ac:dyDescent="0.2">
      <c r="C132" s="12">
        <v>3.9220000000000002</v>
      </c>
      <c r="D132" s="12">
        <v>2.5000000000000001E-3</v>
      </c>
      <c r="E132" s="12">
        <v>0.71</v>
      </c>
      <c r="F132" s="12">
        <v>0</v>
      </c>
      <c r="G132" s="12">
        <v>0.43</v>
      </c>
      <c r="H132" s="12">
        <v>-0.32</v>
      </c>
      <c r="I132" s="12">
        <v>-7.0000000000000007E-2</v>
      </c>
      <c r="J132" s="12">
        <v>-0.22500000000000001</v>
      </c>
      <c r="K132" s="22">
        <v>-0.06</v>
      </c>
      <c r="L132" s="12">
        <v>-0.1</v>
      </c>
      <c r="M132" s="12">
        <v>-0.56499999999999995</v>
      </c>
      <c r="N132" s="12">
        <v>-0.4</v>
      </c>
      <c r="O132" s="12">
        <v>-0.14000000000000001</v>
      </c>
      <c r="P132" s="12">
        <v>0.51</v>
      </c>
      <c r="Q132" s="12">
        <v>-7.0000000000000007E-2</v>
      </c>
    </row>
    <row r="133" spans="3:17" x14ac:dyDescent="0.2">
      <c r="C133" s="12">
        <v>3.9540000000000002</v>
      </c>
      <c r="D133" s="12">
        <v>2.5000000000000001E-3</v>
      </c>
      <c r="E133" s="12">
        <v>0.71</v>
      </c>
      <c r="F133" s="12">
        <v>0</v>
      </c>
      <c r="G133" s="12">
        <v>0.43</v>
      </c>
      <c r="H133" s="12">
        <v>-0.32</v>
      </c>
      <c r="I133" s="12">
        <v>-7.0000000000000007E-2</v>
      </c>
      <c r="J133" s="12">
        <v>-0.22500000000000001</v>
      </c>
      <c r="K133" s="22">
        <v>-0.06</v>
      </c>
      <c r="L133" s="12">
        <v>-0.1</v>
      </c>
      <c r="M133" s="12">
        <v>-0.56499999999999995</v>
      </c>
      <c r="N133" s="12">
        <v>-0.4</v>
      </c>
      <c r="O133" s="12">
        <v>-0.14000000000000001</v>
      </c>
      <c r="P133" s="12">
        <v>0.51</v>
      </c>
      <c r="Q133" s="12">
        <v>-7.0000000000000007E-2</v>
      </c>
    </row>
    <row r="134" spans="3:17" x14ac:dyDescent="0.2">
      <c r="C134" s="12">
        <v>4</v>
      </c>
      <c r="D134" s="12">
        <v>2.5000000000000001E-3</v>
      </c>
      <c r="E134" s="12">
        <v>0.71</v>
      </c>
      <c r="F134" s="12">
        <v>0</v>
      </c>
      <c r="G134" s="12">
        <v>0.43</v>
      </c>
      <c r="H134" s="12">
        <v>-0.32</v>
      </c>
      <c r="I134" s="12">
        <v>-7.0000000000000007E-2</v>
      </c>
      <c r="J134" s="12">
        <v>-0.22500000000000001</v>
      </c>
      <c r="K134" s="22">
        <v>-0.06</v>
      </c>
      <c r="L134" s="12">
        <v>-0.1</v>
      </c>
      <c r="M134" s="12">
        <v>-0.56499999999999995</v>
      </c>
      <c r="N134" s="12">
        <v>-0.4</v>
      </c>
      <c r="O134" s="12">
        <v>-0.14000000000000001</v>
      </c>
      <c r="P134" s="12">
        <v>0.51</v>
      </c>
      <c r="Q134" s="12">
        <v>-7.0000000000000007E-2</v>
      </c>
    </row>
    <row r="135" spans="3:17" x14ac:dyDescent="0.2">
      <c r="C135" s="12">
        <v>4.0330000000000004</v>
      </c>
      <c r="D135" s="12">
        <v>2.5000000000000001E-3</v>
      </c>
      <c r="E135" s="12">
        <v>0.71</v>
      </c>
      <c r="F135" s="12">
        <v>0</v>
      </c>
      <c r="G135" s="12">
        <v>0.43</v>
      </c>
      <c r="H135" s="12">
        <v>-0.32</v>
      </c>
      <c r="I135" s="12">
        <v>-7.0000000000000007E-2</v>
      </c>
      <c r="J135" s="12">
        <v>-0.22500000000000001</v>
      </c>
      <c r="K135" s="22">
        <v>-0.06</v>
      </c>
      <c r="L135" s="12">
        <v>-0.1</v>
      </c>
      <c r="M135" s="12">
        <v>-0.56499999999999995</v>
      </c>
      <c r="N135" s="12">
        <v>-0.4</v>
      </c>
      <c r="O135" s="12">
        <v>-0.14000000000000001</v>
      </c>
      <c r="P135" s="12">
        <v>0.51</v>
      </c>
      <c r="Q135" s="12">
        <v>-7.0000000000000007E-2</v>
      </c>
    </row>
    <row r="136" spans="3:17" x14ac:dyDescent="0.2">
      <c r="C136" s="12">
        <v>4.0330000000000004</v>
      </c>
      <c r="D136" s="12">
        <v>2.5000000000000001E-3</v>
      </c>
      <c r="E136" s="12">
        <v>0.71</v>
      </c>
      <c r="F136" s="12">
        <v>0</v>
      </c>
      <c r="G136" s="12">
        <v>0.43</v>
      </c>
      <c r="H136" s="12">
        <v>-0.32</v>
      </c>
      <c r="I136" s="12">
        <v>-7.0000000000000007E-2</v>
      </c>
      <c r="J136" s="12">
        <v>-0.22500000000000001</v>
      </c>
      <c r="K136" s="22">
        <v>-0.06</v>
      </c>
      <c r="L136" s="12">
        <v>-0.1</v>
      </c>
      <c r="M136" s="12">
        <v>-0.56499999999999995</v>
      </c>
      <c r="N136" s="12">
        <v>-0.4</v>
      </c>
      <c r="O136" s="12">
        <v>-0.14000000000000001</v>
      </c>
      <c r="P136" s="12">
        <v>0.51</v>
      </c>
      <c r="Q136" s="12">
        <v>-7.0000000000000007E-2</v>
      </c>
    </row>
    <row r="137" spans="3:17" x14ac:dyDescent="0.2">
      <c r="C137" s="12">
        <v>4.0380000000000003</v>
      </c>
      <c r="D137" s="12">
        <v>2.5000000000000001E-3</v>
      </c>
      <c r="E137" s="12">
        <v>0.71</v>
      </c>
      <c r="F137" s="12">
        <v>0</v>
      </c>
      <c r="G137" s="12">
        <v>0.43</v>
      </c>
      <c r="H137" s="12">
        <v>-0.32</v>
      </c>
      <c r="I137" s="12">
        <v>-7.0000000000000007E-2</v>
      </c>
      <c r="J137" s="12">
        <v>-0.22500000000000001</v>
      </c>
      <c r="K137" s="22">
        <v>-0.06</v>
      </c>
      <c r="L137" s="12">
        <v>-0.1</v>
      </c>
      <c r="M137" s="12">
        <v>-0.56499999999999995</v>
      </c>
      <c r="N137" s="12">
        <v>-0.4</v>
      </c>
      <c r="O137" s="12">
        <v>-0.14000000000000001</v>
      </c>
      <c r="P137" s="12">
        <v>0.51</v>
      </c>
      <c r="Q137" s="12">
        <v>-7.0000000000000007E-2</v>
      </c>
    </row>
    <row r="138" spans="3:17" x14ac:dyDescent="0.2">
      <c r="C138" s="12">
        <v>4.2119999999999997</v>
      </c>
      <c r="D138" s="12">
        <v>2.5000000000000001E-3</v>
      </c>
      <c r="E138" s="12">
        <v>0.63</v>
      </c>
      <c r="F138" s="12">
        <v>0</v>
      </c>
      <c r="G138" s="12">
        <v>0.35</v>
      </c>
      <c r="H138" s="12">
        <v>-0.2</v>
      </c>
      <c r="I138" s="12">
        <v>-7.0000000000000007E-2</v>
      </c>
      <c r="J138" s="12">
        <v>-0.14499999999999999</v>
      </c>
      <c r="K138" s="22">
        <v>-0.06</v>
      </c>
      <c r="L138" s="12">
        <v>0.248</v>
      </c>
      <c r="M138" s="12">
        <v>-0.53</v>
      </c>
      <c r="N138" s="12">
        <v>-0.28000000000000003</v>
      </c>
      <c r="O138" s="12">
        <v>-0.14000000000000001</v>
      </c>
      <c r="P138" s="12">
        <v>0.43</v>
      </c>
      <c r="Q138" s="12">
        <v>-7.0000000000000007E-2</v>
      </c>
    </row>
    <row r="139" spans="3:17" x14ac:dyDescent="0.2">
      <c r="C139" s="12">
        <v>4.3780000000000001</v>
      </c>
      <c r="D139" s="12">
        <v>2.5000000000000001E-3</v>
      </c>
      <c r="E139" s="12">
        <v>0.63</v>
      </c>
      <c r="F139" s="12">
        <v>0</v>
      </c>
      <c r="G139" s="12">
        <v>0.35</v>
      </c>
      <c r="H139" s="12">
        <v>-0.2</v>
      </c>
      <c r="I139" s="12">
        <v>-7.0000000000000007E-2</v>
      </c>
      <c r="J139" s="12">
        <v>-0.14499999999999999</v>
      </c>
      <c r="K139" s="22">
        <v>-0.06</v>
      </c>
      <c r="L139" s="12">
        <v>0.308</v>
      </c>
      <c r="M139" s="12">
        <v>-0.53</v>
      </c>
      <c r="N139" s="12">
        <v>-0.28000000000000003</v>
      </c>
      <c r="O139" s="12">
        <v>-0.14249999999999999</v>
      </c>
      <c r="P139" s="12">
        <v>0.43</v>
      </c>
      <c r="Q139" s="12">
        <v>-7.0000000000000007E-2</v>
      </c>
    </row>
    <row r="140" spans="3:17" x14ac:dyDescent="0.2">
      <c r="C140" s="12">
        <v>4.4645000000000001</v>
      </c>
      <c r="D140" s="12">
        <v>2.5000000000000001E-3</v>
      </c>
      <c r="E140" s="12">
        <v>0.63</v>
      </c>
      <c r="F140" s="12">
        <v>0</v>
      </c>
      <c r="G140" s="12">
        <v>0.35</v>
      </c>
      <c r="H140" s="12">
        <v>-0.2</v>
      </c>
      <c r="I140" s="12">
        <v>-7.0000000000000007E-2</v>
      </c>
      <c r="J140" s="12">
        <v>-0.14499999999999999</v>
      </c>
      <c r="K140" s="22">
        <v>-0.06</v>
      </c>
      <c r="L140" s="12">
        <v>0.378</v>
      </c>
      <c r="M140" s="12">
        <v>-0.53</v>
      </c>
      <c r="N140" s="12">
        <v>-0.28000000000000003</v>
      </c>
      <c r="O140" s="12">
        <v>-0.14499999999999999</v>
      </c>
      <c r="P140" s="12">
        <v>0.43</v>
      </c>
      <c r="Q140" s="12">
        <v>-7.0000000000000007E-2</v>
      </c>
    </row>
    <row r="141" spans="3:17" x14ac:dyDescent="0.2">
      <c r="C141" s="12">
        <v>4.3464999999999998</v>
      </c>
      <c r="D141" s="12">
        <v>2.5000000000000001E-3</v>
      </c>
      <c r="E141" s="12">
        <v>0.63</v>
      </c>
      <c r="F141" s="12">
        <v>0</v>
      </c>
      <c r="G141" s="12">
        <v>0.35</v>
      </c>
      <c r="H141" s="12">
        <v>-0.2</v>
      </c>
      <c r="I141" s="12">
        <v>-7.0000000000000007E-2</v>
      </c>
      <c r="J141" s="12">
        <v>-0.14499999999999999</v>
      </c>
      <c r="K141" s="22">
        <v>-0.06</v>
      </c>
      <c r="L141" s="12">
        <v>0.248</v>
      </c>
      <c r="M141" s="12">
        <v>-0.53</v>
      </c>
      <c r="N141" s="12">
        <v>-0.28000000000000003</v>
      </c>
      <c r="O141" s="12">
        <v>-0.13750000000000001</v>
      </c>
      <c r="P141" s="12">
        <v>0.43</v>
      </c>
      <c r="Q141" s="12">
        <v>-7.0000000000000007E-2</v>
      </c>
    </row>
    <row r="142" spans="3:17" x14ac:dyDescent="0.2">
      <c r="C142" s="12">
        <v>4.2045000000000003</v>
      </c>
      <c r="D142" s="12">
        <v>2.5000000000000001E-3</v>
      </c>
      <c r="E142" s="12">
        <v>0.63</v>
      </c>
      <c r="F142" s="12">
        <v>0</v>
      </c>
      <c r="G142" s="12">
        <v>0.35</v>
      </c>
      <c r="H142" s="12">
        <v>-0.2</v>
      </c>
      <c r="I142" s="12">
        <v>-7.0000000000000007E-2</v>
      </c>
      <c r="J142" s="12">
        <v>-0.14499999999999999</v>
      </c>
      <c r="K142" s="22">
        <v>-0.06</v>
      </c>
      <c r="L142" s="12">
        <v>6.8000000000000005E-2</v>
      </c>
      <c r="M142" s="12">
        <v>-0.53</v>
      </c>
      <c r="N142" s="12">
        <v>-0.28000000000000003</v>
      </c>
      <c r="O142" s="12">
        <v>-0.13500000000000001</v>
      </c>
      <c r="P142" s="12">
        <v>0.43</v>
      </c>
      <c r="Q142" s="12">
        <v>-7.0000000000000007E-2</v>
      </c>
    </row>
    <row r="143" spans="3:17" x14ac:dyDescent="0.2">
      <c r="C143" s="12">
        <v>4.0345000000000004</v>
      </c>
      <c r="D143" s="12">
        <v>2.5000000000000001E-3</v>
      </c>
      <c r="E143" s="12">
        <v>0.71</v>
      </c>
      <c r="F143" s="12">
        <v>0</v>
      </c>
      <c r="G143" s="12">
        <v>0.43</v>
      </c>
      <c r="H143" s="12">
        <v>-0.32</v>
      </c>
      <c r="I143" s="12">
        <v>-7.0000000000000007E-2</v>
      </c>
      <c r="J143" s="12">
        <v>-0.22500000000000001</v>
      </c>
      <c r="K143" s="22">
        <v>-0.06</v>
      </c>
      <c r="L143" s="12">
        <v>-0.25</v>
      </c>
      <c r="M143" s="12">
        <v>-0.64300000000000002</v>
      </c>
      <c r="N143" s="12">
        <v>-0.4</v>
      </c>
      <c r="O143" s="12">
        <v>-0.14000000000000001</v>
      </c>
      <c r="P143" s="12">
        <v>0.51</v>
      </c>
      <c r="Q143" s="12">
        <v>-7.0000000000000007E-2</v>
      </c>
    </row>
    <row r="144" spans="3:17" x14ac:dyDescent="0.2">
      <c r="C144" s="12">
        <v>4.0294999999999996</v>
      </c>
      <c r="D144" s="12">
        <v>2.5000000000000001E-3</v>
      </c>
      <c r="E144" s="12">
        <v>0.71</v>
      </c>
      <c r="F144" s="12">
        <v>0</v>
      </c>
      <c r="G144" s="12">
        <v>0.43</v>
      </c>
      <c r="H144" s="12">
        <v>-0.32</v>
      </c>
      <c r="I144" s="12">
        <v>-7.0000000000000007E-2</v>
      </c>
      <c r="J144" s="12">
        <v>-0.22500000000000001</v>
      </c>
      <c r="K144" s="22">
        <v>-0.06</v>
      </c>
      <c r="L144" s="12">
        <v>-0.1</v>
      </c>
      <c r="M144" s="12">
        <v>-0.64300000000000002</v>
      </c>
      <c r="N144" s="12">
        <v>-0.4</v>
      </c>
      <c r="O144" s="12">
        <v>-0.14000000000000001</v>
      </c>
      <c r="P144" s="12">
        <v>0.51</v>
      </c>
      <c r="Q144" s="12">
        <v>-7.0000000000000007E-2</v>
      </c>
    </row>
    <row r="145" spans="3:17" x14ac:dyDescent="0.2">
      <c r="C145" s="12">
        <v>4.0614999999999997</v>
      </c>
      <c r="D145" s="12">
        <v>2.5000000000000001E-3</v>
      </c>
      <c r="E145" s="12">
        <v>0.71</v>
      </c>
      <c r="F145" s="12">
        <v>0</v>
      </c>
      <c r="G145" s="12">
        <v>0.43</v>
      </c>
      <c r="H145" s="12">
        <v>-0.32</v>
      </c>
      <c r="I145" s="12">
        <v>-7.0000000000000007E-2</v>
      </c>
      <c r="J145" s="12">
        <v>-0.22500000000000001</v>
      </c>
      <c r="K145" s="22">
        <v>-0.06</v>
      </c>
      <c r="L145" s="12">
        <v>-0.1</v>
      </c>
      <c r="M145" s="12">
        <v>-0.64300000000000002</v>
      </c>
      <c r="N145" s="12">
        <v>-0.4</v>
      </c>
      <c r="O145" s="12">
        <v>-0.14000000000000001</v>
      </c>
      <c r="P145" s="12">
        <v>0.51</v>
      </c>
      <c r="Q145" s="12">
        <v>-7.0000000000000007E-2</v>
      </c>
    </row>
    <row r="146" spans="3:17" x14ac:dyDescent="0.2">
      <c r="C146" s="12">
        <v>4.1074999999999999</v>
      </c>
      <c r="D146" s="12">
        <v>2.5000000000000001E-3</v>
      </c>
      <c r="E146" s="12">
        <v>0.71</v>
      </c>
      <c r="F146" s="12">
        <v>0</v>
      </c>
      <c r="G146" s="12">
        <v>0.43</v>
      </c>
      <c r="H146" s="12">
        <v>-0.32</v>
      </c>
      <c r="I146" s="12">
        <v>-7.0000000000000007E-2</v>
      </c>
      <c r="J146" s="12">
        <v>-0.22500000000000001</v>
      </c>
      <c r="K146" s="22">
        <v>-0.06</v>
      </c>
      <c r="L146" s="12">
        <v>-0.1</v>
      </c>
      <c r="M146" s="12">
        <v>-0.64300000000000002</v>
      </c>
      <c r="N146" s="12">
        <v>-0.4</v>
      </c>
      <c r="O146" s="12">
        <v>-0.14000000000000001</v>
      </c>
      <c r="P146" s="12">
        <v>0.51</v>
      </c>
      <c r="Q146" s="12">
        <v>-7.0000000000000007E-2</v>
      </c>
    </row>
    <row r="147" spans="3:17" x14ac:dyDescent="0.2">
      <c r="C147" s="12">
        <v>4.1405000000000003</v>
      </c>
      <c r="D147" s="12">
        <v>2.5000000000000001E-3</v>
      </c>
      <c r="E147" s="12">
        <v>0.71</v>
      </c>
      <c r="F147" s="12">
        <v>0</v>
      </c>
      <c r="G147" s="12">
        <v>0.43</v>
      </c>
      <c r="H147" s="12">
        <v>-0.32</v>
      </c>
      <c r="I147" s="12">
        <v>-7.0000000000000007E-2</v>
      </c>
      <c r="J147" s="12">
        <v>-0.22500000000000001</v>
      </c>
      <c r="K147" s="22">
        <v>-0.06</v>
      </c>
      <c r="L147" s="12">
        <v>-0.1</v>
      </c>
      <c r="M147" s="12">
        <v>-0.64300000000000002</v>
      </c>
      <c r="N147" s="12">
        <v>-0.4</v>
      </c>
      <c r="O147" s="12">
        <v>-0.14000000000000001</v>
      </c>
      <c r="P147" s="12">
        <v>0.51</v>
      </c>
      <c r="Q147" s="12">
        <v>-7.0000000000000007E-2</v>
      </c>
    </row>
    <row r="148" spans="3:17" x14ac:dyDescent="0.2">
      <c r="C148" s="12">
        <v>4.1405000000000003</v>
      </c>
      <c r="D148" s="12">
        <v>2.5000000000000001E-3</v>
      </c>
      <c r="E148" s="12">
        <v>0.71</v>
      </c>
      <c r="F148" s="12">
        <v>0</v>
      </c>
      <c r="G148" s="12">
        <v>0.43</v>
      </c>
      <c r="H148" s="12">
        <v>-0.32</v>
      </c>
      <c r="I148" s="12">
        <v>-7.0000000000000007E-2</v>
      </c>
      <c r="J148" s="12">
        <v>-0.22500000000000001</v>
      </c>
      <c r="K148" s="22">
        <v>-0.06</v>
      </c>
      <c r="L148" s="12">
        <v>-0.1</v>
      </c>
      <c r="M148" s="12">
        <v>-0.64300000000000002</v>
      </c>
      <c r="N148" s="12">
        <v>-0.4</v>
      </c>
      <c r="O148" s="12">
        <v>-0.14000000000000001</v>
      </c>
      <c r="P148" s="12">
        <v>0.51</v>
      </c>
      <c r="Q148" s="12">
        <v>-7.0000000000000007E-2</v>
      </c>
    </row>
    <row r="149" spans="3:17" x14ac:dyDescent="0.2">
      <c r="C149" s="12">
        <v>4.1455000000000002</v>
      </c>
      <c r="D149" s="12">
        <v>2.5000000000000001E-3</v>
      </c>
      <c r="E149" s="12">
        <v>0.71</v>
      </c>
      <c r="F149" s="12">
        <v>0</v>
      </c>
      <c r="G149" s="12">
        <v>0.43</v>
      </c>
      <c r="H149" s="12">
        <v>-0.32</v>
      </c>
      <c r="I149" s="12">
        <v>-7.0000000000000007E-2</v>
      </c>
      <c r="J149" s="12">
        <v>-0.22500000000000001</v>
      </c>
      <c r="K149" s="22">
        <v>-0.06</v>
      </c>
      <c r="L149" s="12">
        <v>-0.1</v>
      </c>
      <c r="M149" s="12">
        <v>-0.64300000000000002</v>
      </c>
      <c r="N149" s="12">
        <v>-0.4</v>
      </c>
      <c r="O149" s="12">
        <v>-0.14000000000000001</v>
      </c>
      <c r="P149" s="12">
        <v>0.51</v>
      </c>
      <c r="Q149" s="12">
        <v>-7.0000000000000007E-2</v>
      </c>
    </row>
    <row r="150" spans="3:17" x14ac:dyDescent="0.2">
      <c r="C150" s="12">
        <v>4.3194999999999997</v>
      </c>
      <c r="D150" s="12">
        <v>2.5000000000000001E-3</v>
      </c>
      <c r="E150" s="12">
        <v>0.63</v>
      </c>
      <c r="F150" s="12">
        <v>0</v>
      </c>
      <c r="G150" s="12">
        <v>0.35</v>
      </c>
      <c r="H150" s="12">
        <v>-0.2</v>
      </c>
      <c r="I150" s="12">
        <v>-7.0000000000000007E-2</v>
      </c>
      <c r="J150" s="12">
        <v>-0.14499999999999999</v>
      </c>
      <c r="K150" s="22">
        <v>-0.06</v>
      </c>
      <c r="L150" s="12">
        <v>0.248</v>
      </c>
      <c r="M150" s="12">
        <v>-0.58299999999999996</v>
      </c>
      <c r="N150" s="12">
        <v>-0.28000000000000003</v>
      </c>
      <c r="O150" s="12">
        <v>-0.14000000000000001</v>
      </c>
      <c r="P150" s="12">
        <v>0.43</v>
      </c>
      <c r="Q150" s="12">
        <v>-7.0000000000000007E-2</v>
      </c>
    </row>
    <row r="151" spans="3:17" x14ac:dyDescent="0.2">
      <c r="C151" s="12">
        <v>4.4855</v>
      </c>
      <c r="D151" s="12">
        <v>2.5000000000000001E-3</v>
      </c>
      <c r="E151" s="12">
        <v>0.63</v>
      </c>
      <c r="F151" s="12">
        <v>0</v>
      </c>
      <c r="G151" s="12">
        <v>0.35</v>
      </c>
      <c r="H151" s="12">
        <v>-0.2</v>
      </c>
      <c r="I151" s="12">
        <v>-7.0000000000000007E-2</v>
      </c>
      <c r="J151" s="12">
        <v>-0.14499999999999999</v>
      </c>
      <c r="K151" s="22">
        <v>-0.06</v>
      </c>
      <c r="L151" s="12">
        <v>0.308</v>
      </c>
      <c r="M151" s="12">
        <v>-0.58299999999999996</v>
      </c>
      <c r="N151" s="12">
        <v>-0.28000000000000003</v>
      </c>
      <c r="O151" s="12">
        <v>-0.14249999999999999</v>
      </c>
      <c r="P151" s="12">
        <v>0.43</v>
      </c>
      <c r="Q151" s="12">
        <v>-7.0000000000000007E-2</v>
      </c>
    </row>
    <row r="152" spans="3:17" x14ac:dyDescent="0.2">
      <c r="C152" s="12">
        <v>4.5744999999999996</v>
      </c>
      <c r="D152" s="12">
        <v>2.5000000000000001E-3</v>
      </c>
      <c r="E152" s="12">
        <v>0.63</v>
      </c>
      <c r="F152" s="12">
        <v>0</v>
      </c>
      <c r="G152" s="12">
        <v>0.35</v>
      </c>
      <c r="H152" s="12">
        <v>-0.2</v>
      </c>
      <c r="I152" s="12">
        <v>-7.0000000000000007E-2</v>
      </c>
      <c r="J152" s="12">
        <v>-0.14499999999999999</v>
      </c>
      <c r="K152" s="22">
        <v>-0.06</v>
      </c>
      <c r="L152" s="12">
        <v>0.378</v>
      </c>
      <c r="M152" s="12">
        <v>-0.58299999999999996</v>
      </c>
      <c r="N152" s="12">
        <v>-0.28000000000000003</v>
      </c>
      <c r="O152" s="12">
        <v>-0.14499999999999999</v>
      </c>
      <c r="P152" s="12">
        <v>0.43</v>
      </c>
      <c r="Q152" s="12">
        <v>-7.0000000000000007E-2</v>
      </c>
    </row>
    <row r="153" spans="3:17" x14ac:dyDescent="0.2">
      <c r="C153" s="12">
        <v>4.4565000000000001</v>
      </c>
      <c r="D153" s="12">
        <v>2.5000000000000001E-3</v>
      </c>
      <c r="E153" s="12">
        <v>0.63</v>
      </c>
      <c r="F153" s="12">
        <v>0</v>
      </c>
      <c r="G153" s="12">
        <v>0.35</v>
      </c>
      <c r="H153" s="12">
        <v>-0.2</v>
      </c>
      <c r="I153" s="12">
        <v>-7.0000000000000007E-2</v>
      </c>
      <c r="J153" s="12">
        <v>-0.14499999999999999</v>
      </c>
      <c r="K153" s="22">
        <v>-0.06</v>
      </c>
      <c r="L153" s="12">
        <v>0.248</v>
      </c>
      <c r="M153" s="12">
        <v>-0.58299999999999996</v>
      </c>
      <c r="N153" s="12">
        <v>-0.28000000000000003</v>
      </c>
      <c r="O153" s="12">
        <v>-0.13750000000000001</v>
      </c>
      <c r="P153" s="12">
        <v>0.43</v>
      </c>
      <c r="Q153" s="12">
        <v>-7.0000000000000007E-2</v>
      </c>
    </row>
    <row r="154" spans="3:17" x14ac:dyDescent="0.2">
      <c r="C154" s="12">
        <v>4.3144999999999998</v>
      </c>
      <c r="D154" s="12">
        <v>2.5000000000000001E-3</v>
      </c>
      <c r="E154" s="12">
        <v>0.63</v>
      </c>
      <c r="F154" s="12">
        <v>0</v>
      </c>
      <c r="G154" s="12">
        <v>0.35</v>
      </c>
      <c r="H154" s="12">
        <v>-0.2</v>
      </c>
      <c r="I154" s="12">
        <v>-7.0000000000000007E-2</v>
      </c>
      <c r="J154" s="12">
        <v>-0.14499999999999999</v>
      </c>
      <c r="K154" s="22">
        <v>-0.06</v>
      </c>
      <c r="L154" s="12">
        <v>6.8000000000000005E-2</v>
      </c>
      <c r="M154" s="12">
        <v>-0.58299999999999996</v>
      </c>
      <c r="N154" s="12">
        <v>-0.28000000000000003</v>
      </c>
      <c r="O154" s="12">
        <v>-0.13500000000000001</v>
      </c>
      <c r="P154" s="12">
        <v>0.43</v>
      </c>
      <c r="Q154" s="12">
        <v>-7.0000000000000007E-2</v>
      </c>
    </row>
    <row r="155" spans="3:17" x14ac:dyDescent="0.2">
      <c r="C155" s="12">
        <v>4.1444999999999999</v>
      </c>
      <c r="D155" s="12">
        <v>2.5000000000000001E-3</v>
      </c>
      <c r="E155" s="12">
        <v>0.71</v>
      </c>
      <c r="F155" s="12">
        <v>0</v>
      </c>
      <c r="G155" s="12">
        <v>0.43</v>
      </c>
      <c r="H155" s="12">
        <v>-0.32</v>
      </c>
      <c r="I155" s="12">
        <v>-7.0000000000000007E-2</v>
      </c>
      <c r="J155" s="12">
        <v>-0.22500000000000001</v>
      </c>
      <c r="K155" s="22">
        <v>-0.06</v>
      </c>
      <c r="L155" s="12">
        <v>-0.25</v>
      </c>
      <c r="M155" s="12">
        <v>-0.68300000000000005</v>
      </c>
      <c r="N155" s="12">
        <v>-0.4</v>
      </c>
      <c r="O155" s="12">
        <v>-0.14000000000000001</v>
      </c>
      <c r="P155" s="12">
        <v>0.51</v>
      </c>
      <c r="Q155" s="12">
        <v>-7.0000000000000007E-2</v>
      </c>
    </row>
    <row r="156" spans="3:17" x14ac:dyDescent="0.2">
      <c r="C156" s="12">
        <v>4.1395</v>
      </c>
      <c r="D156" s="12">
        <v>2.5000000000000001E-3</v>
      </c>
      <c r="E156" s="12">
        <v>0.71</v>
      </c>
      <c r="F156" s="12">
        <v>0</v>
      </c>
      <c r="G156" s="12">
        <v>0.43</v>
      </c>
      <c r="H156" s="12">
        <v>-0.32</v>
      </c>
      <c r="I156" s="12">
        <v>-7.0000000000000007E-2</v>
      </c>
      <c r="J156" s="12">
        <v>-0.22500000000000001</v>
      </c>
      <c r="K156" s="22">
        <v>-0.06</v>
      </c>
      <c r="L156" s="12">
        <v>-0.1</v>
      </c>
      <c r="M156" s="12">
        <v>-0.68300000000000005</v>
      </c>
      <c r="N156" s="12">
        <v>-0.4</v>
      </c>
      <c r="O156" s="12">
        <v>-0.14000000000000001</v>
      </c>
      <c r="P156" s="12">
        <v>0.51</v>
      </c>
      <c r="Q156" s="12">
        <v>-7.0000000000000007E-2</v>
      </c>
    </row>
    <row r="157" spans="3:17" x14ac:dyDescent="0.2">
      <c r="C157" s="12">
        <v>4.1715</v>
      </c>
      <c r="D157" s="12">
        <v>2.5000000000000001E-3</v>
      </c>
      <c r="E157" s="12">
        <v>0.71</v>
      </c>
      <c r="F157" s="12">
        <v>0</v>
      </c>
      <c r="G157" s="12">
        <v>0.43</v>
      </c>
      <c r="H157" s="12">
        <v>-0.32</v>
      </c>
      <c r="I157" s="12">
        <v>-7.0000000000000007E-2</v>
      </c>
      <c r="J157" s="12">
        <v>-0.22500000000000001</v>
      </c>
      <c r="K157" s="22">
        <v>-0.06</v>
      </c>
      <c r="L157" s="12">
        <v>-0.1</v>
      </c>
      <c r="M157" s="12">
        <v>-0.68300000000000005</v>
      </c>
      <c r="N157" s="12">
        <v>-0.4</v>
      </c>
      <c r="O157" s="12">
        <v>-0.14000000000000001</v>
      </c>
      <c r="P157" s="12">
        <v>0.51</v>
      </c>
      <c r="Q157" s="12">
        <v>-7.0000000000000007E-2</v>
      </c>
    </row>
    <row r="158" spans="3:17" x14ac:dyDescent="0.2">
      <c r="C158" s="12">
        <v>4.2175000000000002</v>
      </c>
      <c r="D158" s="12">
        <v>2.5000000000000001E-3</v>
      </c>
      <c r="E158" s="12">
        <v>0.71</v>
      </c>
      <c r="F158" s="12">
        <v>0</v>
      </c>
      <c r="G158" s="12">
        <v>0.43</v>
      </c>
      <c r="H158" s="12">
        <v>-0.32</v>
      </c>
      <c r="I158" s="12">
        <v>-7.0000000000000007E-2</v>
      </c>
      <c r="J158" s="12">
        <v>-0.22500000000000001</v>
      </c>
      <c r="K158" s="22">
        <v>-0.06</v>
      </c>
      <c r="L158" s="12">
        <v>-0.1</v>
      </c>
      <c r="M158" s="12">
        <v>-0.68300000000000005</v>
      </c>
      <c r="N158" s="12">
        <v>-0.4</v>
      </c>
      <c r="O158" s="12">
        <v>-0.14000000000000001</v>
      </c>
      <c r="P158" s="12">
        <v>0.51</v>
      </c>
      <c r="Q158" s="12">
        <v>-7.0000000000000007E-2</v>
      </c>
    </row>
    <row r="159" spans="3:17" x14ac:dyDescent="0.2">
      <c r="C159" s="12">
        <v>4.2504999999999997</v>
      </c>
      <c r="D159" s="12">
        <v>2.5000000000000001E-3</v>
      </c>
      <c r="E159" s="12">
        <v>0.71</v>
      </c>
      <c r="F159" s="12">
        <v>0</v>
      </c>
      <c r="G159" s="12">
        <v>0.43</v>
      </c>
      <c r="H159" s="12">
        <v>-0.32</v>
      </c>
      <c r="I159" s="12">
        <v>-7.0000000000000007E-2</v>
      </c>
      <c r="J159" s="12">
        <v>-0.22500000000000001</v>
      </c>
      <c r="K159" s="22">
        <v>-0.06</v>
      </c>
      <c r="L159" s="12">
        <v>-0.1</v>
      </c>
      <c r="M159" s="12">
        <v>-0.68300000000000005</v>
      </c>
      <c r="N159" s="12">
        <v>-0.4</v>
      </c>
      <c r="O159" s="12">
        <v>-0.14000000000000001</v>
      </c>
      <c r="P159" s="12">
        <v>0.51</v>
      </c>
      <c r="Q159" s="12">
        <v>-7.0000000000000007E-2</v>
      </c>
    </row>
    <row r="160" spans="3:17" x14ac:dyDescent="0.2">
      <c r="C160" s="12">
        <v>4.2504999999999997</v>
      </c>
      <c r="D160" s="12">
        <v>2.5000000000000001E-3</v>
      </c>
      <c r="E160" s="12">
        <v>0.71</v>
      </c>
      <c r="F160" s="12">
        <v>0</v>
      </c>
      <c r="G160" s="12">
        <v>0.43</v>
      </c>
      <c r="H160" s="12">
        <v>-0.32</v>
      </c>
      <c r="I160" s="12">
        <v>-7.0000000000000007E-2</v>
      </c>
      <c r="J160" s="12">
        <v>-0.22500000000000001</v>
      </c>
      <c r="K160" s="22">
        <v>-0.06</v>
      </c>
      <c r="L160" s="12">
        <v>-0.1</v>
      </c>
      <c r="M160" s="12">
        <v>-0.68300000000000005</v>
      </c>
      <c r="N160" s="12">
        <v>-0.4</v>
      </c>
      <c r="O160" s="12">
        <v>-0.14000000000000001</v>
      </c>
      <c r="P160" s="12">
        <v>0.51</v>
      </c>
      <c r="Q160" s="12">
        <v>-7.0000000000000007E-2</v>
      </c>
    </row>
    <row r="161" spans="3:17" x14ac:dyDescent="0.2">
      <c r="C161" s="12">
        <v>4.2554999999999996</v>
      </c>
      <c r="D161" s="12">
        <v>2.5000000000000001E-3</v>
      </c>
      <c r="E161" s="12">
        <v>0.71</v>
      </c>
      <c r="F161" s="12">
        <v>0</v>
      </c>
      <c r="G161" s="12">
        <v>0.43</v>
      </c>
      <c r="H161" s="12">
        <v>-0.32</v>
      </c>
      <c r="I161" s="12">
        <v>-7.0000000000000007E-2</v>
      </c>
      <c r="J161" s="12">
        <v>-0.22500000000000001</v>
      </c>
      <c r="K161" s="22">
        <v>-0.06</v>
      </c>
      <c r="L161" s="12">
        <v>-0.1</v>
      </c>
      <c r="M161" s="12">
        <v>-0.68300000000000005</v>
      </c>
      <c r="N161" s="12">
        <v>-0.4</v>
      </c>
      <c r="O161" s="12">
        <v>-0.14000000000000001</v>
      </c>
      <c r="P161" s="12">
        <v>0.51</v>
      </c>
      <c r="Q161" s="12">
        <v>-7.0000000000000007E-2</v>
      </c>
    </row>
    <row r="162" spans="3:17" x14ac:dyDescent="0.2">
      <c r="C162" s="12">
        <v>4.4295</v>
      </c>
      <c r="D162" s="12">
        <v>2.5000000000000001E-3</v>
      </c>
      <c r="E162" s="12">
        <v>0.63</v>
      </c>
      <c r="F162" s="12">
        <v>0</v>
      </c>
      <c r="G162" s="12">
        <v>0.35</v>
      </c>
      <c r="H162" s="12">
        <v>-0.2</v>
      </c>
      <c r="I162" s="12">
        <v>-7.0000000000000007E-2</v>
      </c>
      <c r="J162" s="12">
        <v>-0.14499999999999999</v>
      </c>
      <c r="K162" s="22">
        <v>-0.06</v>
      </c>
      <c r="L162" s="12">
        <v>0.248</v>
      </c>
      <c r="M162" s="12">
        <v>-0.623</v>
      </c>
      <c r="N162" s="12">
        <v>-0.28000000000000003</v>
      </c>
      <c r="O162" s="12">
        <v>-0.14000000000000001</v>
      </c>
      <c r="P162" s="12">
        <v>0.43</v>
      </c>
      <c r="Q162" s="12">
        <v>-7.0000000000000007E-2</v>
      </c>
    </row>
    <row r="163" spans="3:17" x14ac:dyDescent="0.2">
      <c r="C163" s="12">
        <v>4.5955000000000004</v>
      </c>
      <c r="D163" s="12">
        <v>2.5000000000000001E-3</v>
      </c>
      <c r="E163" s="12">
        <v>0.63</v>
      </c>
      <c r="F163" s="12">
        <v>0</v>
      </c>
      <c r="G163" s="12">
        <v>0.35</v>
      </c>
      <c r="H163" s="12">
        <v>-0.2</v>
      </c>
      <c r="I163" s="12">
        <v>-7.0000000000000007E-2</v>
      </c>
      <c r="J163" s="12">
        <v>-0.14499999999999999</v>
      </c>
      <c r="K163" s="22">
        <v>-0.06</v>
      </c>
      <c r="L163" s="12">
        <v>0.308</v>
      </c>
      <c r="M163" s="12">
        <v>-0.623</v>
      </c>
      <c r="N163" s="12">
        <v>-0.28000000000000003</v>
      </c>
      <c r="O163" s="12">
        <v>-0.14249999999999999</v>
      </c>
      <c r="P163" s="12">
        <v>0.43</v>
      </c>
      <c r="Q163" s="12">
        <v>-7.0000000000000007E-2</v>
      </c>
    </row>
    <row r="164" spans="3:17" x14ac:dyDescent="0.2">
      <c r="C164" s="12">
        <v>4.6870000000000003</v>
      </c>
      <c r="D164" s="12">
        <v>2.5000000000000001E-3</v>
      </c>
      <c r="E164" s="12">
        <v>0.63</v>
      </c>
      <c r="F164" s="12">
        <v>0</v>
      </c>
      <c r="G164" s="12">
        <v>0.35</v>
      </c>
      <c r="H164" s="12">
        <v>-0.2</v>
      </c>
      <c r="I164" s="12">
        <v>-7.0000000000000007E-2</v>
      </c>
      <c r="J164" s="12">
        <v>-0.14499999999999999</v>
      </c>
      <c r="K164" s="22">
        <v>-0.06</v>
      </c>
      <c r="L164" s="12">
        <v>0.378</v>
      </c>
      <c r="M164" s="12">
        <v>-0.623</v>
      </c>
      <c r="N164" s="12">
        <v>-0.28000000000000003</v>
      </c>
      <c r="O164" s="12">
        <v>-0.14499999999999999</v>
      </c>
      <c r="P164" s="12">
        <v>0.43</v>
      </c>
      <c r="Q164" s="12">
        <v>-7.0000000000000007E-2</v>
      </c>
    </row>
    <row r="165" spans="3:17" x14ac:dyDescent="0.2">
      <c r="C165" s="12">
        <v>4.569</v>
      </c>
      <c r="D165" s="12">
        <v>2.5000000000000001E-3</v>
      </c>
      <c r="E165" s="12">
        <v>0.63</v>
      </c>
      <c r="F165" s="12">
        <v>0</v>
      </c>
      <c r="G165" s="12">
        <v>0.35</v>
      </c>
      <c r="H165" s="12">
        <v>-0.2</v>
      </c>
      <c r="I165" s="12">
        <v>-7.0000000000000007E-2</v>
      </c>
      <c r="J165" s="12">
        <v>-0.14499999999999999</v>
      </c>
      <c r="K165" s="22">
        <v>-0.06</v>
      </c>
      <c r="L165" s="12">
        <v>0.248</v>
      </c>
      <c r="M165" s="12">
        <v>-0.623</v>
      </c>
      <c r="N165" s="12">
        <v>-0.28000000000000003</v>
      </c>
      <c r="O165" s="12">
        <v>-0.13750000000000001</v>
      </c>
      <c r="P165" s="12">
        <v>0.43</v>
      </c>
      <c r="Q165" s="12">
        <v>-7.0000000000000007E-2</v>
      </c>
    </row>
    <row r="166" spans="3:17" x14ac:dyDescent="0.2">
      <c r="C166" s="12">
        <v>4.4269999999999996</v>
      </c>
      <c r="D166" s="12">
        <v>2.5000000000000001E-3</v>
      </c>
      <c r="E166" s="12">
        <v>0.63</v>
      </c>
      <c r="F166" s="12">
        <v>0</v>
      </c>
      <c r="G166" s="12">
        <v>0.35</v>
      </c>
      <c r="H166" s="12">
        <v>-0.2</v>
      </c>
      <c r="I166" s="12">
        <v>-7.0000000000000007E-2</v>
      </c>
      <c r="J166" s="12">
        <v>-0.14499999999999999</v>
      </c>
      <c r="K166" s="22">
        <v>-0.06</v>
      </c>
      <c r="L166" s="12">
        <v>6.8000000000000005E-2</v>
      </c>
      <c r="M166" s="12">
        <v>-0.623</v>
      </c>
      <c r="N166" s="12">
        <v>-0.28000000000000003</v>
      </c>
      <c r="O166" s="12">
        <v>-0.13500000000000001</v>
      </c>
      <c r="P166" s="12">
        <v>0.43</v>
      </c>
      <c r="Q166" s="12">
        <v>-7.0000000000000007E-2</v>
      </c>
    </row>
    <row r="167" spans="3:17" x14ac:dyDescent="0.2">
      <c r="C167" s="12">
        <v>4.2569999999999997</v>
      </c>
      <c r="D167" s="12">
        <v>2.5000000000000001E-3</v>
      </c>
      <c r="E167" s="12">
        <v>0.71</v>
      </c>
      <c r="F167" s="12">
        <v>0</v>
      </c>
      <c r="G167" s="12">
        <v>0.43</v>
      </c>
      <c r="H167" s="12">
        <v>-0.32</v>
      </c>
      <c r="I167" s="12">
        <v>-7.0000000000000007E-2</v>
      </c>
      <c r="J167" s="12">
        <v>-0.22500000000000001</v>
      </c>
      <c r="K167" s="22">
        <v>-0.06</v>
      </c>
      <c r="L167" s="12">
        <v>-0.25</v>
      </c>
      <c r="M167" s="12">
        <v>-0.72299999999999998</v>
      </c>
      <c r="N167" s="12">
        <v>-0.4</v>
      </c>
      <c r="O167" s="12">
        <v>-0.14000000000000001</v>
      </c>
      <c r="P167" s="12">
        <v>0.51</v>
      </c>
      <c r="Q167" s="12">
        <v>-7.0000000000000007E-2</v>
      </c>
    </row>
    <row r="168" spans="3:17" x14ac:dyDescent="0.2">
      <c r="C168" s="12">
        <v>4.2519999999999998</v>
      </c>
      <c r="D168" s="12">
        <v>2.5000000000000001E-3</v>
      </c>
      <c r="E168" s="12">
        <v>0.71</v>
      </c>
      <c r="F168" s="12">
        <v>0</v>
      </c>
      <c r="G168" s="12">
        <v>0.43</v>
      </c>
      <c r="H168" s="12">
        <v>-0.32</v>
      </c>
      <c r="I168" s="12">
        <v>-7.0000000000000007E-2</v>
      </c>
      <c r="J168" s="12">
        <v>-0.22500000000000001</v>
      </c>
      <c r="K168" s="22">
        <v>-0.06</v>
      </c>
      <c r="L168" s="12">
        <v>-0.1</v>
      </c>
      <c r="M168" s="12">
        <v>-0.72299999999999998</v>
      </c>
      <c r="N168" s="12">
        <v>-0.4</v>
      </c>
      <c r="O168" s="12">
        <v>-0.14000000000000001</v>
      </c>
      <c r="P168" s="12">
        <v>0.51</v>
      </c>
      <c r="Q168" s="12">
        <v>-7.0000000000000007E-2</v>
      </c>
    </row>
    <row r="169" spans="3:17" x14ac:dyDescent="0.2">
      <c r="C169" s="12">
        <v>4.2839999999999998</v>
      </c>
      <c r="D169" s="12">
        <v>2.5000000000000001E-3</v>
      </c>
      <c r="E169" s="12">
        <v>0.71</v>
      </c>
      <c r="F169" s="12">
        <v>0</v>
      </c>
      <c r="G169" s="12">
        <v>0.43</v>
      </c>
      <c r="H169" s="12">
        <v>-0.32</v>
      </c>
      <c r="I169" s="12">
        <v>-7.0000000000000007E-2</v>
      </c>
      <c r="J169" s="12">
        <v>-0.22500000000000001</v>
      </c>
      <c r="K169" s="22">
        <v>-0.06</v>
      </c>
      <c r="L169" s="12">
        <v>-0.1</v>
      </c>
      <c r="M169" s="12">
        <v>-0.72299999999999998</v>
      </c>
      <c r="N169" s="12">
        <v>-0.4</v>
      </c>
      <c r="O169" s="12">
        <v>-0.14000000000000001</v>
      </c>
      <c r="P169" s="12">
        <v>0.51</v>
      </c>
      <c r="Q169" s="12">
        <v>-7.0000000000000007E-2</v>
      </c>
    </row>
    <row r="170" spans="3:17" x14ac:dyDescent="0.2">
      <c r="C170" s="12">
        <v>4.33</v>
      </c>
      <c r="D170" s="12">
        <v>2.5000000000000001E-3</v>
      </c>
      <c r="E170" s="12">
        <v>0.71</v>
      </c>
      <c r="F170" s="12">
        <v>0</v>
      </c>
      <c r="G170" s="12">
        <v>0.43</v>
      </c>
      <c r="H170" s="12">
        <v>-0.32</v>
      </c>
      <c r="I170" s="12">
        <v>-7.0000000000000007E-2</v>
      </c>
      <c r="J170" s="12">
        <v>-0.22500000000000001</v>
      </c>
      <c r="K170" s="22">
        <v>-0.06</v>
      </c>
      <c r="L170" s="12">
        <v>-0.1</v>
      </c>
      <c r="M170" s="12">
        <v>-0.72299999999999998</v>
      </c>
      <c r="N170" s="12">
        <v>-0.4</v>
      </c>
      <c r="O170" s="12">
        <v>-0.14000000000000001</v>
      </c>
      <c r="P170" s="12">
        <v>0.51</v>
      </c>
      <c r="Q170" s="12">
        <v>-7.0000000000000007E-2</v>
      </c>
    </row>
    <row r="171" spans="3:17" x14ac:dyDescent="0.2">
      <c r="C171" s="12">
        <v>4.3630000000000004</v>
      </c>
      <c r="D171" s="12">
        <v>2.5000000000000001E-3</v>
      </c>
      <c r="E171" s="12">
        <v>0.71</v>
      </c>
      <c r="F171" s="12">
        <v>0</v>
      </c>
      <c r="G171" s="12">
        <v>0.43</v>
      </c>
      <c r="H171" s="12">
        <v>-0.32</v>
      </c>
      <c r="I171" s="12">
        <v>-7.0000000000000007E-2</v>
      </c>
      <c r="J171" s="12">
        <v>-0.22500000000000001</v>
      </c>
      <c r="K171" s="22">
        <v>-0.06</v>
      </c>
      <c r="L171" s="12">
        <v>-0.1</v>
      </c>
      <c r="M171" s="12">
        <v>-0.72299999999999998</v>
      </c>
      <c r="N171" s="12">
        <v>-0.4</v>
      </c>
      <c r="O171" s="12">
        <v>-0.14000000000000001</v>
      </c>
      <c r="P171" s="12">
        <v>0.51</v>
      </c>
      <c r="Q171" s="12">
        <v>-7.0000000000000007E-2</v>
      </c>
    </row>
    <row r="172" spans="3:17" x14ac:dyDescent="0.2">
      <c r="C172" s="12">
        <v>4.3630000000000004</v>
      </c>
      <c r="D172" s="12">
        <v>2.5000000000000001E-3</v>
      </c>
      <c r="E172" s="12">
        <v>0.71</v>
      </c>
      <c r="F172" s="12">
        <v>0</v>
      </c>
      <c r="G172" s="12">
        <v>0.43</v>
      </c>
      <c r="H172" s="12">
        <v>-0.32</v>
      </c>
      <c r="I172" s="12">
        <v>-7.0000000000000007E-2</v>
      </c>
      <c r="J172" s="12">
        <v>-0.22500000000000001</v>
      </c>
      <c r="K172" s="22">
        <v>-0.06</v>
      </c>
      <c r="L172" s="12">
        <v>-0.1</v>
      </c>
      <c r="M172" s="12">
        <v>-0.72299999999999998</v>
      </c>
      <c r="N172" s="12">
        <v>-0.4</v>
      </c>
      <c r="O172" s="12">
        <v>-0.14000000000000001</v>
      </c>
      <c r="P172" s="12">
        <v>0.51</v>
      </c>
      <c r="Q172" s="12">
        <v>-7.0000000000000007E-2</v>
      </c>
    </row>
    <row r="173" spans="3:17" x14ac:dyDescent="0.2">
      <c r="C173" s="12">
        <v>4.3680000000000003</v>
      </c>
      <c r="D173" s="12">
        <v>2.5000000000000001E-3</v>
      </c>
      <c r="E173" s="12">
        <v>0.71</v>
      </c>
      <c r="F173" s="12">
        <v>0</v>
      </c>
      <c r="G173" s="12">
        <v>0.43</v>
      </c>
      <c r="H173" s="12">
        <v>-0.32</v>
      </c>
      <c r="I173" s="12">
        <v>-7.0000000000000007E-2</v>
      </c>
      <c r="J173" s="12">
        <v>-0.22500000000000001</v>
      </c>
      <c r="K173" s="22">
        <v>-0.06</v>
      </c>
      <c r="L173" s="12">
        <v>-0.1</v>
      </c>
      <c r="M173" s="12">
        <v>-0.72299999999999998</v>
      </c>
      <c r="N173" s="12">
        <v>-0.4</v>
      </c>
      <c r="O173" s="12">
        <v>-0.14000000000000001</v>
      </c>
      <c r="P173" s="12">
        <v>0.51</v>
      </c>
      <c r="Q173" s="12">
        <v>-7.0000000000000007E-2</v>
      </c>
    </row>
    <row r="174" spans="3:17" x14ac:dyDescent="0.2">
      <c r="C174" s="12">
        <v>4.5419999999999998</v>
      </c>
      <c r="D174" s="12">
        <v>2.5000000000000001E-3</v>
      </c>
      <c r="E174" s="12">
        <v>0.63</v>
      </c>
      <c r="F174" s="12">
        <v>0</v>
      </c>
      <c r="G174" s="12">
        <v>0.35</v>
      </c>
      <c r="H174" s="12">
        <v>-0.2</v>
      </c>
      <c r="I174" s="12">
        <v>-7.0000000000000007E-2</v>
      </c>
      <c r="J174" s="12">
        <v>-0.14499999999999999</v>
      </c>
      <c r="K174" s="22">
        <v>-0.06</v>
      </c>
      <c r="L174" s="12">
        <v>0.248</v>
      </c>
      <c r="M174" s="12">
        <v>-0.68300000000000005</v>
      </c>
      <c r="N174" s="12">
        <v>-0.28000000000000003</v>
      </c>
      <c r="O174" s="12">
        <v>-0.14000000000000001</v>
      </c>
      <c r="P174" s="12">
        <v>0.43</v>
      </c>
      <c r="Q174" s="12">
        <v>-7.0000000000000007E-2</v>
      </c>
    </row>
    <row r="175" spans="3:17" x14ac:dyDescent="0.2">
      <c r="C175" s="12">
        <v>4.7080000000000002</v>
      </c>
      <c r="D175" s="12">
        <v>2.5000000000000001E-3</v>
      </c>
      <c r="E175" s="12">
        <v>0.63</v>
      </c>
      <c r="F175" s="12">
        <v>0</v>
      </c>
      <c r="G175" s="12">
        <v>0.35</v>
      </c>
      <c r="H175" s="12">
        <v>-0.2</v>
      </c>
      <c r="I175" s="12">
        <v>-7.0000000000000007E-2</v>
      </c>
      <c r="J175" s="12">
        <v>-0.14499999999999999</v>
      </c>
      <c r="K175" s="22">
        <v>-0.06</v>
      </c>
      <c r="L175" s="12">
        <v>0.308</v>
      </c>
      <c r="M175" s="12">
        <v>-0.68300000000000005</v>
      </c>
      <c r="N175" s="12">
        <v>-0.28000000000000003</v>
      </c>
      <c r="O175" s="12">
        <v>-0.14249999999999999</v>
      </c>
      <c r="P175" s="12">
        <v>0.43</v>
      </c>
      <c r="Q175" s="12">
        <v>-7.0000000000000007E-2</v>
      </c>
    </row>
    <row r="176" spans="3:17" x14ac:dyDescent="0.2">
      <c r="C176" s="12">
        <v>4.8019999999999996</v>
      </c>
      <c r="D176" s="12">
        <v>2.5000000000000001E-3</v>
      </c>
      <c r="E176" s="12">
        <v>0.63</v>
      </c>
      <c r="F176" s="12">
        <v>0</v>
      </c>
      <c r="G176" s="12">
        <v>0.35</v>
      </c>
      <c r="H176" s="12">
        <v>-0.2</v>
      </c>
      <c r="I176" s="12">
        <v>-7.0000000000000007E-2</v>
      </c>
      <c r="J176" s="12">
        <v>-0.14499999999999999</v>
      </c>
      <c r="K176" s="22">
        <v>-0.06</v>
      </c>
      <c r="L176" s="12">
        <v>0.378</v>
      </c>
      <c r="M176" s="12">
        <v>-0.68300000000000005</v>
      </c>
      <c r="N176" s="12">
        <v>-0.28000000000000003</v>
      </c>
      <c r="O176" s="12">
        <v>-0.14499999999999999</v>
      </c>
      <c r="P176" s="12">
        <v>0.43</v>
      </c>
      <c r="Q176" s="12">
        <v>-7.0000000000000007E-2</v>
      </c>
    </row>
    <row r="177" spans="3:17" x14ac:dyDescent="0.2">
      <c r="C177" s="12">
        <v>4.6840000000000002</v>
      </c>
      <c r="D177" s="12">
        <v>2.5000000000000001E-3</v>
      </c>
      <c r="E177" s="12">
        <v>0.63</v>
      </c>
      <c r="F177" s="12">
        <v>0</v>
      </c>
      <c r="G177" s="12">
        <v>0.35</v>
      </c>
      <c r="H177" s="12">
        <v>-0.2</v>
      </c>
      <c r="I177" s="12">
        <v>-7.0000000000000007E-2</v>
      </c>
      <c r="J177" s="12">
        <v>-0.14499999999999999</v>
      </c>
      <c r="K177" s="22">
        <v>-0.06</v>
      </c>
      <c r="L177" s="12">
        <v>0.248</v>
      </c>
      <c r="M177" s="12">
        <v>-0.68300000000000005</v>
      </c>
      <c r="N177" s="12">
        <v>-0.28000000000000003</v>
      </c>
      <c r="O177" s="12">
        <v>-0.13750000000000001</v>
      </c>
      <c r="P177" s="12">
        <v>0.43</v>
      </c>
      <c r="Q177" s="12">
        <v>-7.0000000000000007E-2</v>
      </c>
    </row>
    <row r="178" spans="3:17" x14ac:dyDescent="0.2">
      <c r="C178" s="12">
        <v>4.5419999999999998</v>
      </c>
      <c r="D178" s="12">
        <v>2.5000000000000001E-3</v>
      </c>
      <c r="E178" s="12">
        <v>0.63</v>
      </c>
      <c r="F178" s="12">
        <v>0</v>
      </c>
      <c r="G178" s="12">
        <v>0.35</v>
      </c>
      <c r="H178" s="12">
        <v>-0.2</v>
      </c>
      <c r="I178" s="12">
        <v>-7.0000000000000007E-2</v>
      </c>
      <c r="J178" s="12">
        <v>-0.14499999999999999</v>
      </c>
      <c r="K178" s="22">
        <v>-0.06</v>
      </c>
      <c r="L178" s="12">
        <v>6.8000000000000005E-2</v>
      </c>
      <c r="M178" s="12">
        <v>-0.68300000000000005</v>
      </c>
      <c r="N178" s="12">
        <v>-0.28000000000000003</v>
      </c>
      <c r="O178" s="12">
        <v>-0.13500000000000001</v>
      </c>
      <c r="P178" s="12">
        <v>0.43</v>
      </c>
      <c r="Q178" s="12">
        <v>-7.0000000000000007E-2</v>
      </c>
    </row>
    <row r="179" spans="3:17" x14ac:dyDescent="0.2">
      <c r="C179" s="12">
        <v>4.3719999999999999</v>
      </c>
      <c r="D179" s="12">
        <v>2.5000000000000001E-3</v>
      </c>
      <c r="E179" s="12">
        <v>0.71</v>
      </c>
      <c r="F179" s="12">
        <v>0</v>
      </c>
      <c r="G179" s="12">
        <v>0.43</v>
      </c>
      <c r="H179" s="12">
        <v>-0.32</v>
      </c>
      <c r="I179" s="12">
        <v>-7.0000000000000007E-2</v>
      </c>
      <c r="J179" s="12">
        <v>-0.22500000000000001</v>
      </c>
      <c r="K179" s="22">
        <v>-0.06</v>
      </c>
      <c r="L179" s="12">
        <v>-0.25</v>
      </c>
      <c r="M179" s="12">
        <v>-0.79800000000000004</v>
      </c>
      <c r="N179" s="12">
        <v>0</v>
      </c>
      <c r="O179" s="12">
        <v>-0.14000000000000001</v>
      </c>
      <c r="P179" s="12">
        <v>0.51</v>
      </c>
      <c r="Q179" s="12">
        <v>-7.0000000000000007E-2</v>
      </c>
    </row>
    <row r="180" spans="3:17" x14ac:dyDescent="0.2">
      <c r="C180" s="12">
        <v>4.367</v>
      </c>
      <c r="D180" s="12">
        <v>2.5000000000000001E-3</v>
      </c>
      <c r="E180" s="12">
        <v>0.71</v>
      </c>
      <c r="F180" s="12">
        <v>0</v>
      </c>
      <c r="G180" s="12">
        <v>0.43</v>
      </c>
      <c r="H180" s="12">
        <v>-0.32</v>
      </c>
      <c r="I180" s="12">
        <v>-7.0000000000000007E-2</v>
      </c>
      <c r="J180" s="12">
        <v>-0.22500000000000001</v>
      </c>
      <c r="K180" s="22">
        <v>-0.06</v>
      </c>
      <c r="L180" s="12">
        <v>-0.1</v>
      </c>
      <c r="M180" s="12">
        <v>-0.79800000000000004</v>
      </c>
      <c r="N180" s="12">
        <v>0</v>
      </c>
      <c r="O180" s="12">
        <v>-0.14000000000000001</v>
      </c>
      <c r="P180" s="12">
        <v>0.51</v>
      </c>
      <c r="Q180" s="12">
        <v>-7.0000000000000007E-2</v>
      </c>
    </row>
    <row r="181" spans="3:17" x14ac:dyDescent="0.2">
      <c r="C181" s="12">
        <v>4.399</v>
      </c>
      <c r="D181" s="12">
        <v>2.5000000000000001E-3</v>
      </c>
      <c r="E181" s="12">
        <v>0.71</v>
      </c>
      <c r="F181" s="12">
        <v>0</v>
      </c>
      <c r="G181" s="12">
        <v>0.43</v>
      </c>
      <c r="H181" s="12">
        <v>-0.32</v>
      </c>
      <c r="I181" s="12">
        <v>-7.0000000000000007E-2</v>
      </c>
      <c r="J181" s="12">
        <v>-0.22500000000000001</v>
      </c>
      <c r="K181" s="22">
        <v>-0.06</v>
      </c>
      <c r="L181" s="12">
        <v>-0.1</v>
      </c>
      <c r="M181" s="12">
        <v>-0.79800000000000004</v>
      </c>
      <c r="N181" s="12">
        <v>0</v>
      </c>
      <c r="O181" s="12">
        <v>-0.14000000000000001</v>
      </c>
      <c r="P181" s="12">
        <v>0.51</v>
      </c>
      <c r="Q181" s="12">
        <v>-7.0000000000000007E-2</v>
      </c>
    </row>
    <row r="182" spans="3:17" x14ac:dyDescent="0.2">
      <c r="C182" s="12">
        <v>4.4450000000000003</v>
      </c>
      <c r="D182" s="12">
        <v>2.5000000000000001E-3</v>
      </c>
      <c r="E182" s="12">
        <v>0.71</v>
      </c>
      <c r="F182" s="12">
        <v>0</v>
      </c>
      <c r="G182" s="12">
        <v>0.43</v>
      </c>
      <c r="H182" s="12">
        <v>-0.32</v>
      </c>
      <c r="I182" s="12">
        <v>-7.0000000000000007E-2</v>
      </c>
      <c r="J182" s="12">
        <v>-0.22500000000000001</v>
      </c>
      <c r="K182" s="22">
        <v>-0.06</v>
      </c>
      <c r="L182" s="12">
        <v>-0.1</v>
      </c>
      <c r="M182" s="12">
        <v>-0.79800000000000004</v>
      </c>
      <c r="N182" s="12">
        <v>0</v>
      </c>
      <c r="O182" s="12">
        <v>-0.14000000000000001</v>
      </c>
      <c r="P182" s="12">
        <v>0.51</v>
      </c>
      <c r="Q182" s="12">
        <v>-7.0000000000000007E-2</v>
      </c>
    </row>
    <row r="183" spans="3:17" x14ac:dyDescent="0.2">
      <c r="C183" s="12">
        <v>4.4779999999999998</v>
      </c>
      <c r="D183" s="12">
        <v>2.5000000000000001E-3</v>
      </c>
      <c r="E183" s="12">
        <v>0.71</v>
      </c>
      <c r="F183" s="12">
        <v>0</v>
      </c>
      <c r="G183" s="12">
        <v>0.43</v>
      </c>
      <c r="H183" s="12">
        <v>-0.32</v>
      </c>
      <c r="I183" s="12">
        <v>-7.0000000000000007E-2</v>
      </c>
      <c r="J183" s="12">
        <v>-0.22500000000000001</v>
      </c>
      <c r="K183" s="22">
        <v>-0.06</v>
      </c>
      <c r="L183" s="12">
        <v>-0.1</v>
      </c>
      <c r="M183" s="12">
        <v>-0.79800000000000004</v>
      </c>
      <c r="N183" s="12">
        <v>0</v>
      </c>
      <c r="O183" s="12">
        <v>-0.14000000000000001</v>
      </c>
      <c r="P183" s="12">
        <v>0.51</v>
      </c>
      <c r="Q183" s="12">
        <v>-7.0000000000000007E-2</v>
      </c>
    </row>
    <row r="184" spans="3:17" x14ac:dyDescent="0.2">
      <c r="C184" s="12">
        <v>4.4779999999999998</v>
      </c>
      <c r="D184" s="12">
        <v>2.5000000000000001E-3</v>
      </c>
      <c r="E184" s="12">
        <v>0.71</v>
      </c>
      <c r="F184" s="12">
        <v>0</v>
      </c>
      <c r="G184" s="12">
        <v>0.43</v>
      </c>
      <c r="H184" s="12">
        <v>-0.32</v>
      </c>
      <c r="I184" s="12">
        <v>-7.0000000000000007E-2</v>
      </c>
      <c r="J184" s="12">
        <v>-0.22500000000000001</v>
      </c>
      <c r="K184" s="22">
        <v>-0.06</v>
      </c>
      <c r="L184" s="12">
        <v>-0.1</v>
      </c>
      <c r="M184" s="12">
        <v>-0.79800000000000004</v>
      </c>
      <c r="N184" s="12">
        <v>0</v>
      </c>
      <c r="O184" s="12">
        <v>-0.14000000000000001</v>
      </c>
      <c r="P184" s="12">
        <v>0.51</v>
      </c>
      <c r="Q184" s="12">
        <v>-7.0000000000000007E-2</v>
      </c>
    </row>
    <row r="185" spans="3:17" x14ac:dyDescent="0.2">
      <c r="C185" s="12">
        <v>4.4829999999999997</v>
      </c>
      <c r="D185" s="12">
        <v>2.5000000000000001E-3</v>
      </c>
      <c r="E185" s="12">
        <v>0.71</v>
      </c>
      <c r="F185" s="12">
        <v>0</v>
      </c>
      <c r="G185" s="12">
        <v>0.43</v>
      </c>
      <c r="H185" s="12">
        <v>-0.32</v>
      </c>
      <c r="I185" s="12">
        <v>-7.0000000000000007E-2</v>
      </c>
      <c r="J185" s="12">
        <v>-0.22500000000000001</v>
      </c>
      <c r="K185" s="22">
        <v>-0.06</v>
      </c>
      <c r="L185" s="12">
        <v>-0.1</v>
      </c>
      <c r="M185" s="12">
        <v>-0.79800000000000004</v>
      </c>
      <c r="N185" s="12">
        <v>0</v>
      </c>
      <c r="O185" s="12">
        <v>-0.14000000000000001</v>
      </c>
      <c r="P185" s="12">
        <v>0.51</v>
      </c>
      <c r="Q185" s="12">
        <v>-7.0000000000000007E-2</v>
      </c>
    </row>
    <row r="186" spans="3:17" x14ac:dyDescent="0.2">
      <c r="C186" s="12">
        <v>4.657</v>
      </c>
      <c r="D186" s="12">
        <v>2.5000000000000001E-3</v>
      </c>
      <c r="E186" s="12">
        <v>0.63</v>
      </c>
      <c r="F186" s="12">
        <v>0</v>
      </c>
      <c r="G186" s="12">
        <v>0.35</v>
      </c>
      <c r="H186" s="12">
        <v>-0.2</v>
      </c>
      <c r="I186" s="12">
        <v>-7.0000000000000007E-2</v>
      </c>
      <c r="J186" s="12">
        <v>-0.14499999999999999</v>
      </c>
      <c r="K186" s="22">
        <v>-0.06</v>
      </c>
      <c r="L186" s="12">
        <v>0</v>
      </c>
      <c r="M186" s="12">
        <v>-0.69799999999999995</v>
      </c>
      <c r="N186" s="12">
        <v>0</v>
      </c>
      <c r="O186" s="12">
        <v>-0.14000000000000001</v>
      </c>
      <c r="P186" s="12">
        <v>0.43</v>
      </c>
      <c r="Q186" s="12">
        <v>-7.0000000000000007E-2</v>
      </c>
    </row>
    <row r="187" spans="3:17" x14ac:dyDescent="0.2">
      <c r="C187" s="12">
        <v>4.8230000000000004</v>
      </c>
      <c r="D187" s="12">
        <v>2.5000000000000001E-3</v>
      </c>
      <c r="E187" s="12">
        <v>0.63</v>
      </c>
      <c r="F187" s="12">
        <v>0</v>
      </c>
      <c r="G187" s="12">
        <v>0.35</v>
      </c>
      <c r="H187" s="12">
        <v>-0.2</v>
      </c>
      <c r="I187" s="12">
        <v>-7.0000000000000007E-2</v>
      </c>
      <c r="J187" s="12">
        <v>-0.14499999999999999</v>
      </c>
      <c r="K187" s="22">
        <v>-0.06</v>
      </c>
      <c r="L187" s="12">
        <v>0</v>
      </c>
      <c r="M187" s="12">
        <v>-0.69799999999999995</v>
      </c>
      <c r="N187" s="12">
        <v>0</v>
      </c>
      <c r="O187" s="12">
        <v>-0.14249999999999999</v>
      </c>
      <c r="P187" s="12">
        <v>0.43</v>
      </c>
      <c r="Q187" s="12">
        <v>-7.0000000000000007E-2</v>
      </c>
    </row>
    <row r="188" spans="3:17" x14ac:dyDescent="0.2">
      <c r="C188" s="12">
        <v>4.9195000000000002</v>
      </c>
      <c r="D188" s="12">
        <v>2.5000000000000001E-3</v>
      </c>
      <c r="E188" s="12">
        <v>0.63</v>
      </c>
      <c r="F188" s="12">
        <v>0</v>
      </c>
      <c r="G188" s="12">
        <v>0.35</v>
      </c>
      <c r="H188" s="12">
        <v>-0.2</v>
      </c>
      <c r="I188" s="12">
        <v>-7.0000000000000007E-2</v>
      </c>
      <c r="J188" s="12">
        <v>-0.14499999999999999</v>
      </c>
      <c r="K188" s="22">
        <v>-0.06</v>
      </c>
      <c r="L188" s="12">
        <v>0</v>
      </c>
      <c r="M188" s="12">
        <v>-0.69799999999999995</v>
      </c>
      <c r="N188" s="12">
        <v>0</v>
      </c>
      <c r="O188" s="12">
        <v>-0.14499999999999999</v>
      </c>
      <c r="P188" s="12">
        <v>0.43</v>
      </c>
      <c r="Q188" s="12">
        <v>-7.0000000000000007E-2</v>
      </c>
    </row>
    <row r="189" spans="3:17" x14ac:dyDescent="0.2">
      <c r="C189" s="12">
        <v>4.8014999999999999</v>
      </c>
      <c r="D189" s="12">
        <v>2.5000000000000001E-3</v>
      </c>
      <c r="E189" s="12">
        <v>0.63</v>
      </c>
      <c r="F189" s="12">
        <v>0</v>
      </c>
      <c r="G189" s="12">
        <v>0.35</v>
      </c>
      <c r="H189" s="12">
        <v>-0.2</v>
      </c>
      <c r="I189" s="12">
        <v>-7.0000000000000007E-2</v>
      </c>
      <c r="J189" s="12">
        <v>-0.14499999999999999</v>
      </c>
      <c r="K189" s="22">
        <v>-0.06</v>
      </c>
      <c r="L189" s="12">
        <v>0</v>
      </c>
      <c r="M189" s="12">
        <v>-0.69799999999999995</v>
      </c>
      <c r="N189" s="12">
        <v>0</v>
      </c>
      <c r="O189" s="12">
        <v>-0.13750000000000001</v>
      </c>
      <c r="P189" s="12">
        <v>0.43</v>
      </c>
      <c r="Q189" s="12">
        <v>-7.0000000000000007E-2</v>
      </c>
    </row>
    <row r="190" spans="3:17" x14ac:dyDescent="0.2">
      <c r="C190" s="12">
        <v>4.6595000000000004</v>
      </c>
      <c r="D190" s="12">
        <v>2.5000000000000001E-3</v>
      </c>
      <c r="E190" s="12">
        <v>0.63</v>
      </c>
      <c r="F190" s="12">
        <v>0</v>
      </c>
      <c r="G190" s="12">
        <v>0.35</v>
      </c>
      <c r="H190" s="12">
        <v>-0.2</v>
      </c>
      <c r="I190" s="12">
        <v>-7.0000000000000007E-2</v>
      </c>
      <c r="J190" s="12">
        <v>-0.14499999999999999</v>
      </c>
      <c r="K190" s="22">
        <v>-0.06</v>
      </c>
      <c r="L190" s="12">
        <v>0</v>
      </c>
      <c r="M190" s="12">
        <v>-0.69799999999999995</v>
      </c>
      <c r="N190" s="12">
        <v>0</v>
      </c>
      <c r="O190" s="12">
        <v>-0.13500000000000001</v>
      </c>
      <c r="P190" s="12">
        <v>0.43</v>
      </c>
      <c r="Q190" s="12">
        <v>-7.0000000000000007E-2</v>
      </c>
    </row>
    <row r="191" spans="3:17" x14ac:dyDescent="0.2">
      <c r="C191" s="12">
        <v>4.4894999999999996</v>
      </c>
      <c r="D191" s="12">
        <v>2.5000000000000001E-3</v>
      </c>
      <c r="E191" s="12">
        <v>0.71</v>
      </c>
      <c r="F191" s="12">
        <v>0</v>
      </c>
      <c r="G191" s="12">
        <v>0.43</v>
      </c>
      <c r="H191" s="12">
        <v>-0.32</v>
      </c>
      <c r="I191" s="12">
        <v>-7.0000000000000007E-2</v>
      </c>
      <c r="J191" s="12">
        <v>-0.22500000000000001</v>
      </c>
      <c r="K191" s="22">
        <v>-0.06</v>
      </c>
      <c r="L191" s="12">
        <v>0</v>
      </c>
      <c r="M191" s="12">
        <v>-0.79800000000000004</v>
      </c>
      <c r="N191" s="12">
        <v>0</v>
      </c>
      <c r="O191" s="12">
        <v>-0.14000000000000001</v>
      </c>
      <c r="P191" s="12">
        <v>0.51</v>
      </c>
      <c r="Q191" s="12">
        <v>-7.0000000000000007E-2</v>
      </c>
    </row>
    <row r="192" spans="3:17" x14ac:dyDescent="0.2">
      <c r="C192" s="12">
        <v>4.4844999999999997</v>
      </c>
      <c r="D192" s="12">
        <v>2.5000000000000001E-3</v>
      </c>
      <c r="E192" s="12">
        <v>0.71</v>
      </c>
      <c r="F192" s="12">
        <v>0</v>
      </c>
      <c r="G192" s="12">
        <v>0.43</v>
      </c>
      <c r="H192" s="12">
        <v>-0.32</v>
      </c>
      <c r="I192" s="12">
        <v>-7.0000000000000007E-2</v>
      </c>
      <c r="J192" s="12">
        <v>-0.22500000000000001</v>
      </c>
      <c r="K192" s="22">
        <v>-0.06</v>
      </c>
      <c r="L192" s="12">
        <v>0</v>
      </c>
      <c r="M192" s="12">
        <v>-0.79800000000000004</v>
      </c>
      <c r="N192" s="12">
        <v>0</v>
      </c>
      <c r="O192" s="12">
        <v>0</v>
      </c>
      <c r="P192" s="12">
        <v>0.51</v>
      </c>
      <c r="Q192" s="12">
        <v>-7.0000000000000007E-2</v>
      </c>
    </row>
    <row r="193" spans="3:17" x14ac:dyDescent="0.2">
      <c r="C193" s="12">
        <v>4.5164999999999997</v>
      </c>
      <c r="D193" s="12">
        <v>2.5000000000000001E-3</v>
      </c>
      <c r="E193" s="12">
        <v>0.71</v>
      </c>
      <c r="F193" s="12">
        <v>0</v>
      </c>
      <c r="G193" s="12">
        <v>0.43</v>
      </c>
      <c r="H193" s="12">
        <v>-0.32</v>
      </c>
      <c r="I193" s="12">
        <v>-7.0000000000000007E-2</v>
      </c>
      <c r="J193" s="12">
        <v>-0.22500000000000001</v>
      </c>
      <c r="K193" s="22">
        <v>-0.06</v>
      </c>
      <c r="L193" s="12">
        <v>0</v>
      </c>
      <c r="M193" s="12">
        <v>-0.79800000000000004</v>
      </c>
      <c r="N193" s="12">
        <v>0</v>
      </c>
      <c r="O193" s="12">
        <v>0</v>
      </c>
      <c r="P193" s="12">
        <v>0.51</v>
      </c>
      <c r="Q193" s="12">
        <v>-7.0000000000000007E-2</v>
      </c>
    </row>
    <row r="194" spans="3:17" x14ac:dyDescent="0.2">
      <c r="C194" s="12">
        <v>4.5625</v>
      </c>
      <c r="D194" s="12">
        <v>2.5000000000000001E-3</v>
      </c>
      <c r="E194" s="12">
        <v>0.71</v>
      </c>
      <c r="F194" s="12">
        <v>0</v>
      </c>
      <c r="G194" s="12">
        <v>0.43</v>
      </c>
      <c r="H194" s="12">
        <v>-0.32</v>
      </c>
      <c r="I194" s="12">
        <v>-7.0000000000000007E-2</v>
      </c>
      <c r="J194" s="12">
        <v>-0.22500000000000001</v>
      </c>
      <c r="K194" s="22">
        <v>-0.06</v>
      </c>
      <c r="L194" s="12">
        <v>0</v>
      </c>
      <c r="M194" s="12">
        <v>-0.79800000000000004</v>
      </c>
      <c r="N194" s="12">
        <v>0</v>
      </c>
      <c r="O194" s="12">
        <v>0</v>
      </c>
      <c r="P194" s="12">
        <v>0.51</v>
      </c>
      <c r="Q194" s="12">
        <v>-7.0000000000000007E-2</v>
      </c>
    </row>
    <row r="195" spans="3:17" x14ac:dyDescent="0.2">
      <c r="C195" s="12">
        <v>4.5955000000000004</v>
      </c>
      <c r="D195" s="12">
        <v>2.5000000000000001E-3</v>
      </c>
      <c r="E195" s="12">
        <v>0.71</v>
      </c>
      <c r="F195" s="12">
        <v>0</v>
      </c>
      <c r="G195" s="12">
        <v>0.43</v>
      </c>
      <c r="H195" s="12">
        <v>-0.32</v>
      </c>
      <c r="I195" s="12">
        <v>-7.0000000000000007E-2</v>
      </c>
      <c r="J195" s="12">
        <v>-0.22500000000000001</v>
      </c>
      <c r="K195" s="22">
        <v>-0.06</v>
      </c>
      <c r="L195" s="12">
        <v>0</v>
      </c>
      <c r="M195" s="12">
        <v>-0.79800000000000004</v>
      </c>
      <c r="N195" s="12">
        <v>0</v>
      </c>
      <c r="O195" s="12">
        <v>0</v>
      </c>
      <c r="P195" s="12">
        <v>0.51</v>
      </c>
      <c r="Q195" s="12">
        <v>-7.0000000000000007E-2</v>
      </c>
    </row>
    <row r="196" spans="3:17" x14ac:dyDescent="0.2">
      <c r="C196" s="12">
        <v>4.5955000000000004</v>
      </c>
      <c r="D196" s="12">
        <v>2.5000000000000001E-3</v>
      </c>
      <c r="E196" s="12">
        <v>0.71</v>
      </c>
      <c r="F196" s="12">
        <v>0</v>
      </c>
      <c r="G196" s="12">
        <v>0.43</v>
      </c>
      <c r="H196" s="12">
        <v>-0.32</v>
      </c>
      <c r="I196" s="12">
        <v>-7.0000000000000007E-2</v>
      </c>
      <c r="J196" s="12">
        <v>-0.22500000000000001</v>
      </c>
      <c r="K196" s="22">
        <v>-0.06</v>
      </c>
      <c r="L196" s="12">
        <v>0</v>
      </c>
      <c r="M196" s="12">
        <v>-0.79800000000000004</v>
      </c>
      <c r="N196" s="12">
        <v>0</v>
      </c>
      <c r="O196" s="12">
        <v>0</v>
      </c>
      <c r="P196" s="12">
        <v>0.51</v>
      </c>
      <c r="Q196" s="12">
        <v>-7.0000000000000007E-2</v>
      </c>
    </row>
    <row r="197" spans="3:17" x14ac:dyDescent="0.2">
      <c r="C197" s="12">
        <v>4.6005000000000003</v>
      </c>
      <c r="D197" s="12">
        <v>2.5000000000000001E-3</v>
      </c>
      <c r="E197" s="12">
        <v>0.71</v>
      </c>
      <c r="F197" s="12">
        <v>0</v>
      </c>
      <c r="G197" s="12">
        <v>0.43</v>
      </c>
      <c r="H197" s="12">
        <v>-0.32</v>
      </c>
      <c r="I197" s="12">
        <v>-7.0000000000000007E-2</v>
      </c>
      <c r="J197" s="12">
        <v>-0.22500000000000001</v>
      </c>
      <c r="K197" s="22">
        <v>-0.06</v>
      </c>
      <c r="L197" s="12">
        <v>0</v>
      </c>
      <c r="M197" s="12">
        <v>-0.79800000000000004</v>
      </c>
      <c r="N197" s="12">
        <v>0</v>
      </c>
      <c r="O197" s="12">
        <v>0</v>
      </c>
      <c r="P197" s="12">
        <v>0.51</v>
      </c>
      <c r="Q197" s="12">
        <v>-7.0000000000000007E-2</v>
      </c>
    </row>
    <row r="198" spans="3:17" x14ac:dyDescent="0.2">
      <c r="C198" s="12">
        <v>4.7744999999999997</v>
      </c>
      <c r="D198" s="12">
        <v>2.5000000000000001E-3</v>
      </c>
      <c r="E198" s="12">
        <v>0.63</v>
      </c>
      <c r="F198" s="12">
        <v>0</v>
      </c>
      <c r="G198" s="12">
        <v>0.35</v>
      </c>
      <c r="H198" s="12">
        <v>-0.2</v>
      </c>
      <c r="I198" s="12">
        <v>-7.0000000000000007E-2</v>
      </c>
      <c r="J198" s="12">
        <v>-0.14499999999999999</v>
      </c>
      <c r="K198" s="22">
        <v>-0.06</v>
      </c>
      <c r="L198" s="12">
        <v>0</v>
      </c>
      <c r="M198" s="12">
        <v>-0.69799999999999995</v>
      </c>
      <c r="N198" s="12">
        <v>0</v>
      </c>
      <c r="O198" s="12">
        <v>0</v>
      </c>
      <c r="P198" s="12">
        <v>0.43</v>
      </c>
      <c r="Q198" s="12">
        <v>-7.0000000000000007E-2</v>
      </c>
    </row>
    <row r="199" spans="3:17" x14ac:dyDescent="0.2">
      <c r="C199" s="12">
        <v>4.9405000000000001</v>
      </c>
      <c r="D199" s="12">
        <v>2.5000000000000001E-3</v>
      </c>
      <c r="E199" s="12">
        <v>0.63</v>
      </c>
      <c r="F199" s="12">
        <v>0</v>
      </c>
      <c r="G199" s="12">
        <v>0.35</v>
      </c>
      <c r="H199" s="12">
        <v>-0.2</v>
      </c>
      <c r="I199" s="12">
        <v>-7.0000000000000007E-2</v>
      </c>
      <c r="J199" s="12">
        <v>-0.14499999999999999</v>
      </c>
      <c r="K199" s="22">
        <v>-0.06</v>
      </c>
      <c r="L199" s="12">
        <v>0</v>
      </c>
      <c r="M199" s="12">
        <v>-0.69799999999999995</v>
      </c>
      <c r="N199" s="12">
        <v>0</v>
      </c>
      <c r="O199" s="12">
        <v>0</v>
      </c>
      <c r="P199" s="12">
        <v>0.43</v>
      </c>
      <c r="Q199" s="12">
        <v>-7.0000000000000007E-2</v>
      </c>
    </row>
    <row r="200" spans="3:17" x14ac:dyDescent="0.2">
      <c r="C200" s="12">
        <v>5.0395000000000003</v>
      </c>
      <c r="D200" s="12">
        <v>2.5000000000000001E-3</v>
      </c>
      <c r="E200" s="12">
        <v>0.63</v>
      </c>
      <c r="F200" s="12">
        <v>0</v>
      </c>
      <c r="G200" s="12">
        <v>0.35</v>
      </c>
      <c r="H200" s="12">
        <v>-0.2</v>
      </c>
      <c r="I200" s="12">
        <v>-7.0000000000000007E-2</v>
      </c>
      <c r="J200" s="12">
        <v>-0.14499999999999999</v>
      </c>
      <c r="K200" s="22">
        <v>-0.06</v>
      </c>
      <c r="L200" s="12">
        <v>0</v>
      </c>
      <c r="M200" s="12">
        <v>-0.69799999999999995</v>
      </c>
      <c r="N200" s="12">
        <v>0</v>
      </c>
      <c r="O200" s="12">
        <v>0</v>
      </c>
      <c r="P200" s="12">
        <v>0.43</v>
      </c>
      <c r="Q200" s="12">
        <v>-7.0000000000000007E-2</v>
      </c>
    </row>
    <row r="201" spans="3:17" x14ac:dyDescent="0.2">
      <c r="C201" s="12">
        <v>4.9215</v>
      </c>
      <c r="D201" s="12">
        <v>2.5000000000000001E-3</v>
      </c>
      <c r="E201" s="12">
        <v>0.63</v>
      </c>
      <c r="F201" s="12">
        <v>0</v>
      </c>
      <c r="G201" s="12">
        <v>0.35</v>
      </c>
      <c r="H201" s="12">
        <v>-0.2</v>
      </c>
      <c r="I201" s="12">
        <v>-7.0000000000000007E-2</v>
      </c>
      <c r="J201" s="12">
        <v>-0.14499999999999999</v>
      </c>
      <c r="K201" s="22">
        <v>-0.06</v>
      </c>
      <c r="L201" s="12">
        <v>0</v>
      </c>
      <c r="M201" s="12">
        <v>-0.69799999999999995</v>
      </c>
      <c r="N201" s="12">
        <v>0</v>
      </c>
      <c r="O201" s="12">
        <v>0</v>
      </c>
      <c r="P201" s="12">
        <v>0.43</v>
      </c>
      <c r="Q201" s="12">
        <v>-7.0000000000000007E-2</v>
      </c>
    </row>
    <row r="202" spans="3:17" x14ac:dyDescent="0.2">
      <c r="C202" s="12">
        <v>4.7794999999999996</v>
      </c>
      <c r="D202" s="12">
        <v>0</v>
      </c>
      <c r="E202" s="12">
        <v>0.63</v>
      </c>
      <c r="F202" s="12">
        <v>0</v>
      </c>
      <c r="G202" s="12">
        <v>0.35</v>
      </c>
      <c r="H202" s="12">
        <v>-0.2</v>
      </c>
      <c r="I202" s="12">
        <v>-7.0000000000000007E-2</v>
      </c>
      <c r="J202" s="12">
        <v>-0.14499999999999999</v>
      </c>
      <c r="K202" s="22">
        <v>-0.06</v>
      </c>
      <c r="L202" s="12">
        <v>0</v>
      </c>
      <c r="M202" s="12">
        <v>-0.69799999999999995</v>
      </c>
      <c r="N202" s="12">
        <v>0</v>
      </c>
      <c r="O202" s="12">
        <v>0</v>
      </c>
      <c r="P202" s="12">
        <v>0.43</v>
      </c>
      <c r="Q202" s="12">
        <v>-7.0000000000000007E-2</v>
      </c>
    </row>
    <row r="203" spans="3:17" x14ac:dyDescent="0.2">
      <c r="C203" s="12">
        <v>4.6094999999999997</v>
      </c>
      <c r="D203" s="12">
        <v>0</v>
      </c>
      <c r="E203" s="12">
        <v>0.71</v>
      </c>
      <c r="F203" s="12">
        <v>0</v>
      </c>
      <c r="G203" s="12">
        <v>0.43</v>
      </c>
      <c r="H203" s="12">
        <v>-0.32</v>
      </c>
      <c r="I203" s="12">
        <v>-7.0000000000000007E-2</v>
      </c>
      <c r="J203" s="12">
        <v>-0.22500000000000001</v>
      </c>
      <c r="K203" s="22">
        <v>-0.06</v>
      </c>
      <c r="L203" s="12">
        <v>0</v>
      </c>
      <c r="M203" s="12">
        <v>-0.79800000000000004</v>
      </c>
      <c r="N203" s="12">
        <v>0</v>
      </c>
      <c r="O203" s="12">
        <v>0</v>
      </c>
      <c r="P203" s="12">
        <v>0.51</v>
      </c>
      <c r="Q203" s="12">
        <v>-7.0000000000000007E-2</v>
      </c>
    </row>
    <row r="204" spans="3:17" x14ac:dyDescent="0.2">
      <c r="C204" s="12">
        <v>4.6044999999999998</v>
      </c>
      <c r="D204" s="12">
        <v>0</v>
      </c>
      <c r="E204" s="12">
        <v>0.71</v>
      </c>
      <c r="F204" s="12">
        <v>0</v>
      </c>
      <c r="G204" s="12">
        <v>0.43</v>
      </c>
      <c r="H204" s="12">
        <v>-0.32</v>
      </c>
      <c r="I204" s="12">
        <v>-7.0000000000000007E-2</v>
      </c>
      <c r="J204" s="12">
        <v>-0.22500000000000001</v>
      </c>
      <c r="K204" s="22">
        <v>-0.06</v>
      </c>
      <c r="L204" s="12">
        <v>0</v>
      </c>
      <c r="M204" s="12">
        <v>-0.79800000000000004</v>
      </c>
      <c r="N204" s="12">
        <v>0</v>
      </c>
      <c r="O204" s="12">
        <v>0</v>
      </c>
      <c r="P204" s="12">
        <v>0.51</v>
      </c>
      <c r="Q204" s="12">
        <v>-7.0000000000000007E-2</v>
      </c>
    </row>
    <row r="205" spans="3:17" x14ac:dyDescent="0.2">
      <c r="C205" s="12">
        <v>4.6364999999999998</v>
      </c>
      <c r="D205" s="12">
        <v>0</v>
      </c>
      <c r="E205" s="12">
        <v>0.71</v>
      </c>
      <c r="F205" s="12">
        <v>0</v>
      </c>
      <c r="G205" s="12">
        <v>0.43</v>
      </c>
      <c r="H205" s="12">
        <v>-0.32</v>
      </c>
      <c r="I205" s="12">
        <v>-7.0000000000000007E-2</v>
      </c>
      <c r="J205" s="12">
        <v>-0.22500000000000001</v>
      </c>
      <c r="K205" s="22">
        <v>-0.06</v>
      </c>
      <c r="L205" s="12">
        <v>0</v>
      </c>
      <c r="M205" s="12">
        <v>-0.79800000000000004</v>
      </c>
      <c r="N205" s="12">
        <v>0</v>
      </c>
      <c r="O205" s="12">
        <v>0</v>
      </c>
      <c r="P205" s="12">
        <v>0.51</v>
      </c>
      <c r="Q205" s="12">
        <v>-7.0000000000000007E-2</v>
      </c>
    </row>
    <row r="206" spans="3:17" x14ac:dyDescent="0.2">
      <c r="C206" s="12">
        <v>4.6825000000000001</v>
      </c>
      <c r="D206" s="12">
        <v>0</v>
      </c>
      <c r="E206" s="12">
        <v>0.71</v>
      </c>
      <c r="F206" s="12">
        <v>0</v>
      </c>
      <c r="G206" s="12">
        <v>0.43</v>
      </c>
      <c r="H206" s="12">
        <v>-0.32</v>
      </c>
      <c r="I206" s="12">
        <v>-7.0000000000000007E-2</v>
      </c>
      <c r="J206" s="12">
        <v>-0.22500000000000001</v>
      </c>
      <c r="K206" s="22">
        <v>-0.06</v>
      </c>
      <c r="L206" s="12">
        <v>0</v>
      </c>
      <c r="M206" s="12">
        <v>-0.79800000000000004</v>
      </c>
      <c r="N206" s="12">
        <v>0</v>
      </c>
      <c r="O206" s="12">
        <v>0</v>
      </c>
      <c r="P206" s="12">
        <v>0.51</v>
      </c>
      <c r="Q206" s="12">
        <v>-7.0000000000000007E-2</v>
      </c>
    </row>
    <row r="207" spans="3:17" x14ac:dyDescent="0.2">
      <c r="C207" s="12">
        <v>4.7154999999999996</v>
      </c>
      <c r="D207" s="12">
        <v>0</v>
      </c>
      <c r="E207" s="12">
        <v>0.71</v>
      </c>
      <c r="F207" s="12">
        <v>0</v>
      </c>
      <c r="G207" s="12">
        <v>0.43</v>
      </c>
      <c r="H207" s="12">
        <v>-0.32</v>
      </c>
      <c r="I207" s="12">
        <v>-7.0000000000000007E-2</v>
      </c>
      <c r="J207" s="12">
        <v>-0.22500000000000001</v>
      </c>
      <c r="K207" s="22">
        <v>-0.06</v>
      </c>
      <c r="L207" s="12">
        <v>0</v>
      </c>
      <c r="M207" s="12">
        <v>-0.79800000000000004</v>
      </c>
      <c r="N207" s="12">
        <v>0</v>
      </c>
      <c r="O207" s="12">
        <v>0</v>
      </c>
      <c r="P207" s="12">
        <v>0.51</v>
      </c>
      <c r="Q207" s="12">
        <v>-7.0000000000000007E-2</v>
      </c>
    </row>
    <row r="208" spans="3:17" x14ac:dyDescent="0.2">
      <c r="C208" s="12">
        <v>4.7154999999999996</v>
      </c>
      <c r="D208" s="12">
        <v>0</v>
      </c>
      <c r="E208" s="12">
        <v>0.71</v>
      </c>
      <c r="F208" s="12">
        <v>0</v>
      </c>
      <c r="G208" s="12">
        <v>0.43</v>
      </c>
      <c r="H208" s="12">
        <v>-0.32</v>
      </c>
      <c r="I208" s="12">
        <v>-7.0000000000000007E-2</v>
      </c>
      <c r="J208" s="12">
        <v>-0.22500000000000001</v>
      </c>
      <c r="K208" s="22">
        <v>-0.06</v>
      </c>
      <c r="L208" s="12">
        <v>0</v>
      </c>
      <c r="M208" s="12">
        <v>-0.79800000000000004</v>
      </c>
      <c r="N208" s="12">
        <v>0</v>
      </c>
      <c r="O208" s="12">
        <v>0</v>
      </c>
      <c r="P208" s="12">
        <v>0.51</v>
      </c>
      <c r="Q208" s="12">
        <v>-7.0000000000000007E-2</v>
      </c>
    </row>
    <row r="209" spans="3:17" x14ac:dyDescent="0.2">
      <c r="C209" s="12">
        <v>4.7205000000000004</v>
      </c>
      <c r="D209" s="12">
        <v>0</v>
      </c>
      <c r="E209" s="12">
        <v>0.71</v>
      </c>
      <c r="F209" s="12">
        <v>0</v>
      </c>
      <c r="G209" s="12">
        <v>0.43</v>
      </c>
      <c r="H209" s="12">
        <v>-0.32</v>
      </c>
      <c r="I209" s="12">
        <v>-7.0000000000000007E-2</v>
      </c>
      <c r="J209" s="12">
        <v>-0.22500000000000001</v>
      </c>
      <c r="K209" s="22">
        <v>-0.06</v>
      </c>
      <c r="L209" s="12">
        <v>0</v>
      </c>
      <c r="M209" s="12">
        <v>-0.79800000000000004</v>
      </c>
      <c r="N209" s="12">
        <v>0</v>
      </c>
      <c r="O209" s="12">
        <v>0</v>
      </c>
      <c r="P209" s="12">
        <v>0.51</v>
      </c>
      <c r="Q209" s="12">
        <v>-7.0000000000000007E-2</v>
      </c>
    </row>
    <row r="210" spans="3:17" x14ac:dyDescent="0.2">
      <c r="C210" s="12">
        <v>4.8944999999999999</v>
      </c>
      <c r="D210" s="12">
        <v>0</v>
      </c>
      <c r="E210" s="12">
        <v>0.63</v>
      </c>
      <c r="F210" s="12">
        <v>0</v>
      </c>
      <c r="G210" s="12">
        <v>0.35</v>
      </c>
      <c r="H210" s="12">
        <v>-0.2</v>
      </c>
      <c r="I210" s="12">
        <v>-7.0000000000000007E-2</v>
      </c>
      <c r="J210" s="12">
        <v>-0.14499999999999999</v>
      </c>
      <c r="K210" s="22">
        <v>-0.06</v>
      </c>
      <c r="L210" s="12">
        <v>0</v>
      </c>
      <c r="M210" s="12">
        <v>-0.69799999999999995</v>
      </c>
      <c r="N210" s="12">
        <v>0</v>
      </c>
      <c r="O210" s="12">
        <v>0</v>
      </c>
      <c r="P210" s="12">
        <v>0.43</v>
      </c>
      <c r="Q210" s="12">
        <v>-7.0000000000000007E-2</v>
      </c>
    </row>
    <row r="211" spans="3:17" x14ac:dyDescent="0.2">
      <c r="C211" s="12">
        <v>5.0605000000000002</v>
      </c>
      <c r="D211" s="12">
        <v>0</v>
      </c>
      <c r="E211" s="12">
        <v>0.63</v>
      </c>
      <c r="F211" s="12">
        <v>0</v>
      </c>
      <c r="G211" s="12">
        <v>0.35</v>
      </c>
      <c r="H211" s="12">
        <v>-0.2</v>
      </c>
      <c r="I211" s="12">
        <v>-7.0000000000000007E-2</v>
      </c>
      <c r="J211" s="12">
        <v>-0.14499999999999999</v>
      </c>
      <c r="K211" s="22">
        <v>-0.06</v>
      </c>
      <c r="L211" s="12">
        <v>0</v>
      </c>
      <c r="M211" s="12">
        <v>-0.69799999999999995</v>
      </c>
      <c r="N211" s="12">
        <v>0</v>
      </c>
      <c r="O211" s="12">
        <v>0</v>
      </c>
      <c r="P211" s="12">
        <v>0.43</v>
      </c>
      <c r="Q211" s="12">
        <v>-7.0000000000000007E-2</v>
      </c>
    </row>
    <row r="212" spans="3:17" x14ac:dyDescent="0.2">
      <c r="C212" s="12">
        <v>5.1619999999999999</v>
      </c>
      <c r="D212" s="12">
        <v>0</v>
      </c>
      <c r="E212" s="12">
        <v>0.63</v>
      </c>
      <c r="F212" s="12">
        <v>0</v>
      </c>
      <c r="G212" s="12">
        <v>0.35</v>
      </c>
      <c r="H212" s="12">
        <v>-0.2</v>
      </c>
      <c r="I212" s="12">
        <v>-7.0000000000000007E-2</v>
      </c>
      <c r="J212" s="12">
        <v>-0.14499999999999999</v>
      </c>
      <c r="K212" s="22">
        <v>-0.06</v>
      </c>
      <c r="L212" s="12">
        <v>0</v>
      </c>
      <c r="M212" s="12">
        <v>-0.69799999999999995</v>
      </c>
      <c r="N212" s="12">
        <v>0</v>
      </c>
      <c r="O212" s="12">
        <v>0</v>
      </c>
      <c r="P212" s="12">
        <v>0.43</v>
      </c>
      <c r="Q212" s="12">
        <v>-7.0000000000000007E-2</v>
      </c>
    </row>
    <row r="213" spans="3:17" x14ac:dyDescent="0.2">
      <c r="C213" s="12">
        <v>5.0439999999999996</v>
      </c>
      <c r="D213" s="12">
        <v>0</v>
      </c>
      <c r="E213" s="12">
        <v>0.63</v>
      </c>
      <c r="F213" s="12">
        <v>0</v>
      </c>
      <c r="G213" s="12">
        <v>0.35</v>
      </c>
      <c r="H213" s="12">
        <v>-0.2</v>
      </c>
      <c r="I213" s="12">
        <v>-7.0000000000000007E-2</v>
      </c>
      <c r="J213" s="12">
        <v>-0.14499999999999999</v>
      </c>
      <c r="K213" s="22">
        <v>-0.06</v>
      </c>
      <c r="L213" s="12">
        <v>0</v>
      </c>
      <c r="M213" s="12">
        <v>-0.69799999999999995</v>
      </c>
      <c r="N213" s="12">
        <v>0</v>
      </c>
      <c r="O213" s="12">
        <v>0</v>
      </c>
      <c r="P213" s="12">
        <v>0.43</v>
      </c>
      <c r="Q213" s="12">
        <v>-7.0000000000000007E-2</v>
      </c>
    </row>
    <row r="214" spans="3:17" x14ac:dyDescent="0.2">
      <c r="C214" s="12">
        <v>4.9020000000000001</v>
      </c>
      <c r="D214" s="12">
        <v>0</v>
      </c>
      <c r="E214" s="12">
        <v>0.63</v>
      </c>
      <c r="F214" s="12">
        <v>0</v>
      </c>
      <c r="G214" s="12">
        <v>0.35</v>
      </c>
      <c r="H214" s="12">
        <v>-0.2</v>
      </c>
      <c r="I214" s="12">
        <v>-7.0000000000000007E-2</v>
      </c>
      <c r="J214" s="12">
        <v>-0.14499999999999999</v>
      </c>
      <c r="K214" s="22">
        <v>-0.06</v>
      </c>
      <c r="L214" s="12">
        <v>0</v>
      </c>
      <c r="M214" s="12">
        <v>-0.69799999999999995</v>
      </c>
      <c r="N214" s="12">
        <v>0</v>
      </c>
      <c r="O214" s="12">
        <v>0</v>
      </c>
      <c r="P214" s="12">
        <v>0.43</v>
      </c>
      <c r="Q214" s="12">
        <v>-7.0000000000000007E-2</v>
      </c>
    </row>
    <row r="215" spans="3:17" x14ac:dyDescent="0.2">
      <c r="C215" s="12">
        <v>4.7320000000000002</v>
      </c>
      <c r="D215" s="12">
        <v>0</v>
      </c>
      <c r="E215" s="12">
        <v>0.71</v>
      </c>
      <c r="F215" s="12">
        <v>0</v>
      </c>
      <c r="G215" s="12">
        <v>0.43</v>
      </c>
      <c r="H215" s="12">
        <v>-0.32</v>
      </c>
      <c r="I215" s="12">
        <v>-7.0000000000000007E-2</v>
      </c>
      <c r="J215" s="12">
        <v>-0.22500000000000001</v>
      </c>
      <c r="K215" s="22">
        <v>-0.06</v>
      </c>
      <c r="L215" s="12">
        <v>0</v>
      </c>
      <c r="M215" s="12">
        <v>-0.79800000000000004</v>
      </c>
      <c r="N215" s="12">
        <v>0</v>
      </c>
      <c r="O215" s="12">
        <v>0</v>
      </c>
      <c r="P215" s="12">
        <v>0.51</v>
      </c>
      <c r="Q215" s="12">
        <v>-7.0000000000000007E-2</v>
      </c>
    </row>
    <row r="216" spans="3:17" x14ac:dyDescent="0.2">
      <c r="C216" s="12">
        <v>4.7270000000000003</v>
      </c>
      <c r="D216" s="12">
        <v>0</v>
      </c>
      <c r="E216" s="12">
        <v>0.71</v>
      </c>
      <c r="F216" s="12">
        <v>0</v>
      </c>
      <c r="G216" s="12">
        <v>0.43</v>
      </c>
      <c r="H216" s="12">
        <v>-0.32</v>
      </c>
      <c r="I216" s="12">
        <v>-7.0000000000000007E-2</v>
      </c>
      <c r="J216" s="12">
        <v>-0.22500000000000001</v>
      </c>
      <c r="K216" s="22">
        <v>-0.06</v>
      </c>
      <c r="L216" s="12">
        <v>0</v>
      </c>
      <c r="M216" s="12">
        <v>-0.79800000000000004</v>
      </c>
      <c r="N216" s="12">
        <v>0</v>
      </c>
      <c r="O216" s="12">
        <v>0</v>
      </c>
      <c r="P216" s="12">
        <v>0.51</v>
      </c>
      <c r="Q216" s="12">
        <v>-7.0000000000000007E-2</v>
      </c>
    </row>
    <row r="217" spans="3:17" x14ac:dyDescent="0.2">
      <c r="C217" s="12">
        <v>4.7590000000000003</v>
      </c>
      <c r="D217" s="12">
        <v>0</v>
      </c>
      <c r="E217" s="12">
        <v>0.71</v>
      </c>
      <c r="F217" s="12">
        <v>0</v>
      </c>
      <c r="G217" s="12">
        <v>0.43</v>
      </c>
      <c r="H217" s="12">
        <v>-0.32</v>
      </c>
      <c r="I217" s="12">
        <v>-7.0000000000000007E-2</v>
      </c>
      <c r="J217" s="12">
        <v>-0.22500000000000001</v>
      </c>
      <c r="K217" s="22">
        <v>-0.06</v>
      </c>
      <c r="L217" s="12">
        <v>0</v>
      </c>
      <c r="M217" s="12">
        <v>-0.79800000000000004</v>
      </c>
      <c r="N217" s="12">
        <v>0</v>
      </c>
      <c r="O217" s="12">
        <v>0</v>
      </c>
      <c r="P217" s="12">
        <v>0.51</v>
      </c>
      <c r="Q217" s="12">
        <v>-7.0000000000000007E-2</v>
      </c>
    </row>
    <row r="218" spans="3:17" x14ac:dyDescent="0.2">
      <c r="C218" s="12">
        <v>4.8049999999999997</v>
      </c>
      <c r="D218" s="12">
        <v>0</v>
      </c>
      <c r="E218" s="12">
        <v>0.71</v>
      </c>
      <c r="F218" s="12">
        <v>0</v>
      </c>
      <c r="G218" s="12">
        <v>0.43</v>
      </c>
      <c r="H218" s="12">
        <v>-0.32</v>
      </c>
      <c r="I218" s="12">
        <v>-7.0000000000000007E-2</v>
      </c>
      <c r="J218" s="12">
        <v>-0.22500000000000001</v>
      </c>
      <c r="K218" s="22">
        <v>-0.06</v>
      </c>
      <c r="L218" s="12">
        <v>0</v>
      </c>
      <c r="M218" s="12">
        <v>-0.79800000000000004</v>
      </c>
      <c r="N218" s="12">
        <v>0</v>
      </c>
      <c r="O218" s="12">
        <v>0</v>
      </c>
      <c r="P218" s="12">
        <v>0.51</v>
      </c>
      <c r="Q218" s="12">
        <v>-7.0000000000000007E-2</v>
      </c>
    </row>
    <row r="219" spans="3:17" x14ac:dyDescent="0.2">
      <c r="C219" s="12">
        <v>4.8380000000000001</v>
      </c>
      <c r="D219" s="12">
        <v>0</v>
      </c>
      <c r="E219" s="12">
        <v>0.71</v>
      </c>
      <c r="F219" s="12">
        <v>0</v>
      </c>
      <c r="G219" s="12">
        <v>0.43</v>
      </c>
      <c r="H219" s="12">
        <v>-0.32</v>
      </c>
      <c r="I219" s="12">
        <v>-7.0000000000000007E-2</v>
      </c>
      <c r="J219" s="12">
        <v>-0.22500000000000001</v>
      </c>
      <c r="K219" s="22">
        <v>-0.06</v>
      </c>
      <c r="L219" s="12">
        <v>0</v>
      </c>
      <c r="M219" s="12">
        <v>-0.79800000000000004</v>
      </c>
      <c r="N219" s="12">
        <v>0</v>
      </c>
      <c r="O219" s="12">
        <v>0</v>
      </c>
      <c r="P219" s="12">
        <v>0.51</v>
      </c>
      <c r="Q219" s="12">
        <v>-7.0000000000000007E-2</v>
      </c>
    </row>
    <row r="220" spans="3:17" x14ac:dyDescent="0.2">
      <c r="C220" s="12">
        <v>4.8380000000000001</v>
      </c>
      <c r="D220" s="12">
        <v>0</v>
      </c>
      <c r="E220" s="12">
        <v>0.71</v>
      </c>
      <c r="F220" s="12">
        <v>0</v>
      </c>
      <c r="G220" s="12">
        <v>0.43</v>
      </c>
      <c r="H220" s="12">
        <v>-0.32</v>
      </c>
      <c r="I220" s="12">
        <v>-7.0000000000000007E-2</v>
      </c>
      <c r="J220" s="12">
        <v>-0.22500000000000001</v>
      </c>
      <c r="K220" s="22">
        <v>-0.06</v>
      </c>
      <c r="L220" s="12">
        <v>0</v>
      </c>
      <c r="M220" s="12">
        <v>-0.79800000000000004</v>
      </c>
      <c r="N220" s="12">
        <v>0</v>
      </c>
      <c r="O220" s="12">
        <v>0</v>
      </c>
      <c r="P220" s="12">
        <v>0.51</v>
      </c>
      <c r="Q220" s="12">
        <v>-7.0000000000000007E-2</v>
      </c>
    </row>
    <row r="221" spans="3:17" x14ac:dyDescent="0.2">
      <c r="C221" s="12">
        <v>4.843</v>
      </c>
      <c r="D221" s="12">
        <v>0</v>
      </c>
      <c r="E221" s="12">
        <v>0.71</v>
      </c>
      <c r="F221" s="12">
        <v>0</v>
      </c>
      <c r="G221" s="12">
        <v>0.43</v>
      </c>
      <c r="H221" s="12">
        <v>-0.32</v>
      </c>
      <c r="I221" s="12">
        <v>-7.0000000000000007E-2</v>
      </c>
      <c r="J221" s="12">
        <v>-0.22500000000000001</v>
      </c>
      <c r="K221" s="22">
        <v>-0.06</v>
      </c>
      <c r="L221" s="12">
        <v>0</v>
      </c>
      <c r="M221" s="12">
        <v>-0.79800000000000004</v>
      </c>
      <c r="N221" s="12">
        <v>0</v>
      </c>
      <c r="O221" s="12">
        <v>0</v>
      </c>
      <c r="P221" s="12">
        <v>0.51</v>
      </c>
      <c r="Q221" s="12">
        <v>-7.0000000000000007E-2</v>
      </c>
    </row>
    <row r="222" spans="3:17" x14ac:dyDescent="0.2">
      <c r="C222" s="12">
        <v>5.0170000000000003</v>
      </c>
      <c r="D222" s="12">
        <v>0</v>
      </c>
      <c r="E222" s="12">
        <v>0.63</v>
      </c>
      <c r="F222" s="12">
        <v>0</v>
      </c>
      <c r="G222" s="12">
        <v>0.35</v>
      </c>
      <c r="H222" s="12">
        <v>-0.2</v>
      </c>
      <c r="I222" s="12">
        <v>-7.0000000000000007E-2</v>
      </c>
      <c r="J222" s="12">
        <v>-0.14499999999999999</v>
      </c>
      <c r="K222" s="22">
        <v>-0.06</v>
      </c>
      <c r="L222" s="12">
        <v>0</v>
      </c>
      <c r="M222" s="12">
        <v>-0.69799999999999995</v>
      </c>
      <c r="N222" s="12">
        <v>0</v>
      </c>
      <c r="P222" s="12">
        <v>0.43</v>
      </c>
      <c r="Q222" s="12">
        <v>-7.0000000000000007E-2</v>
      </c>
    </row>
    <row r="223" spans="3:17" x14ac:dyDescent="0.2">
      <c r="C223" s="12">
        <v>5.1829999999999998</v>
      </c>
      <c r="D223" s="12">
        <v>0</v>
      </c>
      <c r="E223" s="12">
        <v>0.63</v>
      </c>
      <c r="F223" s="12">
        <v>0</v>
      </c>
      <c r="G223" s="12">
        <v>0.35</v>
      </c>
      <c r="H223" s="12">
        <v>-0.2</v>
      </c>
      <c r="I223" s="12">
        <v>-7.0000000000000007E-2</v>
      </c>
      <c r="J223" s="12">
        <v>-0.14499999999999999</v>
      </c>
      <c r="K223" s="22">
        <v>-0.06</v>
      </c>
      <c r="L223" s="12">
        <v>0</v>
      </c>
      <c r="M223" s="12">
        <v>-0.69799999999999995</v>
      </c>
      <c r="N223" s="12">
        <v>0</v>
      </c>
      <c r="P223" s="12">
        <v>0.43</v>
      </c>
      <c r="Q223" s="12">
        <v>-7.0000000000000007E-2</v>
      </c>
    </row>
    <row r="224" spans="3:17" x14ac:dyDescent="0.2">
      <c r="C224" s="12">
        <v>5.2869999999999999</v>
      </c>
      <c r="D224" s="12">
        <v>0</v>
      </c>
      <c r="E224" s="12">
        <v>0.63</v>
      </c>
      <c r="F224" s="12">
        <v>0</v>
      </c>
      <c r="G224" s="12">
        <v>0.35</v>
      </c>
      <c r="H224" s="12">
        <v>-0.2</v>
      </c>
      <c r="I224" s="12">
        <v>-7.0000000000000007E-2</v>
      </c>
      <c r="J224" s="12">
        <v>-0.14499999999999999</v>
      </c>
      <c r="K224" s="22">
        <v>-0.06</v>
      </c>
      <c r="L224" s="12">
        <v>0</v>
      </c>
      <c r="M224" s="12">
        <v>-0.69799999999999995</v>
      </c>
      <c r="N224" s="12">
        <v>0</v>
      </c>
      <c r="P224" s="12">
        <v>0.43</v>
      </c>
      <c r="Q224" s="12">
        <v>-7.0000000000000007E-2</v>
      </c>
    </row>
    <row r="225" spans="3:17" x14ac:dyDescent="0.2">
      <c r="C225" s="12">
        <v>5.1689999999999996</v>
      </c>
      <c r="D225" s="12">
        <v>0</v>
      </c>
      <c r="E225" s="12">
        <v>0.63</v>
      </c>
      <c r="F225" s="12">
        <v>0</v>
      </c>
      <c r="G225" s="12">
        <v>0.35</v>
      </c>
      <c r="H225" s="12">
        <v>-0.2</v>
      </c>
      <c r="I225" s="12">
        <v>-7.0000000000000007E-2</v>
      </c>
      <c r="J225" s="12">
        <v>-0.14499999999999999</v>
      </c>
      <c r="K225" s="22">
        <v>-0.06</v>
      </c>
      <c r="L225" s="12">
        <v>0</v>
      </c>
      <c r="M225" s="12">
        <v>-0.69799999999999995</v>
      </c>
      <c r="N225" s="12">
        <v>0</v>
      </c>
      <c r="P225" s="12">
        <v>0.43</v>
      </c>
      <c r="Q225" s="12">
        <v>-7.0000000000000007E-2</v>
      </c>
    </row>
    <row r="226" spans="3:17" x14ac:dyDescent="0.2">
      <c r="C226" s="12">
        <v>5.0270000000000001</v>
      </c>
      <c r="D226" s="12">
        <v>0</v>
      </c>
      <c r="E226" s="12">
        <v>0.63</v>
      </c>
      <c r="F226" s="12">
        <v>0</v>
      </c>
      <c r="G226" s="12">
        <v>0.35</v>
      </c>
      <c r="H226" s="12">
        <v>-0.2</v>
      </c>
      <c r="I226" s="12">
        <v>-7.0000000000000007E-2</v>
      </c>
      <c r="J226" s="12">
        <v>-0.14499999999999999</v>
      </c>
      <c r="K226" s="22">
        <v>-0.06</v>
      </c>
      <c r="L226" s="12">
        <v>0</v>
      </c>
      <c r="M226" s="12">
        <v>-0.69799999999999995</v>
      </c>
      <c r="N226" s="12">
        <v>0</v>
      </c>
      <c r="P226" s="12">
        <v>0.43</v>
      </c>
      <c r="Q226" s="12">
        <v>-7.0000000000000007E-2</v>
      </c>
    </row>
    <row r="227" spans="3:17" x14ac:dyDescent="0.2">
      <c r="C227" s="12">
        <v>4.8570000000000002</v>
      </c>
      <c r="D227" s="12">
        <v>0</v>
      </c>
      <c r="E227" s="12">
        <v>0.71</v>
      </c>
      <c r="F227" s="12">
        <v>0</v>
      </c>
      <c r="G227" s="12">
        <v>0.43</v>
      </c>
      <c r="H227" s="12">
        <v>-0.32</v>
      </c>
      <c r="I227" s="12">
        <v>-7.0000000000000007E-2</v>
      </c>
      <c r="J227" s="12">
        <v>-0.22500000000000001</v>
      </c>
      <c r="K227" s="22">
        <v>-0.06</v>
      </c>
      <c r="L227" s="12">
        <v>0</v>
      </c>
      <c r="M227" s="12">
        <v>-0.79800000000000004</v>
      </c>
      <c r="N227" s="12">
        <v>0</v>
      </c>
      <c r="P227" s="12">
        <v>0.51</v>
      </c>
      <c r="Q227" s="12">
        <v>-7.0000000000000007E-2</v>
      </c>
    </row>
    <row r="228" spans="3:17" x14ac:dyDescent="0.2">
      <c r="C228" s="12">
        <v>4.8520000000000003</v>
      </c>
      <c r="D228" s="12">
        <v>0</v>
      </c>
      <c r="E228" s="12">
        <v>0.71</v>
      </c>
      <c r="F228" s="12">
        <v>0</v>
      </c>
      <c r="G228" s="12">
        <v>0.43</v>
      </c>
      <c r="H228" s="12">
        <v>-0.32</v>
      </c>
      <c r="I228" s="12">
        <v>-7.0000000000000007E-2</v>
      </c>
      <c r="J228" s="12">
        <v>-0.22500000000000001</v>
      </c>
      <c r="K228" s="22">
        <v>-0.06</v>
      </c>
      <c r="L228" s="12">
        <v>0</v>
      </c>
      <c r="M228" s="12">
        <v>-0.79800000000000004</v>
      </c>
      <c r="N228" s="12">
        <v>0</v>
      </c>
      <c r="P228" s="12">
        <v>0.51</v>
      </c>
      <c r="Q228" s="12">
        <v>-7.0000000000000007E-2</v>
      </c>
    </row>
    <row r="229" spans="3:17" x14ac:dyDescent="0.2">
      <c r="C229" s="12">
        <v>4.8840000000000003</v>
      </c>
      <c r="D229" s="12">
        <v>0</v>
      </c>
      <c r="E229" s="12">
        <v>0.71</v>
      </c>
      <c r="F229" s="12">
        <v>0</v>
      </c>
      <c r="G229" s="12">
        <v>0.43</v>
      </c>
      <c r="H229" s="12">
        <v>-0.32</v>
      </c>
      <c r="I229" s="12">
        <v>-7.0000000000000007E-2</v>
      </c>
      <c r="J229" s="12">
        <v>-0.22500000000000001</v>
      </c>
      <c r="K229" s="22">
        <v>-0.06</v>
      </c>
      <c r="L229" s="12">
        <v>0</v>
      </c>
      <c r="M229" s="12">
        <v>-0.79800000000000004</v>
      </c>
      <c r="N229" s="12">
        <v>0</v>
      </c>
      <c r="P229" s="12">
        <v>0.51</v>
      </c>
      <c r="Q229" s="12">
        <v>-7.0000000000000007E-2</v>
      </c>
    </row>
    <row r="230" spans="3:17" x14ac:dyDescent="0.2">
      <c r="C230" s="12">
        <v>4.93</v>
      </c>
      <c r="D230" s="12">
        <v>0</v>
      </c>
      <c r="E230" s="12">
        <v>0.71</v>
      </c>
      <c r="F230" s="12">
        <v>0</v>
      </c>
      <c r="G230" s="12">
        <v>0.43</v>
      </c>
      <c r="H230" s="12">
        <v>-0.32</v>
      </c>
      <c r="I230" s="12">
        <v>-7.0000000000000007E-2</v>
      </c>
      <c r="J230" s="12">
        <v>-0.22500000000000001</v>
      </c>
      <c r="K230" s="22">
        <v>-0.06</v>
      </c>
      <c r="L230" s="12">
        <v>0</v>
      </c>
      <c r="M230" s="12">
        <v>-0.79800000000000004</v>
      </c>
      <c r="N230" s="12">
        <v>0</v>
      </c>
      <c r="P230" s="12">
        <v>0.51</v>
      </c>
      <c r="Q230" s="12">
        <v>-7.0000000000000007E-2</v>
      </c>
    </row>
    <row r="231" spans="3:17" x14ac:dyDescent="0.2">
      <c r="C231" s="12">
        <v>4.9630000000000001</v>
      </c>
      <c r="D231" s="12">
        <v>0</v>
      </c>
      <c r="E231" s="12">
        <v>0.71</v>
      </c>
      <c r="F231" s="12">
        <v>0</v>
      </c>
      <c r="G231" s="12">
        <v>0.43</v>
      </c>
      <c r="H231" s="12">
        <v>-0.32</v>
      </c>
      <c r="I231" s="12">
        <v>-7.0000000000000007E-2</v>
      </c>
      <c r="J231" s="12">
        <v>-0.22500000000000001</v>
      </c>
      <c r="K231" s="22">
        <v>-0.06</v>
      </c>
      <c r="L231" s="12">
        <v>0</v>
      </c>
      <c r="M231" s="12">
        <v>-0.79800000000000004</v>
      </c>
      <c r="N231" s="12">
        <v>0</v>
      </c>
      <c r="P231" s="12">
        <v>0.51</v>
      </c>
      <c r="Q231" s="12">
        <v>-7.0000000000000007E-2</v>
      </c>
    </row>
    <row r="232" spans="3:17" x14ac:dyDescent="0.2">
      <c r="C232" s="12">
        <v>4.9630000000000001</v>
      </c>
      <c r="D232" s="12">
        <v>0</v>
      </c>
      <c r="E232" s="12">
        <v>0.71</v>
      </c>
      <c r="F232" s="12">
        <v>0</v>
      </c>
      <c r="G232" s="12">
        <v>0.43</v>
      </c>
      <c r="H232" s="12">
        <v>-0.32</v>
      </c>
      <c r="I232" s="12">
        <v>-7.0000000000000007E-2</v>
      </c>
      <c r="J232" s="12">
        <v>-0.22500000000000001</v>
      </c>
      <c r="K232" s="22">
        <v>-0.06</v>
      </c>
      <c r="L232" s="12">
        <v>0</v>
      </c>
      <c r="M232" s="12">
        <v>-0.79800000000000004</v>
      </c>
      <c r="N232" s="12">
        <v>0</v>
      </c>
      <c r="P232" s="12">
        <v>0.51</v>
      </c>
      <c r="Q232" s="12">
        <v>-7.0000000000000007E-2</v>
      </c>
    </row>
    <row r="233" spans="3:17" x14ac:dyDescent="0.2">
      <c r="C233" s="12">
        <v>4.968</v>
      </c>
      <c r="D233" s="12">
        <v>0</v>
      </c>
      <c r="E233" s="12">
        <v>0.71</v>
      </c>
      <c r="F233" s="12">
        <v>0</v>
      </c>
      <c r="G233" s="12">
        <v>0.43</v>
      </c>
      <c r="H233" s="12">
        <v>-0.32</v>
      </c>
      <c r="I233" s="12">
        <v>-7.0000000000000007E-2</v>
      </c>
      <c r="J233" s="12">
        <v>-0.22500000000000001</v>
      </c>
      <c r="K233" s="22">
        <v>-0.06</v>
      </c>
      <c r="L233" s="12">
        <v>0</v>
      </c>
      <c r="M233" s="12">
        <v>-0.79800000000000004</v>
      </c>
      <c r="N233" s="12">
        <v>0</v>
      </c>
      <c r="P233" s="12">
        <v>0.51</v>
      </c>
      <c r="Q233" s="12">
        <v>-7.0000000000000007E-2</v>
      </c>
    </row>
    <row r="234" spans="3:17" x14ac:dyDescent="0.2">
      <c r="C234" s="12">
        <v>5.1420000000000003</v>
      </c>
      <c r="D234" s="12">
        <v>0</v>
      </c>
      <c r="E234" s="12">
        <v>0.63</v>
      </c>
      <c r="F234" s="12">
        <v>0</v>
      </c>
      <c r="G234" s="12">
        <v>0.35</v>
      </c>
      <c r="H234" s="12">
        <v>-0.2</v>
      </c>
      <c r="I234" s="12">
        <v>-7.0000000000000007E-2</v>
      </c>
      <c r="J234" s="12">
        <v>-0.14499999999999999</v>
      </c>
      <c r="K234" s="22">
        <v>-0.06</v>
      </c>
      <c r="L234" s="12">
        <v>0</v>
      </c>
      <c r="M234" s="12">
        <v>-0.69799999999999995</v>
      </c>
      <c r="N234" s="12">
        <v>0</v>
      </c>
      <c r="P234" s="12">
        <v>0.43</v>
      </c>
      <c r="Q234" s="12">
        <v>-7.0000000000000007E-2</v>
      </c>
    </row>
    <row r="235" spans="3:17" x14ac:dyDescent="0.2">
      <c r="C235" s="12">
        <v>5.3079999999999998</v>
      </c>
      <c r="D235" s="12">
        <v>0</v>
      </c>
      <c r="E235" s="12">
        <v>0.63</v>
      </c>
      <c r="F235" s="12">
        <v>0</v>
      </c>
      <c r="G235" s="12">
        <v>0.35</v>
      </c>
      <c r="H235" s="12">
        <v>-0.2</v>
      </c>
      <c r="I235" s="12">
        <v>-7.0000000000000007E-2</v>
      </c>
      <c r="J235" s="12">
        <v>-0.14499999999999999</v>
      </c>
      <c r="K235" s="22">
        <v>-0.06</v>
      </c>
      <c r="L235" s="12">
        <v>0</v>
      </c>
      <c r="M235" s="12">
        <v>-0.69799999999999995</v>
      </c>
      <c r="N235" s="12">
        <v>0</v>
      </c>
      <c r="P235" s="12">
        <v>0.43</v>
      </c>
      <c r="Q235" s="12">
        <v>-7.0000000000000007E-2</v>
      </c>
    </row>
    <row r="236" spans="3:17" x14ac:dyDescent="0.2">
      <c r="C236" s="12">
        <v>5.4119999999999999</v>
      </c>
      <c r="D236" s="12">
        <v>0</v>
      </c>
      <c r="E236" s="12">
        <v>0.63</v>
      </c>
      <c r="F236" s="12">
        <v>0</v>
      </c>
      <c r="G236" s="12">
        <v>0.35</v>
      </c>
      <c r="H236" s="12">
        <v>-0.2</v>
      </c>
      <c r="I236" s="12">
        <v>-7.0000000000000007E-2</v>
      </c>
      <c r="J236" s="12">
        <v>-0.14499999999999999</v>
      </c>
      <c r="K236" s="22">
        <v>-0.06</v>
      </c>
      <c r="L236" s="12">
        <v>0</v>
      </c>
      <c r="M236" s="12">
        <v>-0.69799999999999995</v>
      </c>
      <c r="N236" s="12">
        <v>0</v>
      </c>
      <c r="P236" s="12">
        <v>0.43</v>
      </c>
      <c r="Q236" s="12">
        <v>-7.0000000000000007E-2</v>
      </c>
    </row>
    <row r="237" spans="3:17" x14ac:dyDescent="0.2">
      <c r="C237" s="12">
        <v>5.2939999999999996</v>
      </c>
      <c r="D237" s="12">
        <v>0</v>
      </c>
      <c r="E237" s="12">
        <v>0.63</v>
      </c>
      <c r="F237" s="12">
        <v>0</v>
      </c>
      <c r="G237" s="12">
        <v>0.35</v>
      </c>
      <c r="H237" s="12">
        <v>-0.2</v>
      </c>
      <c r="I237" s="12">
        <v>-7.0000000000000007E-2</v>
      </c>
      <c r="J237" s="12">
        <v>-0.14499999999999999</v>
      </c>
      <c r="K237" s="22">
        <v>-0.06</v>
      </c>
      <c r="L237" s="12">
        <v>0</v>
      </c>
      <c r="M237" s="12">
        <v>-0.69799999999999995</v>
      </c>
      <c r="N237" s="12">
        <v>0</v>
      </c>
      <c r="P237" s="12">
        <v>0.43</v>
      </c>
      <c r="Q237" s="12">
        <v>-7.0000000000000007E-2</v>
      </c>
    </row>
    <row r="238" spans="3:17" x14ac:dyDescent="0.2">
      <c r="C238" s="12">
        <v>5.1520000000000001</v>
      </c>
      <c r="D238" s="12">
        <v>0</v>
      </c>
      <c r="E238" s="12">
        <v>0.63</v>
      </c>
      <c r="F238" s="12">
        <v>0</v>
      </c>
      <c r="G238" s="12">
        <v>0.35</v>
      </c>
      <c r="H238" s="12">
        <v>-0.2</v>
      </c>
      <c r="I238" s="12">
        <v>-7.0000000000000007E-2</v>
      </c>
      <c r="J238" s="12">
        <v>-0.14499999999999999</v>
      </c>
      <c r="K238" s="22">
        <v>-0.06</v>
      </c>
      <c r="L238" s="12">
        <v>0</v>
      </c>
      <c r="M238" s="12">
        <v>-0.69799999999999995</v>
      </c>
      <c r="N238" s="12">
        <v>0</v>
      </c>
      <c r="P238" s="12">
        <v>0.43</v>
      </c>
      <c r="Q238" s="12">
        <v>-7.0000000000000007E-2</v>
      </c>
    </row>
    <row r="239" spans="3:17" x14ac:dyDescent="0.2">
      <c r="C239" s="12">
        <v>4.9820000000000002</v>
      </c>
      <c r="D239" s="12">
        <v>0</v>
      </c>
      <c r="E239" s="12">
        <v>0.71</v>
      </c>
      <c r="F239" s="12">
        <v>0</v>
      </c>
      <c r="G239" s="12">
        <v>0.43</v>
      </c>
      <c r="H239" s="12">
        <v>-0.32</v>
      </c>
      <c r="I239" s="12">
        <v>-7.0000000000000007E-2</v>
      </c>
      <c r="J239" s="12">
        <v>-0.22500000000000001</v>
      </c>
      <c r="K239" s="22">
        <v>-0.06</v>
      </c>
      <c r="L239" s="12">
        <v>0</v>
      </c>
      <c r="M239" s="12">
        <v>-0.79800000000000004</v>
      </c>
      <c r="N239" s="12">
        <v>0</v>
      </c>
      <c r="P239" s="12">
        <v>0.51</v>
      </c>
      <c r="Q239" s="12">
        <v>-7.0000000000000007E-2</v>
      </c>
    </row>
    <row r="240" spans="3:17" x14ac:dyDescent="0.2">
      <c r="C240" s="12">
        <v>4.9770000000000003</v>
      </c>
      <c r="D240" s="12">
        <v>0</v>
      </c>
      <c r="E240" s="12">
        <v>0.71</v>
      </c>
      <c r="F240" s="12">
        <v>0</v>
      </c>
      <c r="G240" s="12">
        <v>0.43</v>
      </c>
      <c r="H240" s="12">
        <v>-0.32</v>
      </c>
      <c r="I240" s="12">
        <v>-7.0000000000000007E-2</v>
      </c>
      <c r="J240" s="12">
        <v>-0.22500000000000001</v>
      </c>
      <c r="K240" s="22">
        <v>-0.06</v>
      </c>
      <c r="L240" s="12">
        <v>0</v>
      </c>
      <c r="M240" s="12">
        <v>-0.79800000000000004</v>
      </c>
      <c r="N240" s="12">
        <v>0</v>
      </c>
      <c r="P240" s="12">
        <v>0.51</v>
      </c>
      <c r="Q240" s="12">
        <v>-7.0000000000000007E-2</v>
      </c>
    </row>
    <row r="241" spans="3:17" x14ac:dyDescent="0.2">
      <c r="C241" s="12">
        <v>5.0090000000000003</v>
      </c>
      <c r="D241" s="12">
        <v>0</v>
      </c>
      <c r="E241" s="12">
        <v>0.71</v>
      </c>
      <c r="F241" s="12">
        <v>0</v>
      </c>
      <c r="G241" s="12">
        <v>0.43</v>
      </c>
      <c r="H241" s="12">
        <v>-0.32</v>
      </c>
      <c r="I241" s="12">
        <v>-7.0000000000000007E-2</v>
      </c>
      <c r="J241" s="12">
        <v>-0.22500000000000001</v>
      </c>
      <c r="K241" s="22">
        <v>-0.06</v>
      </c>
      <c r="L241" s="12">
        <v>0</v>
      </c>
      <c r="M241" s="12">
        <v>-0.79800000000000004</v>
      </c>
      <c r="N241" s="12">
        <v>0</v>
      </c>
      <c r="P241" s="12">
        <v>0.51</v>
      </c>
      <c r="Q241" s="12">
        <v>-7.0000000000000007E-2</v>
      </c>
    </row>
    <row r="242" spans="3:17" x14ac:dyDescent="0.2">
      <c r="C242" s="12">
        <v>5.0549999999999997</v>
      </c>
      <c r="D242" s="12">
        <v>0</v>
      </c>
      <c r="E242" s="12">
        <v>0.71</v>
      </c>
      <c r="F242" s="12">
        <v>0</v>
      </c>
      <c r="G242" s="12">
        <v>0.43</v>
      </c>
      <c r="H242" s="12">
        <v>-0.32</v>
      </c>
      <c r="I242" s="12">
        <v>-7.0000000000000007E-2</v>
      </c>
      <c r="J242" s="12">
        <v>-0.22500000000000001</v>
      </c>
      <c r="K242" s="22">
        <v>-0.06</v>
      </c>
      <c r="L242" s="12">
        <v>0</v>
      </c>
      <c r="M242" s="12">
        <v>-0.79800000000000004</v>
      </c>
      <c r="N242" s="12">
        <v>0</v>
      </c>
      <c r="P242" s="12">
        <v>0.51</v>
      </c>
      <c r="Q242" s="12">
        <v>-7.0000000000000007E-2</v>
      </c>
    </row>
    <row r="243" spans="3:17" x14ac:dyDescent="0.2">
      <c r="C243" s="12">
        <v>5.0880000000000001</v>
      </c>
      <c r="D243" s="12">
        <v>0</v>
      </c>
      <c r="E243" s="12">
        <v>0.71</v>
      </c>
      <c r="F243" s="12">
        <v>0</v>
      </c>
      <c r="G243" s="12">
        <v>0.43</v>
      </c>
      <c r="H243" s="12">
        <v>-0.32</v>
      </c>
      <c r="I243" s="12">
        <v>-7.0000000000000007E-2</v>
      </c>
      <c r="J243" s="12">
        <v>-0.22500000000000001</v>
      </c>
      <c r="K243" s="22">
        <v>-0.06</v>
      </c>
      <c r="L243" s="12">
        <v>0</v>
      </c>
      <c r="M243" s="12">
        <v>-0.79800000000000004</v>
      </c>
      <c r="N243" s="12">
        <v>0</v>
      </c>
      <c r="P243" s="12">
        <v>0.51</v>
      </c>
      <c r="Q243" s="12">
        <v>-7.0000000000000007E-2</v>
      </c>
    </row>
    <row r="244" spans="3:17" x14ac:dyDescent="0.2">
      <c r="C244" s="12">
        <v>5.0880000000000001</v>
      </c>
      <c r="D244" s="12">
        <v>0</v>
      </c>
      <c r="E244" s="12">
        <v>0.71</v>
      </c>
      <c r="F244" s="12">
        <v>0</v>
      </c>
      <c r="G244" s="12">
        <v>0.43</v>
      </c>
      <c r="H244" s="12">
        <v>-0.32</v>
      </c>
      <c r="I244" s="12">
        <v>-7.0000000000000007E-2</v>
      </c>
      <c r="J244" s="12">
        <v>-0.22500000000000001</v>
      </c>
      <c r="K244" s="22">
        <v>-0.06</v>
      </c>
      <c r="L244" s="12">
        <v>0</v>
      </c>
      <c r="M244" s="12">
        <v>-0.79800000000000004</v>
      </c>
      <c r="N244" s="12">
        <v>0</v>
      </c>
      <c r="P244" s="12">
        <v>0.51</v>
      </c>
      <c r="Q244" s="12">
        <v>-7.0000000000000007E-2</v>
      </c>
    </row>
    <row r="245" spans="3:17" x14ac:dyDescent="0.2">
      <c r="C245" s="12">
        <v>5.093</v>
      </c>
      <c r="D245" s="12">
        <v>0</v>
      </c>
      <c r="E245" s="12">
        <v>0.71</v>
      </c>
      <c r="F245" s="12">
        <v>0</v>
      </c>
      <c r="G245" s="12">
        <v>0.43</v>
      </c>
      <c r="H245" s="12">
        <v>-0.32</v>
      </c>
      <c r="I245" s="12">
        <v>-7.0000000000000007E-2</v>
      </c>
      <c r="J245" s="12">
        <v>-0.22500000000000001</v>
      </c>
      <c r="K245" s="22">
        <v>-0.06</v>
      </c>
      <c r="L245" s="12">
        <v>0</v>
      </c>
      <c r="M245" s="12">
        <v>-0.79800000000000004</v>
      </c>
      <c r="N245" s="12">
        <v>0</v>
      </c>
      <c r="P245" s="12">
        <v>0.51</v>
      </c>
      <c r="Q245" s="12">
        <v>-7.0000000000000007E-2</v>
      </c>
    </row>
    <row r="246" spans="3:17" x14ac:dyDescent="0.2">
      <c r="C246" s="12">
        <v>5.2670000000000003</v>
      </c>
      <c r="D246" s="12">
        <v>0</v>
      </c>
      <c r="E246" s="12">
        <v>0.63</v>
      </c>
      <c r="F246" s="12">
        <v>0</v>
      </c>
      <c r="G246" s="12">
        <v>0.35</v>
      </c>
      <c r="H246" s="12">
        <v>0</v>
      </c>
      <c r="I246" s="12">
        <v>-7.0000000000000007E-2</v>
      </c>
      <c r="J246" s="12">
        <v>0</v>
      </c>
      <c r="K246" s="22">
        <v>-0.06</v>
      </c>
      <c r="L246" s="12">
        <v>0</v>
      </c>
      <c r="M246" s="12">
        <v>-0.69799999999999995</v>
      </c>
      <c r="N246" s="12">
        <v>0</v>
      </c>
      <c r="P246" s="12">
        <v>0.43</v>
      </c>
      <c r="Q246" s="12">
        <v>-7.0000000000000007E-2</v>
      </c>
    </row>
    <row r="247" spans="3:17" x14ac:dyDescent="0.2">
      <c r="C247" s="12">
        <v>5.4329999999999998</v>
      </c>
      <c r="D247" s="12">
        <v>0</v>
      </c>
      <c r="E247" s="12">
        <v>0.63</v>
      </c>
      <c r="F247" s="12">
        <v>0</v>
      </c>
      <c r="G247" s="12">
        <v>0.35</v>
      </c>
      <c r="H247" s="12">
        <v>0</v>
      </c>
      <c r="I247" s="12">
        <v>-7.0000000000000007E-2</v>
      </c>
      <c r="J247" s="12">
        <v>0</v>
      </c>
      <c r="K247" s="22">
        <v>-0.06</v>
      </c>
      <c r="L247" s="12">
        <v>0</v>
      </c>
      <c r="M247" s="12">
        <v>-0.69799999999999995</v>
      </c>
      <c r="N247" s="12">
        <v>0</v>
      </c>
      <c r="P247" s="12">
        <v>0.43</v>
      </c>
      <c r="Q247" s="12">
        <v>-7.0000000000000007E-2</v>
      </c>
    </row>
    <row r="248" spans="3:17" x14ac:dyDescent="0.2">
      <c r="C248" s="12">
        <v>5.5369999999999999</v>
      </c>
      <c r="D248" s="12">
        <v>0</v>
      </c>
      <c r="E248" s="12">
        <v>0.63</v>
      </c>
      <c r="F248" s="12">
        <v>0</v>
      </c>
      <c r="G248" s="12">
        <v>0.35</v>
      </c>
      <c r="H248" s="12">
        <v>0</v>
      </c>
      <c r="I248" s="12">
        <v>-7.0000000000000007E-2</v>
      </c>
      <c r="J248" s="12">
        <v>0</v>
      </c>
      <c r="K248" s="22">
        <v>-0.06</v>
      </c>
      <c r="L248" s="12">
        <v>-0.73799999999999999</v>
      </c>
      <c r="N248" s="12">
        <v>0</v>
      </c>
      <c r="P248" s="12">
        <v>0.43</v>
      </c>
      <c r="Q248" s="12">
        <v>-7.0000000000000007E-2</v>
      </c>
    </row>
    <row r="249" spans="3:17" x14ac:dyDescent="0.2">
      <c r="C249" s="12">
        <v>5.4189999999999996</v>
      </c>
      <c r="D249" s="12">
        <v>0</v>
      </c>
      <c r="E249" s="12">
        <v>0.63</v>
      </c>
      <c r="F249" s="12">
        <v>0</v>
      </c>
      <c r="G249" s="12">
        <v>0.35</v>
      </c>
      <c r="H249" s="12">
        <v>0</v>
      </c>
      <c r="I249" s="12">
        <v>-7.0000000000000007E-2</v>
      </c>
      <c r="J249" s="12">
        <v>0</v>
      </c>
      <c r="K249" s="22">
        <v>-0.06</v>
      </c>
      <c r="L249" s="12">
        <v>-0.73799999999999999</v>
      </c>
      <c r="N249" s="12">
        <v>0</v>
      </c>
      <c r="P249" s="12">
        <v>0.43</v>
      </c>
      <c r="Q249" s="12">
        <v>-7.0000000000000007E-2</v>
      </c>
    </row>
    <row r="250" spans="3:17" x14ac:dyDescent="0.2">
      <c r="C250" s="12">
        <v>5.2770000000000001</v>
      </c>
      <c r="D250" s="12">
        <v>0</v>
      </c>
      <c r="E250" s="12">
        <v>0.63</v>
      </c>
      <c r="F250" s="12">
        <v>0</v>
      </c>
      <c r="G250" s="12">
        <v>0.35</v>
      </c>
      <c r="H250" s="12">
        <v>0</v>
      </c>
      <c r="I250" s="12">
        <v>-7.0000000000000007E-2</v>
      </c>
      <c r="J250" s="12">
        <v>0</v>
      </c>
      <c r="K250" s="22">
        <v>-0.06</v>
      </c>
      <c r="N250" s="12">
        <v>0</v>
      </c>
      <c r="P250" s="12">
        <v>0.43</v>
      </c>
      <c r="Q250" s="12">
        <v>-7.0000000000000007E-2</v>
      </c>
    </row>
    <row r="251" spans="3:17" x14ac:dyDescent="0.2">
      <c r="C251" s="12">
        <v>5.1070000000000002</v>
      </c>
      <c r="D251" s="12">
        <v>0</v>
      </c>
      <c r="E251" s="12">
        <v>0.71</v>
      </c>
      <c r="F251" s="12">
        <v>0</v>
      </c>
      <c r="G251" s="12">
        <v>0.43</v>
      </c>
      <c r="H251" s="12">
        <v>0</v>
      </c>
      <c r="I251" s="12">
        <v>-7.0000000000000007E-2</v>
      </c>
      <c r="J251" s="12">
        <v>0</v>
      </c>
      <c r="K251" s="22">
        <v>-0.06</v>
      </c>
      <c r="N251" s="12">
        <v>0</v>
      </c>
      <c r="P251" s="12">
        <v>0.51</v>
      </c>
      <c r="Q251" s="12">
        <v>-7.0000000000000007E-2</v>
      </c>
    </row>
    <row r="252" spans="3:17" x14ac:dyDescent="0.2">
      <c r="C252" s="12">
        <v>5.1020000000000003</v>
      </c>
      <c r="D252" s="12">
        <v>0</v>
      </c>
      <c r="E252" s="12">
        <v>0.71</v>
      </c>
      <c r="F252" s="12">
        <v>0</v>
      </c>
      <c r="G252" s="12">
        <v>0.43</v>
      </c>
      <c r="H252" s="12">
        <v>0</v>
      </c>
      <c r="I252" s="12">
        <v>-7.0000000000000007E-2</v>
      </c>
      <c r="J252" s="12">
        <v>0</v>
      </c>
      <c r="K252" s="22">
        <v>-0.06</v>
      </c>
      <c r="N252" s="12">
        <v>0</v>
      </c>
      <c r="P252" s="12">
        <v>0.51</v>
      </c>
      <c r="Q252" s="12">
        <v>-7.0000000000000007E-2</v>
      </c>
    </row>
    <row r="253" spans="3:17" x14ac:dyDescent="0.2">
      <c r="C253" s="12">
        <v>5.1340000000000003</v>
      </c>
      <c r="D253" s="12">
        <v>0</v>
      </c>
      <c r="E253" s="12">
        <v>0.71</v>
      </c>
      <c r="F253" s="12">
        <v>0</v>
      </c>
      <c r="G253" s="12">
        <v>0.43</v>
      </c>
      <c r="H253" s="12">
        <v>0</v>
      </c>
      <c r="I253" s="12">
        <v>-7.0000000000000007E-2</v>
      </c>
      <c r="J253" s="12">
        <v>0</v>
      </c>
      <c r="K253" s="22">
        <v>-0.06</v>
      </c>
      <c r="N253" s="12">
        <v>0</v>
      </c>
      <c r="P253" s="12">
        <v>0.51</v>
      </c>
      <c r="Q253" s="12">
        <v>-7.0000000000000007E-2</v>
      </c>
    </row>
    <row r="254" spans="3:17" x14ac:dyDescent="0.2">
      <c r="C254" s="12">
        <v>5.18</v>
      </c>
      <c r="D254" s="12">
        <v>0</v>
      </c>
      <c r="E254" s="12">
        <v>0.71</v>
      </c>
      <c r="F254" s="12">
        <v>0</v>
      </c>
      <c r="G254" s="12">
        <v>0.43</v>
      </c>
      <c r="H254" s="12">
        <v>0</v>
      </c>
      <c r="I254" s="12">
        <v>-7.0000000000000007E-2</v>
      </c>
      <c r="J254" s="12">
        <v>0</v>
      </c>
      <c r="K254" s="22">
        <v>-0.06</v>
      </c>
      <c r="N254" s="12">
        <v>0</v>
      </c>
      <c r="P254" s="12">
        <v>0.51</v>
      </c>
      <c r="Q254" s="12">
        <v>-7.0000000000000007E-2</v>
      </c>
    </row>
    <row r="255" spans="3:17" x14ac:dyDescent="0.2">
      <c r="C255" s="12">
        <v>5.2130000000000001</v>
      </c>
      <c r="D255" s="12">
        <v>0</v>
      </c>
      <c r="E255" s="12">
        <v>0.71</v>
      </c>
      <c r="F255" s="12">
        <v>0</v>
      </c>
      <c r="G255" s="12">
        <v>0.43</v>
      </c>
      <c r="H255" s="12">
        <v>0</v>
      </c>
      <c r="I255" s="12">
        <v>-7.0000000000000007E-2</v>
      </c>
      <c r="J255" s="12">
        <v>0</v>
      </c>
      <c r="K255" s="22">
        <v>-0.06</v>
      </c>
      <c r="N255" s="12">
        <v>0</v>
      </c>
      <c r="P255" s="12">
        <v>0.51</v>
      </c>
      <c r="Q255" s="12">
        <v>-7.0000000000000007E-2</v>
      </c>
    </row>
    <row r="256" spans="3:17" x14ac:dyDescent="0.2">
      <c r="C256" s="12">
        <v>5.2130000000000001</v>
      </c>
      <c r="D256" s="12">
        <v>0</v>
      </c>
      <c r="E256" s="12">
        <v>0.71</v>
      </c>
      <c r="F256" s="12">
        <v>0</v>
      </c>
      <c r="G256" s="12">
        <v>0.43</v>
      </c>
      <c r="H256" s="12">
        <v>0</v>
      </c>
      <c r="I256" s="12">
        <v>-7.0000000000000007E-2</v>
      </c>
      <c r="J256" s="12">
        <v>0</v>
      </c>
      <c r="K256" s="22">
        <v>-0.06</v>
      </c>
      <c r="N256" s="12">
        <v>0</v>
      </c>
      <c r="P256" s="12">
        <v>0.51</v>
      </c>
      <c r="Q256" s="12">
        <v>-7.0000000000000007E-2</v>
      </c>
    </row>
    <row r="257" spans="3:17" x14ac:dyDescent="0.2">
      <c r="C257" s="12">
        <v>5.218</v>
      </c>
      <c r="D257" s="12">
        <v>0</v>
      </c>
      <c r="E257" s="12">
        <v>0.71</v>
      </c>
      <c r="F257" s="12">
        <v>0</v>
      </c>
      <c r="G257" s="12">
        <v>0.43</v>
      </c>
      <c r="H257" s="12">
        <v>0</v>
      </c>
      <c r="I257" s="12">
        <v>-7.0000000000000007E-2</v>
      </c>
      <c r="J257" s="12">
        <v>0</v>
      </c>
      <c r="K257" s="22">
        <v>-0.06</v>
      </c>
      <c r="N257" s="12">
        <v>0</v>
      </c>
      <c r="P257" s="12">
        <v>0.51</v>
      </c>
      <c r="Q257" s="12">
        <v>-7.0000000000000007E-2</v>
      </c>
    </row>
    <row r="258" spans="3:17" x14ac:dyDescent="0.2">
      <c r="C258" s="12">
        <v>5.3920000000000003</v>
      </c>
      <c r="D258" s="12">
        <v>0</v>
      </c>
      <c r="E258" s="12">
        <v>0</v>
      </c>
      <c r="F258" s="12">
        <v>0</v>
      </c>
      <c r="G258" s="12">
        <v>0</v>
      </c>
      <c r="H258" s="12">
        <v>0</v>
      </c>
      <c r="I258" s="12">
        <v>-7.0000000000000007E-2</v>
      </c>
      <c r="J258" s="12">
        <v>0</v>
      </c>
      <c r="K258" s="22">
        <v>-0.06</v>
      </c>
      <c r="N258" s="12">
        <v>0</v>
      </c>
      <c r="P258" s="12">
        <v>0</v>
      </c>
      <c r="Q258" s="12">
        <v>-7.0000000000000007E-2</v>
      </c>
    </row>
    <row r="259" spans="3:17" x14ac:dyDescent="0.2">
      <c r="C259" s="12">
        <v>5.5579999999999998</v>
      </c>
      <c r="D259" s="12">
        <v>0</v>
      </c>
      <c r="E259" s="12">
        <v>0</v>
      </c>
      <c r="F259" s="12">
        <v>0</v>
      </c>
      <c r="G259" s="12">
        <v>0</v>
      </c>
      <c r="H259" s="12">
        <v>0</v>
      </c>
      <c r="I259" s="12">
        <v>-7.0000000000000007E-2</v>
      </c>
      <c r="J259" s="12">
        <v>0</v>
      </c>
      <c r="K259" s="22">
        <v>-0.06</v>
      </c>
      <c r="N259" s="12">
        <v>0</v>
      </c>
      <c r="P259" s="12">
        <v>0</v>
      </c>
      <c r="Q259" s="12">
        <v>-7.0000000000000007E-2</v>
      </c>
    </row>
    <row r="260" spans="3:17" x14ac:dyDescent="0.2">
      <c r="C260" s="12">
        <v>5.6619999999999999</v>
      </c>
      <c r="D260" s="12">
        <v>0</v>
      </c>
      <c r="E260" s="12">
        <v>0</v>
      </c>
      <c r="F260" s="12">
        <v>0</v>
      </c>
      <c r="G260" s="12">
        <v>0</v>
      </c>
      <c r="H260" s="12">
        <v>0</v>
      </c>
      <c r="I260" s="12">
        <v>-7.0000000000000007E-2</v>
      </c>
      <c r="J260" s="12">
        <v>0</v>
      </c>
      <c r="K260" s="22">
        <v>-0.06</v>
      </c>
      <c r="N260" s="12">
        <v>0</v>
      </c>
      <c r="P260" s="12">
        <v>0</v>
      </c>
      <c r="Q260" s="12">
        <v>-7.0000000000000007E-2</v>
      </c>
    </row>
    <row r="261" spans="3:17" x14ac:dyDescent="0.2">
      <c r="C261" s="12">
        <v>5.5439999999999996</v>
      </c>
      <c r="D261" s="12">
        <v>0</v>
      </c>
      <c r="E261" s="12">
        <v>0</v>
      </c>
      <c r="F261" s="12">
        <v>0</v>
      </c>
      <c r="G261" s="12">
        <v>0</v>
      </c>
      <c r="H261" s="12">
        <v>0</v>
      </c>
      <c r="I261" s="12">
        <v>-7.0000000000000007E-2</v>
      </c>
      <c r="J261" s="12">
        <v>0</v>
      </c>
      <c r="K261" s="22">
        <v>-0.06</v>
      </c>
      <c r="N261" s="12">
        <v>0</v>
      </c>
      <c r="P261" s="12">
        <v>0</v>
      </c>
      <c r="Q261" s="12">
        <v>-7.0000000000000007E-2</v>
      </c>
    </row>
    <row r="262" spans="3:17" x14ac:dyDescent="0.2">
      <c r="C262" s="12">
        <v>5.4020000000000001</v>
      </c>
      <c r="D262" s="12">
        <v>0</v>
      </c>
      <c r="E262" s="12">
        <v>0</v>
      </c>
      <c r="F262" s="12">
        <v>0</v>
      </c>
      <c r="G262" s="12">
        <v>0</v>
      </c>
      <c r="H262" s="12">
        <v>0</v>
      </c>
      <c r="I262" s="12">
        <v>-7.0000000000000007E-2</v>
      </c>
      <c r="J262" s="12">
        <v>0</v>
      </c>
      <c r="K262" s="22">
        <v>-0.06</v>
      </c>
      <c r="N262" s="12">
        <v>0</v>
      </c>
      <c r="P262" s="12">
        <v>0</v>
      </c>
      <c r="Q262" s="12">
        <v>-7.0000000000000007E-2</v>
      </c>
    </row>
    <row r="263" spans="3:17" x14ac:dyDescent="0.2">
      <c r="C263" s="12">
        <v>5.2320000000000002</v>
      </c>
      <c r="D263" s="12">
        <v>0</v>
      </c>
      <c r="E263" s="12">
        <v>0</v>
      </c>
      <c r="F263" s="12">
        <v>0</v>
      </c>
      <c r="G263" s="12">
        <v>0</v>
      </c>
      <c r="H263" s="12">
        <v>0</v>
      </c>
      <c r="I263" s="12">
        <v>-7.0000000000000007E-2</v>
      </c>
      <c r="J263" s="12">
        <v>0</v>
      </c>
      <c r="K263" s="22">
        <v>-0.06</v>
      </c>
      <c r="N263" s="12">
        <v>0</v>
      </c>
      <c r="P263" s="12">
        <v>0</v>
      </c>
      <c r="Q263" s="12">
        <v>-7.0000000000000007E-2</v>
      </c>
    </row>
    <row r="264" spans="3:17" x14ac:dyDescent="0.2">
      <c r="C264" s="12">
        <v>5.2270000000000003</v>
      </c>
      <c r="D264" s="12">
        <v>0</v>
      </c>
      <c r="E264" s="12">
        <v>0</v>
      </c>
      <c r="F264" s="12">
        <v>0</v>
      </c>
      <c r="G264" s="12">
        <v>0</v>
      </c>
      <c r="H264" s="12">
        <v>0</v>
      </c>
      <c r="I264" s="12">
        <v>-7.0000000000000007E-2</v>
      </c>
      <c r="J264" s="12">
        <v>0</v>
      </c>
      <c r="K264" s="22">
        <v>-0.06</v>
      </c>
      <c r="N264" s="12">
        <v>0</v>
      </c>
      <c r="P264" s="12">
        <v>0</v>
      </c>
      <c r="Q264" s="12">
        <v>-7.0000000000000007E-2</v>
      </c>
    </row>
    <row r="265" spans="3:17" x14ac:dyDescent="0.2">
      <c r="C265" s="12">
        <v>5.2590000000000003</v>
      </c>
      <c r="D265" s="12">
        <v>0</v>
      </c>
      <c r="E265" s="12">
        <v>0</v>
      </c>
      <c r="F265" s="12">
        <v>0</v>
      </c>
      <c r="G265" s="12">
        <v>0</v>
      </c>
      <c r="H265" s="12">
        <v>0</v>
      </c>
      <c r="I265" s="12">
        <v>-7.0000000000000007E-2</v>
      </c>
      <c r="J265" s="12">
        <v>0</v>
      </c>
      <c r="K265" s="22">
        <v>-0.06</v>
      </c>
      <c r="N265" s="12">
        <v>0</v>
      </c>
      <c r="P265" s="12">
        <v>0</v>
      </c>
      <c r="Q265" s="12">
        <v>-7.0000000000000007E-2</v>
      </c>
    </row>
    <row r="266" spans="3:17" x14ac:dyDescent="0.2">
      <c r="C266" s="12">
        <v>5.3049999999999997</v>
      </c>
      <c r="D266" s="12">
        <v>0</v>
      </c>
      <c r="E266" s="12">
        <v>0</v>
      </c>
      <c r="F266" s="12">
        <v>0</v>
      </c>
      <c r="G266" s="12">
        <v>0</v>
      </c>
      <c r="H266" s="12">
        <v>0</v>
      </c>
      <c r="I266" s="12">
        <v>-7.0000000000000007E-2</v>
      </c>
      <c r="J266" s="12">
        <v>0</v>
      </c>
      <c r="K266" s="22">
        <v>-0.06</v>
      </c>
      <c r="N266" s="12">
        <v>0</v>
      </c>
      <c r="P266" s="12">
        <v>0</v>
      </c>
      <c r="Q266" s="12">
        <v>-7.0000000000000007E-2</v>
      </c>
    </row>
    <row r="267" spans="3:17" x14ac:dyDescent="0.2">
      <c r="C267" s="12">
        <v>5.3380000000000001</v>
      </c>
      <c r="D267" s="12">
        <v>0</v>
      </c>
      <c r="E267" s="12">
        <v>0</v>
      </c>
      <c r="F267" s="12">
        <v>0</v>
      </c>
      <c r="G267" s="12">
        <v>0</v>
      </c>
      <c r="H267" s="12">
        <v>0</v>
      </c>
      <c r="I267" s="12">
        <v>-7.0000000000000007E-2</v>
      </c>
      <c r="J267" s="12">
        <v>0</v>
      </c>
      <c r="K267" s="22">
        <v>-0.06</v>
      </c>
      <c r="N267" s="12">
        <v>0</v>
      </c>
      <c r="P267" s="12">
        <v>0</v>
      </c>
      <c r="Q267" s="12">
        <v>-7.0000000000000007E-2</v>
      </c>
    </row>
    <row r="268" spans="3:17" x14ac:dyDescent="0.2">
      <c r="C268" s="12">
        <v>5.3380000000000001</v>
      </c>
      <c r="D268" s="12">
        <v>0</v>
      </c>
      <c r="E268" s="12">
        <v>0</v>
      </c>
      <c r="F268" s="12">
        <v>0</v>
      </c>
      <c r="G268" s="12">
        <v>0</v>
      </c>
      <c r="H268" s="12">
        <v>0</v>
      </c>
      <c r="I268" s="12">
        <v>-7.0000000000000007E-2</v>
      </c>
      <c r="J268" s="12">
        <v>0</v>
      </c>
      <c r="K268" s="22">
        <v>-0.06</v>
      </c>
      <c r="N268" s="12">
        <v>0</v>
      </c>
      <c r="P268" s="12">
        <v>0</v>
      </c>
      <c r="Q268" s="12">
        <v>-7.0000000000000007E-2</v>
      </c>
    </row>
    <row r="269" spans="3:17" x14ac:dyDescent="0.2">
      <c r="C269" s="12">
        <v>5.343</v>
      </c>
      <c r="D269" s="12">
        <v>0</v>
      </c>
      <c r="E269" s="12">
        <v>0</v>
      </c>
      <c r="F269" s="12">
        <v>0</v>
      </c>
      <c r="G269" s="12">
        <v>0</v>
      </c>
      <c r="H269" s="12">
        <v>0</v>
      </c>
      <c r="I269" s="12">
        <v>-7.0000000000000007E-2</v>
      </c>
      <c r="J269" s="12">
        <v>0</v>
      </c>
      <c r="K269" s="22">
        <v>-0.06</v>
      </c>
      <c r="N269" s="12">
        <v>0</v>
      </c>
      <c r="P269" s="12">
        <v>0</v>
      </c>
      <c r="Q269" s="12">
        <v>-7.0000000000000007E-2</v>
      </c>
    </row>
    <row r="270" spans="3:17" x14ac:dyDescent="0.2">
      <c r="C270" s="12">
        <v>5.5170000000000003</v>
      </c>
      <c r="D270" s="12">
        <v>0</v>
      </c>
      <c r="E270" s="12">
        <v>0</v>
      </c>
      <c r="F270" s="12">
        <v>0</v>
      </c>
      <c r="G270" s="12">
        <v>0</v>
      </c>
      <c r="H270" s="12">
        <v>0</v>
      </c>
      <c r="I270" s="12">
        <v>-7.0000000000000007E-2</v>
      </c>
      <c r="J270" s="12">
        <v>0</v>
      </c>
      <c r="K270" s="22">
        <v>-0.06</v>
      </c>
      <c r="N270" s="12">
        <v>0</v>
      </c>
      <c r="P270" s="12">
        <v>0</v>
      </c>
      <c r="Q270" s="12">
        <v>-7.0000000000000007E-2</v>
      </c>
    </row>
    <row r="271" spans="3:17" x14ac:dyDescent="0.2">
      <c r="C271" s="12">
        <v>5.6829999999999998</v>
      </c>
      <c r="D271" s="12">
        <v>0</v>
      </c>
      <c r="E271" s="12">
        <v>0</v>
      </c>
      <c r="F271" s="12">
        <v>0</v>
      </c>
      <c r="G271" s="12">
        <v>0</v>
      </c>
      <c r="H271" s="12">
        <v>0</v>
      </c>
      <c r="I271" s="12">
        <v>-7.0000000000000007E-2</v>
      </c>
      <c r="J271" s="12">
        <v>0</v>
      </c>
      <c r="K271" s="22">
        <v>-0.06</v>
      </c>
      <c r="N271" s="12">
        <v>0</v>
      </c>
      <c r="P271" s="12">
        <v>0</v>
      </c>
      <c r="Q271" s="12">
        <v>-7.0000000000000007E-2</v>
      </c>
    </row>
    <row r="272" spans="3:17" x14ac:dyDescent="0.2">
      <c r="C272" s="12">
        <v>5.7869999999999999</v>
      </c>
      <c r="D272" s="12">
        <v>0</v>
      </c>
      <c r="E272" s="12">
        <v>0</v>
      </c>
      <c r="F272" s="12">
        <v>0</v>
      </c>
      <c r="G272" s="12">
        <v>0</v>
      </c>
      <c r="H272" s="12">
        <v>0</v>
      </c>
      <c r="I272" s="12">
        <v>-7.0000000000000007E-2</v>
      </c>
      <c r="J272" s="12">
        <v>0</v>
      </c>
      <c r="K272" s="22">
        <v>-0.06</v>
      </c>
      <c r="N272" s="12">
        <v>0</v>
      </c>
      <c r="P272" s="12">
        <v>0</v>
      </c>
      <c r="Q272" s="12">
        <v>-7.0000000000000007E-2</v>
      </c>
    </row>
    <row r="273" spans="3:17" x14ac:dyDescent="0.2">
      <c r="C273" s="12">
        <v>5.6689999999999996</v>
      </c>
      <c r="D273" s="12">
        <v>0</v>
      </c>
      <c r="E273" s="12">
        <v>0</v>
      </c>
      <c r="F273" s="12">
        <v>0</v>
      </c>
      <c r="G273" s="12">
        <v>0</v>
      </c>
      <c r="H273" s="12">
        <v>0</v>
      </c>
      <c r="I273" s="12">
        <v>-7.0000000000000007E-2</v>
      </c>
      <c r="J273" s="12">
        <v>0</v>
      </c>
      <c r="K273" s="22">
        <v>-0.06</v>
      </c>
      <c r="N273" s="12">
        <v>0</v>
      </c>
      <c r="P273" s="12">
        <v>0</v>
      </c>
      <c r="Q273" s="12">
        <v>-7.0000000000000007E-2</v>
      </c>
    </row>
    <row r="274" spans="3:17" x14ac:dyDescent="0.2">
      <c r="C274" s="12">
        <v>5.5270000000000001</v>
      </c>
      <c r="D274" s="12">
        <v>0</v>
      </c>
      <c r="E274" s="12">
        <v>0</v>
      </c>
      <c r="F274" s="12">
        <v>0</v>
      </c>
      <c r="G274" s="12">
        <v>0</v>
      </c>
      <c r="H274" s="12">
        <v>0</v>
      </c>
      <c r="I274" s="12">
        <v>-7.0000000000000007E-2</v>
      </c>
      <c r="J274" s="12">
        <v>0</v>
      </c>
      <c r="K274" s="22">
        <v>-0.06</v>
      </c>
      <c r="N274" s="12">
        <v>0</v>
      </c>
      <c r="P274" s="12">
        <v>0</v>
      </c>
      <c r="Q274" s="12">
        <v>-7.0000000000000007E-2</v>
      </c>
    </row>
    <row r="275" spans="3:17" x14ac:dyDescent="0.2">
      <c r="C275" s="12">
        <v>5.3570000000000002</v>
      </c>
      <c r="D275" s="12">
        <v>0</v>
      </c>
      <c r="E275" s="12">
        <v>0</v>
      </c>
      <c r="F275" s="12">
        <v>0</v>
      </c>
      <c r="G275" s="12">
        <v>0</v>
      </c>
      <c r="H275" s="12">
        <v>0</v>
      </c>
      <c r="I275" s="12">
        <v>-7.0000000000000007E-2</v>
      </c>
      <c r="J275" s="12">
        <v>0</v>
      </c>
      <c r="K275" s="22">
        <v>-0.06</v>
      </c>
      <c r="N275" s="12">
        <v>0</v>
      </c>
      <c r="P275" s="12">
        <v>0</v>
      </c>
      <c r="Q275" s="12">
        <v>-7.0000000000000007E-2</v>
      </c>
    </row>
    <row r="276" spans="3:17" x14ac:dyDescent="0.2">
      <c r="C276" s="12">
        <v>5.3520000000000003</v>
      </c>
      <c r="D276" s="12">
        <v>0</v>
      </c>
      <c r="E276" s="12">
        <v>0</v>
      </c>
      <c r="F276" s="12">
        <v>0</v>
      </c>
      <c r="G276" s="12">
        <v>0</v>
      </c>
      <c r="H276" s="12">
        <v>0</v>
      </c>
      <c r="I276" s="12">
        <v>-7.0000000000000007E-2</v>
      </c>
      <c r="J276" s="12">
        <v>0</v>
      </c>
      <c r="K276" s="22">
        <v>-0.06</v>
      </c>
      <c r="N276" s="12">
        <v>0</v>
      </c>
      <c r="P276" s="12">
        <v>0</v>
      </c>
      <c r="Q276" s="12">
        <v>-7.0000000000000007E-2</v>
      </c>
    </row>
    <row r="277" spans="3:17" x14ac:dyDescent="0.2">
      <c r="C277" s="12">
        <v>5.3840000000000003</v>
      </c>
      <c r="D277" s="12">
        <v>0</v>
      </c>
      <c r="E277" s="12">
        <v>0</v>
      </c>
      <c r="F277" s="12">
        <v>0</v>
      </c>
      <c r="G277" s="12">
        <v>0</v>
      </c>
      <c r="H277" s="12">
        <v>0</v>
      </c>
      <c r="I277" s="12">
        <v>-7.0000000000000007E-2</v>
      </c>
      <c r="J277" s="12">
        <v>0</v>
      </c>
      <c r="K277" s="22">
        <v>-0.06</v>
      </c>
      <c r="N277" s="12">
        <v>0</v>
      </c>
      <c r="P277" s="12">
        <v>0</v>
      </c>
      <c r="Q277" s="12">
        <v>-7.0000000000000007E-2</v>
      </c>
    </row>
    <row r="278" spans="3:17" x14ac:dyDescent="0.2">
      <c r="C278" s="12">
        <v>5.43</v>
      </c>
      <c r="D278" s="12">
        <v>0</v>
      </c>
      <c r="E278" s="12">
        <v>0</v>
      </c>
      <c r="F278" s="12">
        <v>0</v>
      </c>
      <c r="G278" s="12">
        <v>0</v>
      </c>
      <c r="H278" s="12">
        <v>0</v>
      </c>
      <c r="I278" s="12">
        <v>-7.0000000000000007E-2</v>
      </c>
      <c r="J278" s="12">
        <v>0</v>
      </c>
      <c r="K278" s="22">
        <v>-0.06</v>
      </c>
      <c r="N278" s="12">
        <v>0</v>
      </c>
      <c r="P278" s="12">
        <v>0</v>
      </c>
      <c r="Q278" s="12">
        <v>-7.0000000000000007E-2</v>
      </c>
    </row>
    <row r="279" spans="3:17" x14ac:dyDescent="0.2">
      <c r="C279" s="12">
        <v>5.4630000000000001</v>
      </c>
      <c r="D279" s="12">
        <v>0</v>
      </c>
      <c r="E279" s="12">
        <v>0</v>
      </c>
      <c r="F279" s="12">
        <v>0</v>
      </c>
      <c r="G279" s="12">
        <v>0</v>
      </c>
      <c r="H279" s="12">
        <v>0</v>
      </c>
      <c r="I279" s="12">
        <v>-7.0000000000000007E-2</v>
      </c>
      <c r="J279" s="12">
        <v>0</v>
      </c>
      <c r="K279" s="22">
        <v>-0.06</v>
      </c>
      <c r="N279" s="12">
        <v>0</v>
      </c>
      <c r="P279" s="12">
        <v>0</v>
      </c>
      <c r="Q279" s="12">
        <v>-7.0000000000000007E-2</v>
      </c>
    </row>
    <row r="280" spans="3:17" x14ac:dyDescent="0.2">
      <c r="C280" s="12">
        <v>5.4630000000000001</v>
      </c>
      <c r="D280" s="12">
        <v>0</v>
      </c>
      <c r="E280" s="12">
        <v>0</v>
      </c>
      <c r="F280" s="12">
        <v>0</v>
      </c>
      <c r="G280" s="12">
        <v>0</v>
      </c>
      <c r="H280" s="12">
        <v>0</v>
      </c>
      <c r="I280" s="12">
        <v>-7.0000000000000007E-2</v>
      </c>
      <c r="J280" s="12">
        <v>0</v>
      </c>
      <c r="K280" s="22">
        <v>-0.06</v>
      </c>
      <c r="N280" s="12">
        <v>0</v>
      </c>
      <c r="P280" s="12">
        <v>0</v>
      </c>
      <c r="Q280" s="12">
        <v>-7.0000000000000007E-2</v>
      </c>
    </row>
    <row r="281" spans="3:17" x14ac:dyDescent="0.2">
      <c r="C281" s="12">
        <v>5.468</v>
      </c>
      <c r="D281" s="12">
        <v>0</v>
      </c>
      <c r="E281" s="12">
        <v>0</v>
      </c>
      <c r="F281" s="12">
        <v>0</v>
      </c>
      <c r="G281" s="12">
        <v>0</v>
      </c>
      <c r="H281" s="12">
        <v>0</v>
      </c>
      <c r="I281" s="12">
        <v>-7.0000000000000007E-2</v>
      </c>
      <c r="J281" s="12">
        <v>0</v>
      </c>
      <c r="K281" s="22">
        <v>-0.06</v>
      </c>
      <c r="N281" s="12">
        <v>0</v>
      </c>
      <c r="P281" s="12">
        <v>0</v>
      </c>
      <c r="Q281" s="12">
        <v>-7.0000000000000007E-2</v>
      </c>
    </row>
    <row r="282" spans="3:17" x14ac:dyDescent="0.2">
      <c r="C282" s="12">
        <v>5.6420000000000003</v>
      </c>
      <c r="D282" s="12">
        <v>0</v>
      </c>
      <c r="E282" s="12">
        <v>0</v>
      </c>
      <c r="F282" s="12">
        <v>0</v>
      </c>
      <c r="G282" s="12">
        <v>0</v>
      </c>
      <c r="H282" s="12">
        <v>0</v>
      </c>
      <c r="I282" s="12">
        <v>-7.0000000000000007E-2</v>
      </c>
      <c r="J282" s="12">
        <v>0</v>
      </c>
      <c r="K282" s="22">
        <v>-0.06</v>
      </c>
      <c r="N282" s="12">
        <v>0</v>
      </c>
      <c r="P282" s="12">
        <v>0</v>
      </c>
      <c r="Q282" s="12">
        <v>-7.0000000000000007E-2</v>
      </c>
    </row>
    <row r="283" spans="3:17" x14ac:dyDescent="0.2">
      <c r="C283" s="12">
        <v>5.8079999999999998</v>
      </c>
      <c r="D283" s="12">
        <v>0</v>
      </c>
      <c r="E283" s="12">
        <v>0</v>
      </c>
      <c r="F283" s="12">
        <v>0</v>
      </c>
      <c r="G283" s="12">
        <v>0</v>
      </c>
      <c r="H283" s="12">
        <v>0</v>
      </c>
      <c r="I283" s="12">
        <v>-7.0000000000000007E-2</v>
      </c>
      <c r="J283" s="12">
        <v>0</v>
      </c>
      <c r="K283" s="22">
        <v>-0.06</v>
      </c>
      <c r="N283" s="12">
        <v>0</v>
      </c>
      <c r="P283" s="12">
        <v>0</v>
      </c>
      <c r="Q283" s="12">
        <v>-7.0000000000000007E-2</v>
      </c>
    </row>
    <row r="284" spans="3:17" x14ac:dyDescent="0.2">
      <c r="C284" s="12">
        <v>5.9119999999999999</v>
      </c>
      <c r="D284" s="12">
        <v>0</v>
      </c>
      <c r="E284" s="12">
        <v>0</v>
      </c>
      <c r="F284" s="12">
        <v>0</v>
      </c>
      <c r="G284" s="12">
        <v>0</v>
      </c>
      <c r="H284" s="12">
        <v>0</v>
      </c>
      <c r="I284" s="12">
        <v>-7.0000000000000007E-2</v>
      </c>
      <c r="J284" s="12">
        <v>0</v>
      </c>
      <c r="K284" s="22">
        <v>-0.06</v>
      </c>
      <c r="N284" s="12">
        <v>0</v>
      </c>
      <c r="P284" s="12">
        <v>0</v>
      </c>
      <c r="Q284" s="12">
        <v>-7.0000000000000007E-2</v>
      </c>
    </row>
    <row r="285" spans="3:17" x14ac:dyDescent="0.2">
      <c r="C285" s="12">
        <v>5.7939999999999996</v>
      </c>
      <c r="D285" s="12">
        <v>0</v>
      </c>
      <c r="E285" s="12">
        <v>0</v>
      </c>
      <c r="F285" s="12">
        <v>0</v>
      </c>
      <c r="G285" s="12">
        <v>0</v>
      </c>
      <c r="H285" s="12">
        <v>0</v>
      </c>
      <c r="I285" s="12">
        <v>-7.0000000000000007E-2</v>
      </c>
      <c r="J285" s="12">
        <v>0</v>
      </c>
      <c r="K285" s="22">
        <v>-0.06</v>
      </c>
      <c r="N285" s="12">
        <v>0</v>
      </c>
      <c r="P285" s="12">
        <v>0</v>
      </c>
      <c r="Q285" s="12">
        <v>-7.0000000000000007E-2</v>
      </c>
    </row>
    <row r="286" spans="3:17" x14ac:dyDescent="0.2">
      <c r="C286" s="12">
        <v>5.6520000000000001</v>
      </c>
      <c r="D286" s="12">
        <v>0</v>
      </c>
      <c r="E286" s="12">
        <v>0</v>
      </c>
      <c r="F286" s="12">
        <v>0</v>
      </c>
      <c r="G286" s="12">
        <v>0</v>
      </c>
      <c r="H286" s="12">
        <v>0</v>
      </c>
      <c r="I286" s="12">
        <v>-7.0000000000000007E-2</v>
      </c>
      <c r="J286" s="12">
        <v>0</v>
      </c>
      <c r="K286" s="22">
        <v>-0.06</v>
      </c>
      <c r="N286" s="12">
        <v>0</v>
      </c>
      <c r="P286" s="12">
        <v>0</v>
      </c>
      <c r="Q286" s="12">
        <v>-7.0000000000000007E-2</v>
      </c>
    </row>
    <row r="287" spans="3:17" x14ac:dyDescent="0.2">
      <c r="C287" s="12">
        <v>5.4820000000000002</v>
      </c>
      <c r="D287" s="12">
        <v>0</v>
      </c>
      <c r="E287" s="12">
        <v>0</v>
      </c>
      <c r="F287" s="12">
        <v>0</v>
      </c>
      <c r="G287" s="12">
        <v>0</v>
      </c>
      <c r="H287" s="12">
        <v>0</v>
      </c>
      <c r="I287" s="12">
        <v>-7.0000000000000007E-2</v>
      </c>
      <c r="J287" s="12">
        <v>0</v>
      </c>
      <c r="K287" s="22">
        <v>-0.06</v>
      </c>
      <c r="N287" s="12">
        <v>0</v>
      </c>
      <c r="P287" s="12">
        <v>0</v>
      </c>
      <c r="Q287" s="12">
        <v>-7.0000000000000007E-2</v>
      </c>
    </row>
    <row r="288" spans="3:17" x14ac:dyDescent="0.2">
      <c r="C288" s="12">
        <v>5.4770000000000003</v>
      </c>
      <c r="D288" s="12">
        <v>0</v>
      </c>
      <c r="E288" s="12">
        <v>0</v>
      </c>
      <c r="F288" s="12">
        <v>0</v>
      </c>
      <c r="G288" s="12">
        <v>0</v>
      </c>
      <c r="H288" s="12">
        <v>0</v>
      </c>
      <c r="I288" s="12">
        <v>-7.0000000000000007E-2</v>
      </c>
      <c r="J288" s="12">
        <v>0</v>
      </c>
      <c r="K288" s="22">
        <v>-0.06</v>
      </c>
      <c r="N288" s="12">
        <v>0</v>
      </c>
      <c r="P288" s="12">
        <v>0</v>
      </c>
      <c r="Q288" s="12">
        <v>-7.0000000000000007E-2</v>
      </c>
    </row>
    <row r="289" spans="3:17" x14ac:dyDescent="0.2">
      <c r="C289" s="12">
        <v>5.5090000000000003</v>
      </c>
      <c r="D289" s="12">
        <v>0</v>
      </c>
      <c r="E289" s="12">
        <v>0</v>
      </c>
      <c r="F289" s="12">
        <v>0</v>
      </c>
      <c r="G289" s="12">
        <v>0</v>
      </c>
      <c r="H289" s="12">
        <v>0</v>
      </c>
      <c r="I289" s="12">
        <v>-7.0000000000000007E-2</v>
      </c>
      <c r="J289" s="12">
        <v>0</v>
      </c>
      <c r="K289" s="22">
        <v>-0.06</v>
      </c>
      <c r="N289" s="12">
        <v>0</v>
      </c>
      <c r="P289" s="12">
        <v>0</v>
      </c>
      <c r="Q289" s="12">
        <v>-7.0000000000000007E-2</v>
      </c>
    </row>
    <row r="290" spans="3:17" x14ac:dyDescent="0.2">
      <c r="C290" s="12">
        <v>5.5549999999999997</v>
      </c>
      <c r="D290" s="12">
        <v>0</v>
      </c>
      <c r="E290" s="12">
        <v>0</v>
      </c>
      <c r="F290" s="12">
        <v>0</v>
      </c>
      <c r="G290" s="12">
        <v>0</v>
      </c>
      <c r="H290" s="12">
        <v>0</v>
      </c>
      <c r="I290" s="12">
        <v>-7.0000000000000007E-2</v>
      </c>
      <c r="J290" s="12">
        <v>0</v>
      </c>
      <c r="K290" s="22">
        <v>-0.06</v>
      </c>
      <c r="N290" s="12">
        <v>0</v>
      </c>
      <c r="P290" s="12">
        <v>0</v>
      </c>
      <c r="Q290" s="12">
        <v>-7.0000000000000007E-2</v>
      </c>
    </row>
    <row r="291" spans="3:17" x14ac:dyDescent="0.2">
      <c r="C291" s="12">
        <v>5.5880000000000001</v>
      </c>
      <c r="D291" s="12">
        <v>0</v>
      </c>
      <c r="E291" s="12">
        <v>0</v>
      </c>
      <c r="F291" s="12">
        <v>0</v>
      </c>
      <c r="G291" s="12">
        <v>0</v>
      </c>
      <c r="H291" s="12">
        <v>0</v>
      </c>
      <c r="I291" s="12">
        <v>-7.0000000000000007E-2</v>
      </c>
      <c r="J291" s="12">
        <v>0</v>
      </c>
      <c r="K291" s="22">
        <v>-0.06</v>
      </c>
      <c r="N291" s="12">
        <v>0</v>
      </c>
      <c r="P291" s="12">
        <v>0</v>
      </c>
      <c r="Q291" s="12">
        <v>-7.0000000000000007E-2</v>
      </c>
    </row>
    <row r="292" spans="3:17" x14ac:dyDescent="0.2">
      <c r="C292" s="12">
        <v>5.5880000000000001</v>
      </c>
      <c r="D292" s="12">
        <v>0</v>
      </c>
      <c r="E292" s="12">
        <v>0</v>
      </c>
      <c r="F292" s="12">
        <v>0</v>
      </c>
      <c r="G292" s="12">
        <v>0</v>
      </c>
      <c r="H292" s="12">
        <v>0</v>
      </c>
      <c r="I292" s="12">
        <v>-7.0000000000000007E-2</v>
      </c>
      <c r="J292" s="12">
        <v>0</v>
      </c>
      <c r="K292" s="22">
        <v>-0.06</v>
      </c>
      <c r="N292" s="12">
        <v>0</v>
      </c>
      <c r="P292" s="12">
        <v>0</v>
      </c>
      <c r="Q292" s="12">
        <v>-7.0000000000000007E-2</v>
      </c>
    </row>
    <row r="293" spans="3:17" x14ac:dyDescent="0.2">
      <c r="C293" s="12">
        <v>5.593</v>
      </c>
      <c r="D293" s="12">
        <v>0</v>
      </c>
      <c r="E293" s="12">
        <v>0</v>
      </c>
      <c r="F293" s="12">
        <v>0</v>
      </c>
      <c r="G293" s="12">
        <v>0</v>
      </c>
      <c r="H293" s="12">
        <v>0</v>
      </c>
      <c r="I293" s="12">
        <v>-7.0000000000000007E-2</v>
      </c>
      <c r="J293" s="12">
        <v>0</v>
      </c>
      <c r="K293" s="22">
        <v>-0.06</v>
      </c>
      <c r="N293" s="12">
        <v>0</v>
      </c>
      <c r="P293" s="12">
        <v>0</v>
      </c>
      <c r="Q293" s="12">
        <v>-7.0000000000000007E-2</v>
      </c>
    </row>
    <row r="294" spans="3:17" x14ac:dyDescent="0.2">
      <c r="C294" s="12">
        <v>5.7670000000000003</v>
      </c>
      <c r="D294" s="12">
        <v>0</v>
      </c>
      <c r="E294" s="12">
        <v>0</v>
      </c>
      <c r="F294" s="12">
        <v>0</v>
      </c>
      <c r="G294" s="12">
        <v>0</v>
      </c>
      <c r="H294" s="12">
        <v>0</v>
      </c>
      <c r="I294" s="12">
        <v>-7.0000000000000007E-2</v>
      </c>
      <c r="J294" s="12">
        <v>0</v>
      </c>
      <c r="K294" s="22">
        <v>-0.06</v>
      </c>
      <c r="N294" s="12">
        <v>0</v>
      </c>
      <c r="P294" s="12">
        <v>0</v>
      </c>
      <c r="Q294" s="12">
        <v>-7.0000000000000007E-2</v>
      </c>
    </row>
    <row r="295" spans="3:17" x14ac:dyDescent="0.2">
      <c r="C295" s="12">
        <v>5.9329999999999998</v>
      </c>
      <c r="D295" s="12">
        <v>0</v>
      </c>
      <c r="E295" s="12">
        <v>0</v>
      </c>
      <c r="F295" s="12">
        <v>0</v>
      </c>
      <c r="G295" s="12">
        <v>0</v>
      </c>
      <c r="H295" s="12">
        <v>0</v>
      </c>
      <c r="I295" s="12">
        <v>-7.0000000000000007E-2</v>
      </c>
      <c r="J295" s="12">
        <v>0</v>
      </c>
      <c r="K295" s="22">
        <v>-0.06</v>
      </c>
      <c r="N295" s="12">
        <v>0</v>
      </c>
      <c r="P295" s="12">
        <v>0</v>
      </c>
      <c r="Q295" s="12">
        <v>-7.0000000000000007E-2</v>
      </c>
    </row>
    <row r="296" spans="3:17" x14ac:dyDescent="0.2">
      <c r="C296" s="12">
        <v>5.5270000000000001</v>
      </c>
      <c r="D296" s="12">
        <v>0</v>
      </c>
      <c r="E296" s="12">
        <v>0</v>
      </c>
      <c r="F296" s="12">
        <v>0</v>
      </c>
      <c r="G296" s="12">
        <v>0</v>
      </c>
      <c r="H296" s="12">
        <v>0</v>
      </c>
      <c r="I296" s="12">
        <v>-7.0000000000000007E-2</v>
      </c>
      <c r="J296" s="12">
        <v>0</v>
      </c>
      <c r="K296" s="22">
        <v>-0.06</v>
      </c>
      <c r="N296" s="12">
        <v>0</v>
      </c>
      <c r="P296" s="12">
        <v>0</v>
      </c>
      <c r="Q296" s="12">
        <v>-7.0000000000000007E-2</v>
      </c>
    </row>
    <row r="297" spans="3:17" x14ac:dyDescent="0.2">
      <c r="C297" s="12">
        <v>5.2469999999999999</v>
      </c>
      <c r="D297" s="12">
        <v>0</v>
      </c>
      <c r="E297" s="12">
        <v>0</v>
      </c>
      <c r="F297" s="12">
        <v>0</v>
      </c>
      <c r="G297" s="12">
        <v>0</v>
      </c>
      <c r="H297" s="12">
        <v>0</v>
      </c>
      <c r="I297" s="12">
        <v>-7.0000000000000007E-2</v>
      </c>
      <c r="J297" s="12">
        <v>0</v>
      </c>
      <c r="K297" s="22">
        <v>-0.06</v>
      </c>
      <c r="N297" s="12">
        <v>0</v>
      </c>
      <c r="P297" s="12">
        <v>0</v>
      </c>
      <c r="Q297" s="12">
        <v>-7.0000000000000007E-2</v>
      </c>
    </row>
    <row r="298" spans="3:17" x14ac:dyDescent="0.2">
      <c r="C298" s="12">
        <v>5.7190000000000003</v>
      </c>
      <c r="D298" s="12">
        <v>0</v>
      </c>
      <c r="E298" s="12">
        <v>0</v>
      </c>
      <c r="F298" s="12">
        <v>0</v>
      </c>
      <c r="G298" s="12">
        <v>0</v>
      </c>
      <c r="H298" s="12">
        <v>0</v>
      </c>
      <c r="I298" s="12">
        <v>-7.0000000000000007E-2</v>
      </c>
      <c r="J298" s="12">
        <v>0</v>
      </c>
      <c r="K298" s="22">
        <v>-0.06</v>
      </c>
      <c r="N298" s="12">
        <v>0</v>
      </c>
      <c r="P298" s="12">
        <v>0</v>
      </c>
      <c r="Q298" s="12">
        <v>-7.0000000000000007E-2</v>
      </c>
    </row>
    <row r="299" spans="3:17" x14ac:dyDescent="0.2">
      <c r="C299" s="12">
        <v>6.1375000000000002</v>
      </c>
      <c r="D299" s="12">
        <v>0</v>
      </c>
      <c r="E299" s="12">
        <v>0</v>
      </c>
      <c r="F299" s="12">
        <v>0</v>
      </c>
      <c r="G299" s="12">
        <v>0</v>
      </c>
      <c r="H299" s="12">
        <v>0</v>
      </c>
      <c r="I299" s="12">
        <v>-7.0000000000000007E-2</v>
      </c>
      <c r="J299" s="12">
        <v>0</v>
      </c>
      <c r="K299" s="22">
        <v>-0.06</v>
      </c>
      <c r="N299" s="12">
        <v>0</v>
      </c>
      <c r="P299" s="12">
        <v>0</v>
      </c>
      <c r="Q299" s="12">
        <v>-7.0000000000000007E-2</v>
      </c>
    </row>
    <row r="300" spans="3:17" x14ac:dyDescent="0.2">
      <c r="C300" s="12">
        <v>5.9669999999999996</v>
      </c>
      <c r="D300" s="12">
        <v>0</v>
      </c>
      <c r="E300" s="12">
        <v>0</v>
      </c>
      <c r="F300" s="12">
        <v>0</v>
      </c>
      <c r="G300" s="12">
        <v>0</v>
      </c>
      <c r="H300" s="12">
        <v>0</v>
      </c>
      <c r="I300" s="12">
        <v>-7.0000000000000007E-2</v>
      </c>
      <c r="J300" s="12">
        <v>0</v>
      </c>
      <c r="K300" s="22">
        <v>-0.06</v>
      </c>
      <c r="N300" s="12">
        <v>0</v>
      </c>
      <c r="P300" s="12">
        <v>0</v>
      </c>
      <c r="Q300" s="12">
        <v>-7.0000000000000007E-2</v>
      </c>
    </row>
    <row r="301" spans="3:17" x14ac:dyDescent="0.2">
      <c r="C301" s="12">
        <v>6.69</v>
      </c>
      <c r="D301" s="12">
        <v>0</v>
      </c>
      <c r="E301" s="12">
        <v>0</v>
      </c>
      <c r="F301" s="12">
        <v>0</v>
      </c>
      <c r="G301" s="12">
        <v>0</v>
      </c>
      <c r="H301" s="12">
        <v>0</v>
      </c>
      <c r="I301" s="12">
        <v>-7.0000000000000007E-2</v>
      </c>
      <c r="J301" s="12">
        <v>0</v>
      </c>
      <c r="K301" s="22">
        <v>-0.06</v>
      </c>
      <c r="N301" s="12">
        <v>0</v>
      </c>
      <c r="P301" s="12">
        <v>0</v>
      </c>
      <c r="Q301" s="12">
        <v>-7.0000000000000007E-2</v>
      </c>
    </row>
    <row r="302" spans="3:17" x14ac:dyDescent="0.2">
      <c r="C302" s="12">
        <v>6.2805000000000009</v>
      </c>
      <c r="D302" s="12">
        <v>0</v>
      </c>
      <c r="E302" s="12">
        <v>0</v>
      </c>
      <c r="F302" s="12">
        <v>0</v>
      </c>
      <c r="G302" s="12">
        <v>0</v>
      </c>
      <c r="H302" s="12">
        <v>0</v>
      </c>
      <c r="I302" s="12">
        <v>-7.0000000000000007E-2</v>
      </c>
      <c r="J302" s="12">
        <v>0</v>
      </c>
      <c r="K302" s="22">
        <v>-0.06</v>
      </c>
      <c r="N302" s="12">
        <v>0</v>
      </c>
      <c r="P302" s="12">
        <v>0</v>
      </c>
      <c r="Q302" s="12">
        <v>-7.0000000000000007E-2</v>
      </c>
    </row>
    <row r="303" spans="3:17" x14ac:dyDescent="0.2">
      <c r="C303" s="12">
        <v>4.8240000000000007</v>
      </c>
      <c r="D303" s="12">
        <v>0</v>
      </c>
      <c r="E303" s="12">
        <v>0</v>
      </c>
      <c r="F303" s="12">
        <v>0</v>
      </c>
      <c r="G303" s="12">
        <v>0</v>
      </c>
      <c r="H303" s="12">
        <v>0</v>
      </c>
      <c r="I303" s="12">
        <v>-7.0000000000000007E-2</v>
      </c>
      <c r="J303" s="12">
        <v>0</v>
      </c>
      <c r="K303" s="22">
        <v>-0.06</v>
      </c>
      <c r="N303" s="12">
        <v>0</v>
      </c>
      <c r="P303" s="12">
        <v>0</v>
      </c>
      <c r="Q303" s="12">
        <v>-7.0000000000000007E-2</v>
      </c>
    </row>
    <row r="304" spans="3:17" x14ac:dyDescent="0.2">
      <c r="D304" s="12">
        <v>0</v>
      </c>
      <c r="E304" s="12">
        <v>0</v>
      </c>
      <c r="F304" s="12">
        <v>0</v>
      </c>
      <c r="G304" s="12">
        <v>0</v>
      </c>
      <c r="H304" s="12">
        <v>0</v>
      </c>
      <c r="I304" s="12">
        <v>-7.0000000000000007E-2</v>
      </c>
      <c r="J304" s="12">
        <v>0</v>
      </c>
      <c r="K304" s="22">
        <v>-0.06</v>
      </c>
      <c r="N304" s="12">
        <v>0</v>
      </c>
      <c r="P304" s="12">
        <v>0</v>
      </c>
      <c r="Q304" s="12">
        <v>-7.0000000000000007E-2</v>
      </c>
    </row>
    <row r="305" spans="4:17" x14ac:dyDescent="0.2">
      <c r="D305" s="12">
        <v>0</v>
      </c>
      <c r="E305" s="12">
        <v>0</v>
      </c>
      <c r="F305" s="12">
        <v>0</v>
      </c>
      <c r="G305" s="12">
        <v>0</v>
      </c>
      <c r="H305" s="12">
        <v>0</v>
      </c>
      <c r="I305" s="12">
        <v>-7.0000000000000007E-2</v>
      </c>
      <c r="J305" s="12">
        <v>0</v>
      </c>
      <c r="K305" s="22">
        <v>-0.06</v>
      </c>
      <c r="N305" s="12">
        <v>0</v>
      </c>
      <c r="P305" s="12">
        <v>0</v>
      </c>
      <c r="Q305" s="12">
        <v>-7.0000000000000007E-2</v>
      </c>
    </row>
    <row r="306" spans="4:17" x14ac:dyDescent="0.2">
      <c r="D306" s="12">
        <v>0</v>
      </c>
      <c r="E306" s="12">
        <v>0</v>
      </c>
      <c r="F306" s="12">
        <v>0</v>
      </c>
      <c r="G306" s="12">
        <v>0</v>
      </c>
      <c r="H306" s="12">
        <v>0</v>
      </c>
      <c r="I306" s="12">
        <v>-7.0000000000000007E-2</v>
      </c>
      <c r="J306" s="12">
        <v>0</v>
      </c>
      <c r="K306" s="22">
        <v>-0.06</v>
      </c>
      <c r="N306" s="12">
        <v>0</v>
      </c>
      <c r="P306" s="12">
        <v>0</v>
      </c>
      <c r="Q306" s="12">
        <v>-7.0000000000000007E-2</v>
      </c>
    </row>
    <row r="307" spans="4:17" x14ac:dyDescent="0.2">
      <c r="D307" s="12">
        <v>0</v>
      </c>
      <c r="E307" s="12">
        <v>0</v>
      </c>
      <c r="F307" s="12">
        <v>0</v>
      </c>
      <c r="G307" s="12">
        <v>0</v>
      </c>
      <c r="H307" s="12">
        <v>0</v>
      </c>
      <c r="I307" s="12">
        <v>-7.0000000000000007E-2</v>
      </c>
      <c r="J307" s="12">
        <v>0</v>
      </c>
      <c r="K307" s="22">
        <v>-0.06</v>
      </c>
      <c r="N307" s="12">
        <v>0</v>
      </c>
      <c r="P307" s="12">
        <v>0</v>
      </c>
      <c r="Q307" s="12">
        <v>-7.0000000000000007E-2</v>
      </c>
    </row>
    <row r="308" spans="4:17" x14ac:dyDescent="0.2">
      <c r="D308" s="12">
        <v>0</v>
      </c>
      <c r="E308" s="12">
        <v>0</v>
      </c>
      <c r="F308" s="12">
        <v>0</v>
      </c>
      <c r="G308" s="12">
        <v>0</v>
      </c>
      <c r="H308" s="12">
        <v>0</v>
      </c>
      <c r="I308" s="12">
        <v>-7.0000000000000007E-2</v>
      </c>
      <c r="J308" s="12">
        <v>0</v>
      </c>
      <c r="K308" s="22">
        <v>-0.06</v>
      </c>
      <c r="N308" s="12">
        <v>0</v>
      </c>
      <c r="P308" s="12">
        <v>0</v>
      </c>
      <c r="Q308" s="12">
        <v>-7.0000000000000007E-2</v>
      </c>
    </row>
    <row r="309" spans="4:17" x14ac:dyDescent="0.2">
      <c r="D309" s="12">
        <v>0</v>
      </c>
      <c r="E309" s="12">
        <v>0</v>
      </c>
      <c r="F309" s="12">
        <v>0</v>
      </c>
      <c r="G309" s="12">
        <v>0</v>
      </c>
      <c r="H309" s="12">
        <v>0</v>
      </c>
      <c r="I309" s="12">
        <v>-7.0000000000000007E-2</v>
      </c>
      <c r="J309" s="12">
        <v>0</v>
      </c>
      <c r="K309" s="22">
        <v>-0.06</v>
      </c>
      <c r="N309" s="12">
        <v>0</v>
      </c>
      <c r="P309" s="12">
        <v>0</v>
      </c>
      <c r="Q309" s="12">
        <v>-7.0000000000000007E-2</v>
      </c>
    </row>
    <row r="310" spans="4:17" x14ac:dyDescent="0.2">
      <c r="D310" s="12">
        <v>0</v>
      </c>
      <c r="E310" s="12">
        <v>0</v>
      </c>
      <c r="F310" s="12">
        <v>0</v>
      </c>
      <c r="G310" s="12">
        <v>0</v>
      </c>
      <c r="H310" s="12">
        <v>0</v>
      </c>
      <c r="I310" s="12">
        <v>-7.0000000000000007E-2</v>
      </c>
      <c r="J310" s="12">
        <v>0</v>
      </c>
      <c r="K310" s="22">
        <v>-0.06</v>
      </c>
      <c r="N310" s="12">
        <v>0</v>
      </c>
      <c r="P310" s="12">
        <v>0</v>
      </c>
      <c r="Q310" s="12">
        <v>-7.0000000000000007E-2</v>
      </c>
    </row>
    <row r="311" spans="4:17" x14ac:dyDescent="0.2">
      <c r="D311" s="12">
        <v>0</v>
      </c>
      <c r="E311" s="12">
        <v>0</v>
      </c>
      <c r="F311" s="12">
        <v>0</v>
      </c>
      <c r="G311" s="12">
        <v>0</v>
      </c>
      <c r="H311" s="12">
        <v>0</v>
      </c>
      <c r="I311" s="12">
        <v>-7.0000000000000007E-2</v>
      </c>
      <c r="J311" s="12">
        <v>0</v>
      </c>
      <c r="K311" s="22">
        <v>-0.06</v>
      </c>
      <c r="N311" s="12">
        <v>0</v>
      </c>
      <c r="P311" s="12">
        <v>0</v>
      </c>
      <c r="Q311" s="12">
        <v>-7.0000000000000007E-2</v>
      </c>
    </row>
    <row r="312" spans="4:17" x14ac:dyDescent="0.2">
      <c r="D312" s="12">
        <v>0</v>
      </c>
      <c r="E312" s="12">
        <v>0</v>
      </c>
      <c r="F312" s="12">
        <v>0</v>
      </c>
      <c r="G312" s="12">
        <v>0</v>
      </c>
      <c r="H312" s="12">
        <v>0</v>
      </c>
      <c r="I312" s="12">
        <v>-7.0000000000000007E-2</v>
      </c>
      <c r="J312" s="12">
        <v>0</v>
      </c>
      <c r="K312" s="22">
        <v>-0.06</v>
      </c>
      <c r="N312" s="12">
        <v>0</v>
      </c>
      <c r="P312" s="12">
        <v>0</v>
      </c>
      <c r="Q312" s="12">
        <v>-7.0000000000000007E-2</v>
      </c>
    </row>
    <row r="313" spans="4:17" x14ac:dyDescent="0.2">
      <c r="D313" s="12">
        <v>0</v>
      </c>
      <c r="E313" s="12">
        <v>0</v>
      </c>
      <c r="F313" s="12">
        <v>0</v>
      </c>
      <c r="G313" s="12">
        <v>0</v>
      </c>
      <c r="H313" s="12">
        <v>0</v>
      </c>
      <c r="I313" s="12">
        <v>-7.0000000000000007E-2</v>
      </c>
      <c r="J313" s="12">
        <v>0</v>
      </c>
      <c r="K313" s="22">
        <v>-0.06</v>
      </c>
      <c r="N313" s="12">
        <v>0</v>
      </c>
      <c r="P313" s="12">
        <v>0</v>
      </c>
      <c r="Q313" s="12">
        <v>-7.0000000000000007E-2</v>
      </c>
    </row>
    <row r="314" spans="4:17" x14ac:dyDescent="0.2">
      <c r="D314" s="12">
        <v>0</v>
      </c>
      <c r="E314" s="12">
        <v>0</v>
      </c>
      <c r="F314" s="12">
        <v>0</v>
      </c>
      <c r="G314" s="12">
        <v>0</v>
      </c>
      <c r="H314" s="12">
        <v>0</v>
      </c>
      <c r="I314" s="12">
        <v>-7.0000000000000007E-2</v>
      </c>
      <c r="J314" s="12">
        <v>0</v>
      </c>
      <c r="K314" s="22">
        <v>-0.06</v>
      </c>
      <c r="N314" s="12">
        <v>0</v>
      </c>
      <c r="P314" s="12">
        <v>0</v>
      </c>
      <c r="Q314" s="12">
        <v>-7.0000000000000007E-2</v>
      </c>
    </row>
    <row r="315" spans="4:17" x14ac:dyDescent="0.2">
      <c r="D315" s="12">
        <v>0</v>
      </c>
      <c r="E315" s="12">
        <v>0</v>
      </c>
      <c r="F315" s="12">
        <v>0</v>
      </c>
      <c r="G315" s="12">
        <v>0</v>
      </c>
      <c r="H315" s="12">
        <v>0</v>
      </c>
      <c r="I315" s="12">
        <v>-7.0000000000000007E-2</v>
      </c>
      <c r="J315" s="12">
        <v>0</v>
      </c>
      <c r="K315" s="22">
        <v>-0.06</v>
      </c>
      <c r="N315" s="12">
        <v>0</v>
      </c>
      <c r="P315" s="12">
        <v>0</v>
      </c>
      <c r="Q315" s="12">
        <v>-7.0000000000000007E-2</v>
      </c>
    </row>
    <row r="316" spans="4:17" x14ac:dyDescent="0.2">
      <c r="D316" s="12">
        <v>0</v>
      </c>
      <c r="E316" s="12">
        <v>0</v>
      </c>
      <c r="F316" s="12">
        <v>0</v>
      </c>
      <c r="G316" s="12">
        <v>0</v>
      </c>
      <c r="H316" s="12">
        <v>0</v>
      </c>
      <c r="I316" s="12">
        <v>-7.0000000000000007E-2</v>
      </c>
      <c r="J316" s="12">
        <v>0</v>
      </c>
      <c r="K316" s="22">
        <v>-0.06</v>
      </c>
      <c r="N316" s="12">
        <v>0</v>
      </c>
      <c r="P316" s="12">
        <v>0</v>
      </c>
      <c r="Q316" s="12">
        <v>-7.0000000000000007E-2</v>
      </c>
    </row>
    <row r="317" spans="4:17" x14ac:dyDescent="0.2">
      <c r="D317" s="12">
        <v>0</v>
      </c>
      <c r="E317" s="12">
        <v>0</v>
      </c>
      <c r="F317" s="12">
        <v>0</v>
      </c>
      <c r="G317" s="12">
        <v>0</v>
      </c>
      <c r="H317" s="12">
        <v>0</v>
      </c>
      <c r="I317" s="12">
        <v>-7.0000000000000007E-2</v>
      </c>
      <c r="J317" s="12">
        <v>0</v>
      </c>
      <c r="K317" s="22">
        <v>-0.06</v>
      </c>
      <c r="N317" s="12">
        <v>0</v>
      </c>
      <c r="P317" s="12">
        <v>0</v>
      </c>
      <c r="Q317" s="12">
        <v>-7.0000000000000007E-2</v>
      </c>
    </row>
    <row r="318" spans="4:17" x14ac:dyDescent="0.2">
      <c r="D318" s="12">
        <v>0</v>
      </c>
      <c r="E318" s="12">
        <v>0</v>
      </c>
      <c r="F318" s="12">
        <v>0</v>
      </c>
      <c r="G318" s="12">
        <v>0</v>
      </c>
      <c r="H318" s="12">
        <v>0</v>
      </c>
      <c r="I318" s="12">
        <v>-7.0000000000000007E-2</v>
      </c>
      <c r="J318" s="12">
        <v>0</v>
      </c>
      <c r="K318" s="22">
        <v>-0.06</v>
      </c>
      <c r="N318" s="12">
        <v>0</v>
      </c>
      <c r="P318" s="12">
        <v>0</v>
      </c>
      <c r="Q318" s="12">
        <v>-7.0000000000000007E-2</v>
      </c>
    </row>
    <row r="319" spans="4:17" x14ac:dyDescent="0.2">
      <c r="D319" s="12">
        <v>0</v>
      </c>
      <c r="E319" s="12">
        <v>0</v>
      </c>
      <c r="F319" s="12">
        <v>0</v>
      </c>
      <c r="G319" s="12">
        <v>0</v>
      </c>
      <c r="H319" s="12">
        <v>0</v>
      </c>
      <c r="I319" s="12">
        <v>-7.0000000000000007E-2</v>
      </c>
      <c r="J319" s="12">
        <v>0</v>
      </c>
      <c r="K319" s="22">
        <v>-0.06</v>
      </c>
      <c r="N319" s="12">
        <v>0</v>
      </c>
      <c r="P319" s="12">
        <v>0</v>
      </c>
      <c r="Q319" s="12">
        <v>-7.0000000000000007E-2</v>
      </c>
    </row>
    <row r="320" spans="4:17" x14ac:dyDescent="0.2">
      <c r="D320" s="12">
        <v>0</v>
      </c>
      <c r="E320" s="12">
        <v>0</v>
      </c>
      <c r="F320" s="12">
        <v>0</v>
      </c>
      <c r="G320" s="12">
        <v>0</v>
      </c>
      <c r="H320" s="12">
        <v>0</v>
      </c>
      <c r="I320" s="12">
        <v>-7.0000000000000007E-2</v>
      </c>
      <c r="J320" s="12">
        <v>0</v>
      </c>
      <c r="K320" s="22">
        <v>-0.06</v>
      </c>
      <c r="N320" s="12">
        <v>0</v>
      </c>
      <c r="P320" s="12">
        <v>0</v>
      </c>
      <c r="Q320" s="12">
        <v>-7.0000000000000007E-2</v>
      </c>
    </row>
    <row r="321" spans="4:17" x14ac:dyDescent="0.2">
      <c r="D321" s="12">
        <v>0</v>
      </c>
      <c r="E321" s="12">
        <v>0</v>
      </c>
      <c r="F321" s="12">
        <v>0</v>
      </c>
      <c r="G321" s="12">
        <v>0</v>
      </c>
      <c r="H321" s="12">
        <v>0</v>
      </c>
      <c r="I321" s="12">
        <v>-7.0000000000000007E-2</v>
      </c>
      <c r="J321" s="12">
        <v>0</v>
      </c>
      <c r="K321" s="22">
        <v>-0.06</v>
      </c>
      <c r="N321" s="12">
        <v>0</v>
      </c>
      <c r="P321" s="12">
        <v>0</v>
      </c>
      <c r="Q321" s="12">
        <v>-7.0000000000000007E-2</v>
      </c>
    </row>
    <row r="322" spans="4:17" x14ac:dyDescent="0.2">
      <c r="D322" s="12">
        <v>0</v>
      </c>
      <c r="E322" s="12">
        <v>0</v>
      </c>
      <c r="F322" s="12">
        <v>0</v>
      </c>
      <c r="G322" s="12">
        <v>0</v>
      </c>
      <c r="H322" s="12">
        <v>0</v>
      </c>
      <c r="I322" s="12">
        <v>-7.0000000000000007E-2</v>
      </c>
      <c r="J322" s="12">
        <v>0</v>
      </c>
      <c r="K322" s="22">
        <v>-0.06</v>
      </c>
      <c r="N322" s="12">
        <v>0</v>
      </c>
      <c r="P322" s="12">
        <v>0</v>
      </c>
      <c r="Q322" s="12">
        <v>-7.0000000000000007E-2</v>
      </c>
    </row>
    <row r="323" spans="4:17" x14ac:dyDescent="0.2">
      <c r="D323" s="12">
        <v>0</v>
      </c>
      <c r="E323" s="12">
        <v>0</v>
      </c>
      <c r="F323" s="12">
        <v>0</v>
      </c>
      <c r="G323" s="12">
        <v>0</v>
      </c>
      <c r="H323" s="12">
        <v>0</v>
      </c>
      <c r="I323" s="12">
        <v>-7.0000000000000007E-2</v>
      </c>
      <c r="J323" s="12">
        <v>0</v>
      </c>
      <c r="K323" s="22">
        <v>-0.06</v>
      </c>
      <c r="N323" s="12">
        <v>0</v>
      </c>
      <c r="P323" s="12">
        <v>0</v>
      </c>
      <c r="Q323" s="12">
        <v>-7.0000000000000007E-2</v>
      </c>
    </row>
    <row r="324" spans="4:17" x14ac:dyDescent="0.2">
      <c r="D324" s="12">
        <v>0</v>
      </c>
      <c r="E324" s="12">
        <v>0</v>
      </c>
      <c r="F324" s="12">
        <v>0</v>
      </c>
      <c r="G324" s="12">
        <v>0</v>
      </c>
      <c r="H324" s="12">
        <v>0</v>
      </c>
      <c r="I324" s="12">
        <v>-7.0000000000000007E-2</v>
      </c>
      <c r="J324" s="12">
        <v>0</v>
      </c>
      <c r="K324" s="22">
        <v>-0.06</v>
      </c>
      <c r="N324" s="12">
        <v>0</v>
      </c>
      <c r="P324" s="12">
        <v>0</v>
      </c>
      <c r="Q324" s="12">
        <v>-7.0000000000000007E-2</v>
      </c>
    </row>
    <row r="325" spans="4:17" x14ac:dyDescent="0.2">
      <c r="D325" s="12">
        <v>0</v>
      </c>
      <c r="E325" s="12">
        <v>0</v>
      </c>
      <c r="F325" s="12">
        <v>0</v>
      </c>
      <c r="G325" s="12">
        <v>0</v>
      </c>
      <c r="H325" s="12">
        <v>0</v>
      </c>
      <c r="I325" s="12">
        <v>-7.0000000000000007E-2</v>
      </c>
      <c r="J325" s="12">
        <v>0</v>
      </c>
      <c r="K325" s="22">
        <v>-0.06</v>
      </c>
      <c r="N325" s="12">
        <v>0</v>
      </c>
      <c r="P325" s="12">
        <v>0</v>
      </c>
      <c r="Q325" s="12">
        <v>-7.0000000000000007E-2</v>
      </c>
    </row>
    <row r="326" spans="4:17" x14ac:dyDescent="0.2">
      <c r="D326" s="12">
        <v>0</v>
      </c>
      <c r="E326" s="12">
        <v>0</v>
      </c>
      <c r="F326" s="12">
        <v>0</v>
      </c>
      <c r="G326" s="12">
        <v>0</v>
      </c>
      <c r="H326" s="12">
        <v>0</v>
      </c>
      <c r="I326" s="12">
        <v>-7.0000000000000007E-2</v>
      </c>
      <c r="J326" s="12">
        <v>0</v>
      </c>
      <c r="K326" s="22">
        <v>-0.06</v>
      </c>
      <c r="N326" s="12">
        <v>0</v>
      </c>
      <c r="P326" s="12">
        <v>0</v>
      </c>
      <c r="Q326" s="12">
        <v>-7.0000000000000007E-2</v>
      </c>
    </row>
    <row r="327" spans="4:17" x14ac:dyDescent="0.2">
      <c r="D327" s="12">
        <v>0</v>
      </c>
      <c r="E327" s="12">
        <v>0</v>
      </c>
      <c r="F327" s="12">
        <v>0</v>
      </c>
      <c r="G327" s="12">
        <v>0</v>
      </c>
      <c r="H327" s="12">
        <v>0</v>
      </c>
      <c r="I327" s="12">
        <v>-7.0000000000000007E-2</v>
      </c>
      <c r="J327" s="12">
        <v>0</v>
      </c>
      <c r="K327" s="22">
        <v>-0.06</v>
      </c>
      <c r="N327" s="12">
        <v>0</v>
      </c>
      <c r="P327" s="12">
        <v>0</v>
      </c>
      <c r="Q327" s="12">
        <v>-7.0000000000000007E-2</v>
      </c>
    </row>
    <row r="328" spans="4:17" x14ac:dyDescent="0.2">
      <c r="D328" s="12">
        <v>0</v>
      </c>
      <c r="E328" s="12">
        <v>0</v>
      </c>
      <c r="F328" s="12">
        <v>0</v>
      </c>
      <c r="G328" s="12">
        <v>0</v>
      </c>
      <c r="H328" s="12">
        <v>0</v>
      </c>
      <c r="I328" s="12">
        <v>-7.0000000000000007E-2</v>
      </c>
      <c r="J328" s="12">
        <v>0</v>
      </c>
      <c r="K328" s="22">
        <v>-0.06</v>
      </c>
      <c r="N328" s="12">
        <v>0</v>
      </c>
      <c r="P328" s="12">
        <v>0</v>
      </c>
      <c r="Q328" s="12">
        <v>-7.0000000000000007E-2</v>
      </c>
    </row>
    <row r="329" spans="4:17" x14ac:dyDescent="0.2">
      <c r="D329" s="12">
        <v>0</v>
      </c>
      <c r="E329" s="12">
        <v>0</v>
      </c>
      <c r="F329" s="12">
        <v>0</v>
      </c>
      <c r="G329" s="12">
        <v>0</v>
      </c>
      <c r="H329" s="12">
        <v>0</v>
      </c>
      <c r="I329" s="12">
        <v>-7.0000000000000007E-2</v>
      </c>
      <c r="J329" s="12">
        <v>0</v>
      </c>
      <c r="K329" s="22">
        <v>-0.06</v>
      </c>
      <c r="N329" s="12">
        <v>0</v>
      </c>
      <c r="P329" s="12">
        <v>0</v>
      </c>
      <c r="Q329" s="12">
        <v>-7.0000000000000007E-2</v>
      </c>
    </row>
    <row r="330" spans="4:17" x14ac:dyDescent="0.2">
      <c r="D330" s="12">
        <v>0</v>
      </c>
      <c r="E330" s="12">
        <v>0</v>
      </c>
      <c r="F330" s="12">
        <v>0</v>
      </c>
      <c r="G330" s="12">
        <v>0</v>
      </c>
      <c r="H330" s="12">
        <v>0</v>
      </c>
      <c r="I330" s="12">
        <v>-7.0000000000000007E-2</v>
      </c>
      <c r="J330" s="12">
        <v>0</v>
      </c>
      <c r="K330" s="22">
        <v>-0.06</v>
      </c>
      <c r="N330" s="12">
        <v>0</v>
      </c>
      <c r="P330" s="12">
        <v>0</v>
      </c>
      <c r="Q330" s="12">
        <v>-7.0000000000000007E-2</v>
      </c>
    </row>
    <row r="331" spans="4:17" x14ac:dyDescent="0.2">
      <c r="D331" s="12">
        <v>0</v>
      </c>
      <c r="E331" s="12">
        <v>0</v>
      </c>
      <c r="F331" s="12">
        <v>0</v>
      </c>
      <c r="G331" s="12">
        <v>0</v>
      </c>
      <c r="H331" s="12">
        <v>0</v>
      </c>
      <c r="I331" s="12">
        <v>-7.0000000000000007E-2</v>
      </c>
      <c r="J331" s="12">
        <v>0</v>
      </c>
      <c r="K331" s="22">
        <v>-0.06</v>
      </c>
      <c r="N331" s="12">
        <v>0</v>
      </c>
      <c r="P331" s="12">
        <v>0</v>
      </c>
      <c r="Q331" s="12">
        <v>-7.0000000000000007E-2</v>
      </c>
    </row>
    <row r="332" spans="4:17" x14ac:dyDescent="0.2">
      <c r="D332" s="12">
        <v>0</v>
      </c>
      <c r="E332" s="12">
        <v>0</v>
      </c>
      <c r="F332" s="12">
        <v>0</v>
      </c>
      <c r="G332" s="12">
        <v>0</v>
      </c>
      <c r="H332" s="12">
        <v>0</v>
      </c>
      <c r="I332" s="12">
        <v>-7.0000000000000007E-2</v>
      </c>
      <c r="J332" s="12">
        <v>0</v>
      </c>
      <c r="K332" s="22">
        <v>-0.06</v>
      </c>
      <c r="N332" s="12">
        <v>0</v>
      </c>
      <c r="P332" s="12">
        <v>0</v>
      </c>
      <c r="Q332" s="12">
        <v>-7.0000000000000007E-2</v>
      </c>
    </row>
    <row r="333" spans="4:17" x14ac:dyDescent="0.2">
      <c r="D333" s="12">
        <v>0</v>
      </c>
      <c r="E333" s="12">
        <v>0</v>
      </c>
      <c r="F333" s="12">
        <v>0</v>
      </c>
      <c r="G333" s="12">
        <v>0</v>
      </c>
      <c r="H333" s="12">
        <v>0</v>
      </c>
      <c r="I333" s="12">
        <v>-7.0000000000000007E-2</v>
      </c>
      <c r="J333" s="12">
        <v>0</v>
      </c>
      <c r="K333" s="22">
        <v>-0.06</v>
      </c>
      <c r="N333" s="12">
        <v>0</v>
      </c>
      <c r="P333" s="12">
        <v>0</v>
      </c>
      <c r="Q333" s="12">
        <v>-7.0000000000000007E-2</v>
      </c>
    </row>
    <row r="334" spans="4:17" x14ac:dyDescent="0.2">
      <c r="D334" s="12">
        <v>0</v>
      </c>
      <c r="E334" s="12">
        <v>0</v>
      </c>
      <c r="F334" s="12">
        <v>0</v>
      </c>
      <c r="G334" s="12">
        <v>0</v>
      </c>
      <c r="H334" s="12">
        <v>0</v>
      </c>
      <c r="I334" s="12">
        <v>-7.0000000000000007E-2</v>
      </c>
      <c r="J334" s="12">
        <v>0</v>
      </c>
      <c r="K334" s="22">
        <v>-0.06</v>
      </c>
      <c r="N334" s="12">
        <v>0</v>
      </c>
      <c r="P334" s="12">
        <v>0</v>
      </c>
      <c r="Q334" s="12">
        <v>-7.0000000000000007E-2</v>
      </c>
    </row>
    <row r="335" spans="4:17" x14ac:dyDescent="0.2">
      <c r="D335" s="12">
        <v>0</v>
      </c>
      <c r="E335" s="12">
        <v>0</v>
      </c>
      <c r="F335" s="12">
        <v>0</v>
      </c>
      <c r="G335" s="12">
        <v>0</v>
      </c>
      <c r="H335" s="12">
        <v>0</v>
      </c>
      <c r="I335" s="12">
        <v>-7.0000000000000007E-2</v>
      </c>
      <c r="J335" s="12">
        <v>0</v>
      </c>
      <c r="K335" s="22">
        <v>-0.06</v>
      </c>
      <c r="N335" s="12">
        <v>0</v>
      </c>
      <c r="P335" s="12">
        <v>0</v>
      </c>
      <c r="Q335" s="12">
        <v>-7.0000000000000007E-2</v>
      </c>
    </row>
    <row r="336" spans="4:17" x14ac:dyDescent="0.2">
      <c r="D336" s="12">
        <v>0</v>
      </c>
      <c r="E336" s="12">
        <v>0</v>
      </c>
      <c r="F336" s="12">
        <v>0</v>
      </c>
      <c r="G336" s="12">
        <v>0</v>
      </c>
      <c r="H336" s="12">
        <v>0</v>
      </c>
      <c r="I336" s="12">
        <v>-7.0000000000000007E-2</v>
      </c>
      <c r="J336" s="12">
        <v>0</v>
      </c>
      <c r="K336" s="22">
        <v>-0.06</v>
      </c>
      <c r="N336" s="12">
        <v>0</v>
      </c>
      <c r="P336" s="12">
        <v>0</v>
      </c>
      <c r="Q336" s="12">
        <v>-7.0000000000000007E-2</v>
      </c>
    </row>
    <row r="337" spans="4:17" x14ac:dyDescent="0.2">
      <c r="D337" s="12">
        <v>0</v>
      </c>
      <c r="E337" s="12">
        <v>0</v>
      </c>
      <c r="F337" s="12">
        <v>0</v>
      </c>
      <c r="G337" s="12">
        <v>0</v>
      </c>
      <c r="H337" s="12">
        <v>0</v>
      </c>
      <c r="I337" s="12">
        <v>-7.0000000000000007E-2</v>
      </c>
      <c r="J337" s="12">
        <v>0</v>
      </c>
      <c r="K337" s="22">
        <v>-0.06</v>
      </c>
      <c r="N337" s="12">
        <v>0</v>
      </c>
      <c r="P337" s="12">
        <v>0</v>
      </c>
      <c r="Q337" s="12">
        <v>-7.0000000000000007E-2</v>
      </c>
    </row>
    <row r="338" spans="4:17" x14ac:dyDescent="0.2">
      <c r="D338" s="12">
        <v>0</v>
      </c>
      <c r="E338" s="12">
        <v>0</v>
      </c>
      <c r="F338" s="12">
        <v>0</v>
      </c>
      <c r="G338" s="12">
        <v>0</v>
      </c>
      <c r="H338" s="12">
        <v>0</v>
      </c>
      <c r="I338" s="12">
        <v>-7.0000000000000007E-2</v>
      </c>
      <c r="J338" s="12">
        <v>0</v>
      </c>
      <c r="K338" s="22">
        <v>-0.06</v>
      </c>
      <c r="N338" s="12">
        <v>0</v>
      </c>
      <c r="P338" s="12">
        <v>0</v>
      </c>
      <c r="Q338" s="12">
        <v>-7.0000000000000007E-2</v>
      </c>
    </row>
    <row r="339" spans="4:17" x14ac:dyDescent="0.2">
      <c r="D339" s="12">
        <v>0</v>
      </c>
      <c r="E339" s="12">
        <v>0</v>
      </c>
      <c r="F339" s="12">
        <v>0</v>
      </c>
      <c r="G339" s="12">
        <v>0</v>
      </c>
      <c r="H339" s="12">
        <v>0</v>
      </c>
      <c r="I339" s="12">
        <v>-7.0000000000000007E-2</v>
      </c>
      <c r="J339" s="12">
        <v>0</v>
      </c>
      <c r="K339" s="22">
        <v>-0.06</v>
      </c>
      <c r="N339" s="12">
        <v>0</v>
      </c>
      <c r="P339" s="12">
        <v>0</v>
      </c>
      <c r="Q339" s="12">
        <v>-7.0000000000000007E-2</v>
      </c>
    </row>
    <row r="340" spans="4:17" x14ac:dyDescent="0.2">
      <c r="D340" s="12">
        <v>0</v>
      </c>
      <c r="E340" s="12">
        <v>0</v>
      </c>
      <c r="F340" s="12">
        <v>0</v>
      </c>
      <c r="G340" s="12">
        <v>0</v>
      </c>
      <c r="H340" s="12">
        <v>0</v>
      </c>
      <c r="I340" s="12">
        <v>-7.0000000000000007E-2</v>
      </c>
      <c r="J340" s="12">
        <v>0</v>
      </c>
      <c r="K340" s="22">
        <v>-0.06</v>
      </c>
      <c r="N340" s="12">
        <v>0</v>
      </c>
      <c r="P340" s="12">
        <v>0</v>
      </c>
      <c r="Q340" s="12">
        <v>-7.0000000000000007E-2</v>
      </c>
    </row>
    <row r="341" spans="4:17" x14ac:dyDescent="0.2">
      <c r="D341" s="12">
        <v>0</v>
      </c>
      <c r="E341" s="12">
        <v>0</v>
      </c>
      <c r="F341" s="12">
        <v>0</v>
      </c>
      <c r="G341" s="12">
        <v>0</v>
      </c>
      <c r="H341" s="12">
        <v>0</v>
      </c>
      <c r="I341" s="12">
        <v>-7.0000000000000007E-2</v>
      </c>
      <c r="J341" s="12">
        <v>0</v>
      </c>
      <c r="K341" s="22">
        <v>-0.06</v>
      </c>
      <c r="N341" s="12">
        <v>0</v>
      </c>
      <c r="P341" s="12">
        <v>0</v>
      </c>
      <c r="Q341" s="12">
        <v>-7.0000000000000007E-2</v>
      </c>
    </row>
    <row r="342" spans="4:17" x14ac:dyDescent="0.2">
      <c r="D342" s="12">
        <v>0</v>
      </c>
      <c r="E342" s="12">
        <v>0</v>
      </c>
      <c r="F342" s="12">
        <v>0</v>
      </c>
      <c r="G342" s="12">
        <v>0</v>
      </c>
      <c r="H342" s="12">
        <v>0</v>
      </c>
      <c r="I342" s="12">
        <v>-7.0000000000000007E-2</v>
      </c>
      <c r="J342" s="12">
        <v>0</v>
      </c>
      <c r="K342" s="22">
        <v>-0.06</v>
      </c>
      <c r="N342" s="12">
        <v>0</v>
      </c>
      <c r="P342" s="12">
        <v>0</v>
      </c>
      <c r="Q342" s="12">
        <v>-7.0000000000000007E-2</v>
      </c>
    </row>
    <row r="343" spans="4:17" x14ac:dyDescent="0.2">
      <c r="D343" s="12">
        <v>0</v>
      </c>
      <c r="E343" s="12">
        <v>0</v>
      </c>
      <c r="F343" s="12">
        <v>0</v>
      </c>
      <c r="G343" s="12">
        <v>0</v>
      </c>
      <c r="H343" s="12">
        <v>0</v>
      </c>
      <c r="I343" s="12">
        <v>-7.0000000000000007E-2</v>
      </c>
      <c r="J343" s="12">
        <v>0</v>
      </c>
      <c r="K343" s="22">
        <v>-0.06</v>
      </c>
      <c r="N343" s="12">
        <v>0</v>
      </c>
      <c r="P343" s="12">
        <v>0</v>
      </c>
      <c r="Q343" s="12">
        <v>-7.0000000000000007E-2</v>
      </c>
    </row>
    <row r="344" spans="4:17" x14ac:dyDescent="0.2">
      <c r="D344" s="12">
        <v>0</v>
      </c>
      <c r="E344" s="12">
        <v>0</v>
      </c>
      <c r="F344" s="12">
        <v>0</v>
      </c>
      <c r="G344" s="12">
        <v>0</v>
      </c>
      <c r="H344" s="12">
        <v>0</v>
      </c>
      <c r="I344" s="12">
        <v>-7.0000000000000007E-2</v>
      </c>
      <c r="J344" s="12">
        <v>0</v>
      </c>
      <c r="K344" s="22">
        <v>-0.06</v>
      </c>
      <c r="N344" s="12">
        <v>0</v>
      </c>
      <c r="P344" s="12">
        <v>0</v>
      </c>
      <c r="Q344" s="12">
        <v>-7.0000000000000007E-2</v>
      </c>
    </row>
    <row r="345" spans="4:17" x14ac:dyDescent="0.2">
      <c r="D345" s="12">
        <v>0</v>
      </c>
      <c r="E345" s="12">
        <v>0</v>
      </c>
      <c r="F345" s="12">
        <v>0</v>
      </c>
      <c r="G345" s="12">
        <v>0</v>
      </c>
      <c r="H345" s="12">
        <v>0</v>
      </c>
      <c r="I345" s="12">
        <v>-7.0000000000000007E-2</v>
      </c>
      <c r="J345" s="12">
        <v>0</v>
      </c>
      <c r="K345" s="22">
        <v>-0.06</v>
      </c>
      <c r="N345" s="12">
        <v>0</v>
      </c>
      <c r="P345" s="12">
        <v>0</v>
      </c>
      <c r="Q345" s="12">
        <v>-7.0000000000000007E-2</v>
      </c>
    </row>
    <row r="346" spans="4:17" x14ac:dyDescent="0.2">
      <c r="D346" s="12">
        <v>0</v>
      </c>
      <c r="E346" s="12">
        <v>0</v>
      </c>
      <c r="F346" s="12">
        <v>0</v>
      </c>
      <c r="G346" s="12">
        <v>0</v>
      </c>
      <c r="H346" s="12">
        <v>0</v>
      </c>
      <c r="I346" s="12">
        <v>-7.0000000000000007E-2</v>
      </c>
      <c r="J346" s="12">
        <v>0</v>
      </c>
      <c r="K346" s="22">
        <v>-0.06</v>
      </c>
      <c r="N346" s="12">
        <v>0</v>
      </c>
      <c r="P346" s="12">
        <v>0</v>
      </c>
      <c r="Q346" s="12">
        <v>-7.0000000000000007E-2</v>
      </c>
    </row>
    <row r="347" spans="4:17" x14ac:dyDescent="0.2">
      <c r="D347" s="12">
        <v>0</v>
      </c>
      <c r="E347" s="12">
        <v>0</v>
      </c>
      <c r="F347" s="12">
        <v>0</v>
      </c>
      <c r="G347" s="12">
        <v>0</v>
      </c>
      <c r="H347" s="12">
        <v>0</v>
      </c>
      <c r="I347" s="12">
        <v>-7.0000000000000007E-2</v>
      </c>
      <c r="J347" s="12">
        <v>0</v>
      </c>
      <c r="K347" s="22">
        <v>-0.06</v>
      </c>
      <c r="N347" s="12">
        <v>0</v>
      </c>
      <c r="P347" s="12">
        <v>0</v>
      </c>
      <c r="Q347" s="12">
        <v>-7.0000000000000007E-2</v>
      </c>
    </row>
    <row r="348" spans="4:17" x14ac:dyDescent="0.2">
      <c r="D348" s="12">
        <v>0</v>
      </c>
      <c r="E348" s="12">
        <v>0</v>
      </c>
      <c r="F348" s="12">
        <v>0</v>
      </c>
      <c r="G348" s="12">
        <v>0</v>
      </c>
      <c r="H348" s="12">
        <v>0</v>
      </c>
      <c r="I348" s="12">
        <v>-7.0000000000000007E-2</v>
      </c>
      <c r="J348" s="12">
        <v>0</v>
      </c>
      <c r="K348" s="22">
        <v>-0.06</v>
      </c>
      <c r="N348" s="12">
        <v>0</v>
      </c>
      <c r="P348" s="12">
        <v>0</v>
      </c>
      <c r="Q348" s="12">
        <v>-7.0000000000000007E-2</v>
      </c>
    </row>
    <row r="349" spans="4:17" x14ac:dyDescent="0.2">
      <c r="D349" s="12">
        <v>0</v>
      </c>
      <c r="E349" s="12">
        <v>0</v>
      </c>
      <c r="F349" s="12">
        <v>0</v>
      </c>
      <c r="G349" s="12">
        <v>0</v>
      </c>
      <c r="H349" s="12">
        <v>0</v>
      </c>
      <c r="I349" s="12">
        <v>-7.0000000000000007E-2</v>
      </c>
      <c r="J349" s="12">
        <v>0</v>
      </c>
      <c r="K349" s="22">
        <v>-0.06</v>
      </c>
      <c r="N349" s="12">
        <v>0</v>
      </c>
      <c r="P349" s="12">
        <v>0</v>
      </c>
      <c r="Q349" s="12">
        <v>-7.0000000000000007E-2</v>
      </c>
    </row>
    <row r="350" spans="4:17" x14ac:dyDescent="0.2">
      <c r="D350" s="12">
        <v>0</v>
      </c>
      <c r="E350" s="12">
        <v>0</v>
      </c>
      <c r="F350" s="12">
        <v>0</v>
      </c>
      <c r="G350" s="12">
        <v>0</v>
      </c>
      <c r="H350" s="12">
        <v>0</v>
      </c>
      <c r="I350" s="12">
        <v>-7.0000000000000007E-2</v>
      </c>
      <c r="J350" s="12">
        <v>0</v>
      </c>
      <c r="K350" s="22">
        <v>-0.06</v>
      </c>
      <c r="N350" s="12">
        <v>0</v>
      </c>
      <c r="P350" s="12">
        <v>0</v>
      </c>
      <c r="Q350" s="12">
        <v>-7.0000000000000007E-2</v>
      </c>
    </row>
    <row r="351" spans="4:17" x14ac:dyDescent="0.2">
      <c r="D351" s="12">
        <v>0</v>
      </c>
      <c r="E351" s="12">
        <v>0</v>
      </c>
      <c r="F351" s="12">
        <v>0</v>
      </c>
      <c r="G351" s="12">
        <v>0</v>
      </c>
      <c r="H351" s="12">
        <v>0</v>
      </c>
      <c r="I351" s="12">
        <v>-7.0000000000000007E-2</v>
      </c>
      <c r="J351" s="12">
        <v>0</v>
      </c>
      <c r="K351" s="22">
        <v>-0.06</v>
      </c>
      <c r="N351" s="12">
        <v>0</v>
      </c>
      <c r="P351" s="12">
        <v>0</v>
      </c>
      <c r="Q351" s="12">
        <v>-7.0000000000000007E-2</v>
      </c>
    </row>
    <row r="352" spans="4:17" x14ac:dyDescent="0.2">
      <c r="D352" s="12">
        <v>0</v>
      </c>
      <c r="E352" s="12">
        <v>0</v>
      </c>
      <c r="F352" s="12">
        <v>0</v>
      </c>
      <c r="G352" s="12">
        <v>0</v>
      </c>
      <c r="H352" s="12">
        <v>0</v>
      </c>
      <c r="I352" s="12">
        <v>-7.0000000000000007E-2</v>
      </c>
      <c r="J352" s="12">
        <v>0</v>
      </c>
      <c r="K352" s="22">
        <v>-0.06</v>
      </c>
      <c r="N352" s="12">
        <v>0</v>
      </c>
      <c r="P352" s="12">
        <v>0</v>
      </c>
      <c r="Q352" s="12">
        <v>-7.0000000000000007E-2</v>
      </c>
    </row>
    <row r="353" spans="4:17" x14ac:dyDescent="0.2">
      <c r="D353" s="12">
        <v>0</v>
      </c>
      <c r="E353" s="12">
        <v>0</v>
      </c>
      <c r="F353" s="12">
        <v>0</v>
      </c>
      <c r="G353" s="12">
        <v>0</v>
      </c>
      <c r="H353" s="12">
        <v>0</v>
      </c>
      <c r="I353" s="12">
        <v>-7.0000000000000007E-2</v>
      </c>
      <c r="J353" s="12">
        <v>0</v>
      </c>
      <c r="K353" s="22">
        <v>-0.06</v>
      </c>
      <c r="N353" s="12">
        <v>0</v>
      </c>
      <c r="P353" s="12">
        <v>0</v>
      </c>
      <c r="Q353" s="12">
        <v>-7.0000000000000007E-2</v>
      </c>
    </row>
    <row r="354" spans="4:17" x14ac:dyDescent="0.2">
      <c r="D354" s="12">
        <v>0</v>
      </c>
      <c r="E354" s="12">
        <v>0</v>
      </c>
      <c r="F354" s="12">
        <v>0</v>
      </c>
      <c r="G354" s="12">
        <v>0</v>
      </c>
      <c r="H354" s="12">
        <v>0</v>
      </c>
      <c r="I354" s="12">
        <v>-7.0000000000000007E-2</v>
      </c>
      <c r="J354" s="12">
        <v>0</v>
      </c>
      <c r="K354" s="22">
        <v>-0.06</v>
      </c>
      <c r="N354" s="12">
        <v>0</v>
      </c>
      <c r="P354" s="12">
        <v>0</v>
      </c>
      <c r="Q354" s="12">
        <v>-7.0000000000000007E-2</v>
      </c>
    </row>
    <row r="355" spans="4:17" x14ac:dyDescent="0.2">
      <c r="D355" s="12">
        <v>0</v>
      </c>
      <c r="E355" s="12">
        <v>0</v>
      </c>
      <c r="F355" s="12">
        <v>0</v>
      </c>
      <c r="G355" s="12">
        <v>0</v>
      </c>
      <c r="H355" s="12">
        <v>0</v>
      </c>
      <c r="I355" s="12">
        <v>-7.0000000000000007E-2</v>
      </c>
      <c r="J355" s="12">
        <v>0</v>
      </c>
      <c r="K355" s="22">
        <v>-0.06</v>
      </c>
      <c r="N355" s="12">
        <v>0</v>
      </c>
      <c r="P355" s="12">
        <v>0</v>
      </c>
      <c r="Q355" s="12">
        <v>-7.0000000000000007E-2</v>
      </c>
    </row>
    <row r="356" spans="4:17" x14ac:dyDescent="0.2">
      <c r="D356" s="12">
        <v>0</v>
      </c>
      <c r="E356" s="12">
        <v>0</v>
      </c>
      <c r="F356" s="12">
        <v>0</v>
      </c>
      <c r="G356" s="12">
        <v>0</v>
      </c>
      <c r="H356" s="12">
        <v>0</v>
      </c>
      <c r="I356" s="12">
        <v>-0.06</v>
      </c>
      <c r="J356" s="12">
        <v>0</v>
      </c>
    </row>
    <row r="357" spans="4:17" x14ac:dyDescent="0.2">
      <c r="D357" s="12">
        <v>0</v>
      </c>
      <c r="E357" s="12">
        <v>0</v>
      </c>
      <c r="F357" s="12">
        <v>0</v>
      </c>
      <c r="G357" s="12">
        <v>0</v>
      </c>
      <c r="H357" s="12">
        <v>0</v>
      </c>
      <c r="I357" s="12">
        <v>-4.4999999999999998E-2</v>
      </c>
      <c r="J357" s="12">
        <v>0</v>
      </c>
    </row>
    <row r="358" spans="4:17" x14ac:dyDescent="0.2">
      <c r="D358" s="12">
        <v>0</v>
      </c>
      <c r="E358" s="12">
        <v>0</v>
      </c>
      <c r="F358" s="12">
        <v>0</v>
      </c>
      <c r="G358" s="12">
        <v>0</v>
      </c>
      <c r="H358" s="12">
        <v>0</v>
      </c>
      <c r="I358" s="12">
        <v>0.01</v>
      </c>
      <c r="J358" s="12">
        <v>0</v>
      </c>
    </row>
    <row r="359" spans="4:17" x14ac:dyDescent="0.2">
      <c r="D359" s="12">
        <v>0</v>
      </c>
      <c r="E359" s="12">
        <v>0</v>
      </c>
      <c r="F359" s="12">
        <v>0</v>
      </c>
      <c r="G359" s="12">
        <v>0</v>
      </c>
      <c r="H359" s="12">
        <v>0</v>
      </c>
      <c r="I359" s="12">
        <v>0.1</v>
      </c>
      <c r="J359" s="12">
        <v>0</v>
      </c>
    </row>
    <row r="360" spans="4:17" x14ac:dyDescent="0.2">
      <c r="D360" s="12">
        <v>0</v>
      </c>
      <c r="E360" s="12">
        <v>0</v>
      </c>
      <c r="F360" s="12">
        <v>0</v>
      </c>
      <c r="G360" s="12">
        <v>0</v>
      </c>
      <c r="H360" s="12">
        <v>0</v>
      </c>
      <c r="I360" s="12">
        <v>0.1</v>
      </c>
      <c r="J360" s="12">
        <v>0</v>
      </c>
    </row>
    <row r="361" spans="4:17" x14ac:dyDescent="0.2">
      <c r="D361" s="12">
        <v>0</v>
      </c>
      <c r="E361" s="12">
        <v>0</v>
      </c>
      <c r="F361" s="12">
        <v>0</v>
      </c>
      <c r="G361" s="12">
        <v>0</v>
      </c>
      <c r="H361" s="12">
        <v>0</v>
      </c>
      <c r="I361" s="12">
        <v>0</v>
      </c>
      <c r="J361" s="12">
        <v>0</v>
      </c>
    </row>
    <row r="362" spans="4:17" x14ac:dyDescent="0.2">
      <c r="D362" s="12">
        <v>0</v>
      </c>
      <c r="E362" s="12">
        <v>0</v>
      </c>
      <c r="F362" s="12">
        <v>0</v>
      </c>
      <c r="G362" s="12">
        <v>0</v>
      </c>
      <c r="H362" s="12">
        <v>0</v>
      </c>
      <c r="I362" s="12">
        <v>0</v>
      </c>
      <c r="J362" s="12">
        <v>0</v>
      </c>
    </row>
    <row r="363" spans="4:17" x14ac:dyDescent="0.2">
      <c r="D363" s="12">
        <v>0</v>
      </c>
      <c r="E363" s="12">
        <v>0</v>
      </c>
      <c r="F363" s="12">
        <v>0</v>
      </c>
      <c r="G363" s="12">
        <v>0</v>
      </c>
      <c r="H363" s="12">
        <v>0</v>
      </c>
      <c r="I363" s="12">
        <v>0</v>
      </c>
      <c r="J363" s="12">
        <v>0</v>
      </c>
    </row>
    <row r="364" spans="4:17" x14ac:dyDescent="0.2">
      <c r="D364" s="12">
        <v>0</v>
      </c>
      <c r="E364" s="12">
        <v>0</v>
      </c>
      <c r="F364" s="12">
        <v>0</v>
      </c>
      <c r="G364" s="12">
        <v>0</v>
      </c>
      <c r="H364" s="12">
        <v>0</v>
      </c>
      <c r="I364" s="12">
        <v>0</v>
      </c>
      <c r="J364" s="12">
        <v>0</v>
      </c>
    </row>
    <row r="365" spans="4:17" x14ac:dyDescent="0.2">
      <c r="D365" s="12">
        <v>0</v>
      </c>
      <c r="E365" s="12">
        <v>0</v>
      </c>
      <c r="F365" s="12">
        <v>0</v>
      </c>
      <c r="G365" s="12">
        <v>0</v>
      </c>
      <c r="H365" s="12">
        <v>0</v>
      </c>
      <c r="I365" s="12">
        <v>0</v>
      </c>
      <c r="J365" s="12">
        <v>0</v>
      </c>
    </row>
    <row r="366" spans="4:17" x14ac:dyDescent="0.2">
      <c r="D366" s="12">
        <v>0</v>
      </c>
      <c r="E366" s="12">
        <v>0</v>
      </c>
      <c r="F366" s="12">
        <v>0</v>
      </c>
      <c r="G366" s="12">
        <v>0</v>
      </c>
      <c r="H366" s="12">
        <v>0</v>
      </c>
      <c r="I366" s="12">
        <v>0</v>
      </c>
      <c r="J366" s="12">
        <v>0</v>
      </c>
    </row>
    <row r="367" spans="4:17" x14ac:dyDescent="0.2">
      <c r="D367" s="12">
        <v>0</v>
      </c>
      <c r="E367" s="12">
        <v>0</v>
      </c>
      <c r="F367" s="12">
        <v>0</v>
      </c>
      <c r="G367" s="12">
        <v>0</v>
      </c>
      <c r="H367" s="12">
        <v>0</v>
      </c>
      <c r="I367" s="12">
        <v>0</v>
      </c>
      <c r="J367" s="12">
        <v>0</v>
      </c>
    </row>
    <row r="368" spans="4:17" x14ac:dyDescent="0.2">
      <c r="D368" s="12">
        <v>0</v>
      </c>
      <c r="E368" s="12">
        <v>0</v>
      </c>
      <c r="F368" s="12">
        <v>0</v>
      </c>
      <c r="G368" s="12">
        <v>0</v>
      </c>
      <c r="H368" s="12">
        <v>0</v>
      </c>
      <c r="I368" s="12">
        <v>0</v>
      </c>
      <c r="J368" s="12">
        <v>0</v>
      </c>
    </row>
    <row r="369" spans="4:10" x14ac:dyDescent="0.2">
      <c r="D369" s="12">
        <v>0</v>
      </c>
      <c r="E369" s="12">
        <v>0</v>
      </c>
      <c r="F369" s="12">
        <v>0</v>
      </c>
      <c r="G369" s="12">
        <v>0</v>
      </c>
      <c r="H369" s="12">
        <v>0</v>
      </c>
      <c r="I369" s="12">
        <v>0</v>
      </c>
      <c r="J369" s="12">
        <v>0</v>
      </c>
    </row>
    <row r="370" spans="4:10" x14ac:dyDescent="0.2">
      <c r="D370" s="12">
        <v>0</v>
      </c>
      <c r="E370" s="12">
        <v>0</v>
      </c>
      <c r="F370" s="12">
        <v>0</v>
      </c>
      <c r="G370" s="12">
        <v>0</v>
      </c>
      <c r="H370" s="12">
        <v>0</v>
      </c>
      <c r="I370" s="12">
        <v>0</v>
      </c>
      <c r="J370" s="12">
        <v>0</v>
      </c>
    </row>
  </sheetData>
  <phoneticPr fontId="0" type="noConversion"/>
  <pageMargins left="0.75" right="0.75" top="1" bottom="1" header="0.5" footer="0.5"/>
  <pageSetup paperSize="5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Button 1">
              <controlPr defaultSize="0" print="0" autoFill="0" autoPict="0" macro="[0]!LoadInCurves">
                <anchor moveWithCells="1" sizeWithCells="1">
                  <from>
                    <xdr:col>0</xdr:col>
                    <xdr:colOff>247650</xdr:colOff>
                    <xdr:row>6</xdr:row>
                    <xdr:rowOff>0</xdr:rowOff>
                  </from>
                  <to>
                    <xdr:col>1</xdr:col>
                    <xdr:colOff>171450</xdr:colOff>
                    <xdr:row>9</xdr:row>
                    <xdr:rowOff>76200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J123"/>
  <sheetViews>
    <sheetView workbookViewId="0">
      <selection activeCell="C9" sqref="C9"/>
    </sheetView>
  </sheetViews>
  <sheetFormatPr defaultColWidth="0" defaultRowHeight="11.25" x14ac:dyDescent="0.2"/>
  <cols>
    <col min="1" max="1" width="30.85546875" style="131" customWidth="1"/>
    <col min="2" max="2" width="9.28515625" style="131" hidden="1" customWidth="1"/>
    <col min="3" max="5" width="9.140625" style="131" customWidth="1"/>
    <col min="6" max="6" width="9.7109375" style="131" customWidth="1"/>
    <col min="7" max="7" width="13" style="131" customWidth="1"/>
    <col min="8" max="9" width="9.7109375" style="131" hidden="1" customWidth="1"/>
    <col min="10" max="10" width="13" style="131" customWidth="1"/>
    <col min="11" max="12" width="9.7109375" style="131" hidden="1" customWidth="1"/>
    <col min="13" max="14" width="9.7109375" style="131" customWidth="1"/>
    <col min="15" max="15" width="12.140625" style="131" customWidth="1"/>
    <col min="16" max="17" width="9.7109375" style="131" hidden="1" customWidth="1"/>
    <col min="18" max="18" width="9.7109375" style="131" customWidth="1"/>
    <col min="19" max="19" width="12.5703125" style="131" customWidth="1"/>
    <col min="20" max="22" width="9.7109375" style="131" hidden="1" customWidth="1"/>
    <col min="23" max="27" width="9.7109375" style="131" customWidth="1"/>
    <col min="28" max="28" width="10.42578125" style="131" customWidth="1"/>
    <col min="29" max="29" width="12" style="131" bestFit="1" customWidth="1"/>
    <col min="30" max="31" width="9.85546875" style="142" bestFit="1" customWidth="1"/>
    <col min="32" max="32" width="14.85546875" style="131" customWidth="1"/>
    <col min="33" max="140" width="9.140625" style="131" customWidth="1"/>
    <col min="141" max="16384" width="0" style="131" hidden="1"/>
  </cols>
  <sheetData>
    <row r="1" spans="1:140" x14ac:dyDescent="0.2">
      <c r="A1" s="139" t="s">
        <v>148</v>
      </c>
      <c r="N1" s="139" t="s">
        <v>149</v>
      </c>
      <c r="O1" s="140"/>
      <c r="P1" s="141" t="s">
        <v>150</v>
      </c>
    </row>
    <row r="2" spans="1:140" ht="24" customHeight="1" x14ac:dyDescent="0.2">
      <c r="A2" s="143">
        <f>PrReportDate</f>
        <v>37165</v>
      </c>
      <c r="B2" s="140"/>
      <c r="P2" s="141" t="s">
        <v>151</v>
      </c>
      <c r="AC2" s="142"/>
      <c r="AD2" s="131"/>
      <c r="AE2" s="131"/>
    </row>
    <row r="3" spans="1:140" ht="12.75" hidden="1" customHeight="1" thickBot="1" x14ac:dyDescent="0.25">
      <c r="C3" s="131">
        <v>24</v>
      </c>
      <c r="D3" s="131">
        <v>25</v>
      </c>
      <c r="E3" s="131">
        <v>25</v>
      </c>
      <c r="AC3" s="142"/>
      <c r="AD3" s="131"/>
      <c r="AE3" s="131"/>
      <c r="AG3" s="131">
        <v>26</v>
      </c>
      <c r="AH3" s="131">
        <v>24</v>
      </c>
      <c r="AI3" s="131">
        <v>26</v>
      </c>
      <c r="AJ3" s="131">
        <v>26</v>
      </c>
      <c r="AK3" s="131">
        <v>26</v>
      </c>
      <c r="AL3" s="131">
        <v>25</v>
      </c>
      <c r="AM3" s="131">
        <v>26</v>
      </c>
      <c r="AN3" s="131">
        <v>27</v>
      </c>
      <c r="AO3" s="131">
        <v>24</v>
      </c>
      <c r="AP3" s="131">
        <v>27</v>
      </c>
      <c r="AQ3" s="131">
        <v>25</v>
      </c>
      <c r="AR3" s="131">
        <v>25</v>
      </c>
      <c r="AS3" s="131">
        <v>26</v>
      </c>
      <c r="AT3" s="131">
        <v>24</v>
      </c>
      <c r="AU3" s="131">
        <v>26</v>
      </c>
      <c r="AV3" s="131">
        <v>26</v>
      </c>
      <c r="AW3" s="131">
        <v>26</v>
      </c>
      <c r="AX3" s="131">
        <v>25</v>
      </c>
      <c r="AY3" s="131">
        <v>26</v>
      </c>
      <c r="AZ3" s="131">
        <v>26</v>
      </c>
      <c r="BA3" s="131">
        <v>25</v>
      </c>
      <c r="BB3" s="131">
        <v>27</v>
      </c>
      <c r="BC3" s="131">
        <v>24</v>
      </c>
      <c r="BD3" s="131">
        <v>26</v>
      </c>
      <c r="BE3" s="131">
        <v>26</v>
      </c>
      <c r="BF3" s="131">
        <v>24</v>
      </c>
      <c r="BG3" s="131">
        <v>27</v>
      </c>
      <c r="BH3" s="131">
        <v>26</v>
      </c>
      <c r="BI3" s="131">
        <v>25</v>
      </c>
      <c r="BJ3" s="131">
        <v>26</v>
      </c>
      <c r="BK3" s="131">
        <v>26</v>
      </c>
      <c r="BL3" s="131">
        <v>26</v>
      </c>
      <c r="BM3" s="131">
        <v>25</v>
      </c>
      <c r="BN3" s="131">
        <v>26</v>
      </c>
      <c r="BO3" s="131">
        <v>25</v>
      </c>
      <c r="BP3" s="131">
        <v>26</v>
      </c>
      <c r="BQ3" s="131">
        <v>25</v>
      </c>
      <c r="BR3" s="131">
        <v>24</v>
      </c>
      <c r="BS3" s="131">
        <v>27</v>
      </c>
      <c r="BT3" s="131">
        <v>26</v>
      </c>
      <c r="BU3" s="131">
        <v>25</v>
      </c>
      <c r="BV3" s="131">
        <v>26</v>
      </c>
      <c r="BW3" s="131">
        <v>25</v>
      </c>
      <c r="BX3" s="131">
        <v>27</v>
      </c>
      <c r="BY3" s="131">
        <v>25</v>
      </c>
      <c r="BZ3" s="131">
        <v>26</v>
      </c>
      <c r="CA3" s="131">
        <v>25</v>
      </c>
      <c r="CB3" s="131">
        <v>26</v>
      </c>
      <c r="CC3" s="131">
        <v>25</v>
      </c>
      <c r="CD3" s="131">
        <v>24</v>
      </c>
      <c r="CE3" s="131">
        <v>27</v>
      </c>
      <c r="CF3" s="131">
        <v>25</v>
      </c>
      <c r="CG3" s="131">
        <v>26</v>
      </c>
      <c r="CH3" s="131">
        <v>26</v>
      </c>
      <c r="CI3" s="131">
        <v>25</v>
      </c>
      <c r="CJ3" s="131">
        <v>27</v>
      </c>
      <c r="CK3" s="131">
        <v>25</v>
      </c>
      <c r="CL3" s="131">
        <v>26</v>
      </c>
      <c r="CM3" s="131">
        <v>25</v>
      </c>
      <c r="CN3" s="131">
        <v>25</v>
      </c>
      <c r="CO3" s="131">
        <v>26</v>
      </c>
      <c r="CP3" s="131">
        <v>24</v>
      </c>
      <c r="CQ3" s="131">
        <v>27</v>
      </c>
      <c r="CR3" s="131">
        <v>25</v>
      </c>
      <c r="CS3" s="131">
        <v>26</v>
      </c>
      <c r="CT3" s="131">
        <v>26</v>
      </c>
      <c r="CU3" s="131">
        <v>25</v>
      </c>
      <c r="CV3" s="131">
        <v>27</v>
      </c>
      <c r="CW3" s="131">
        <v>24</v>
      </c>
      <c r="CX3" s="131">
        <v>27</v>
      </c>
      <c r="CY3" s="131">
        <v>25</v>
      </c>
      <c r="CZ3" s="131">
        <v>25</v>
      </c>
      <c r="DA3" s="131">
        <v>26</v>
      </c>
      <c r="DB3" s="131">
        <v>25</v>
      </c>
      <c r="DC3" s="131">
        <v>26</v>
      </c>
      <c r="DD3" s="131">
        <v>26</v>
      </c>
      <c r="DE3" s="131">
        <v>26</v>
      </c>
      <c r="DF3" s="131">
        <v>25</v>
      </c>
      <c r="DG3" s="131">
        <v>26</v>
      </c>
      <c r="DH3" s="131">
        <v>26</v>
      </c>
      <c r="DI3" s="131">
        <v>25</v>
      </c>
      <c r="DJ3" s="131">
        <v>27</v>
      </c>
      <c r="DK3" s="131">
        <v>24</v>
      </c>
      <c r="DL3" s="131">
        <v>26</v>
      </c>
      <c r="DM3" s="131">
        <v>26</v>
      </c>
      <c r="DN3" s="131">
        <v>24</v>
      </c>
      <c r="DO3" s="131">
        <v>26</v>
      </c>
      <c r="DP3" s="131">
        <v>26</v>
      </c>
      <c r="DQ3" s="131">
        <v>25</v>
      </c>
      <c r="DR3" s="131">
        <v>26</v>
      </c>
      <c r="DS3" s="131">
        <v>26</v>
      </c>
      <c r="DT3" s="131">
        <v>26</v>
      </c>
      <c r="DU3" s="131">
        <v>25</v>
      </c>
      <c r="DV3" s="131">
        <v>27</v>
      </c>
      <c r="DW3" s="131">
        <v>24</v>
      </c>
      <c r="DX3" s="131">
        <v>26</v>
      </c>
      <c r="DY3" s="131">
        <v>25</v>
      </c>
      <c r="DZ3" s="131">
        <v>24</v>
      </c>
      <c r="EA3" s="131">
        <v>27</v>
      </c>
      <c r="EB3" s="131">
        <v>26</v>
      </c>
      <c r="EC3" s="131">
        <v>25</v>
      </c>
      <c r="ED3" s="131">
        <v>26</v>
      </c>
      <c r="EE3" s="131">
        <v>26</v>
      </c>
      <c r="EF3" s="131">
        <v>26</v>
      </c>
      <c r="EG3" s="131">
        <v>25</v>
      </c>
      <c r="EH3" s="131">
        <v>26</v>
      </c>
      <c r="EI3" s="131">
        <v>25</v>
      </c>
      <c r="EJ3" s="131">
        <v>26</v>
      </c>
    </row>
    <row r="4" spans="1:140" hidden="1" x14ac:dyDescent="0.2">
      <c r="A4" s="144"/>
      <c r="B4" s="140"/>
      <c r="F4" s="145">
        <v>36892</v>
      </c>
      <c r="G4" s="145"/>
      <c r="H4" s="145"/>
      <c r="I4" s="145"/>
      <c r="J4" s="145"/>
      <c r="K4" s="145"/>
      <c r="L4" s="145"/>
      <c r="M4" s="145"/>
      <c r="N4" s="145"/>
      <c r="O4" s="145"/>
      <c r="P4" s="145"/>
      <c r="Q4" s="145"/>
      <c r="R4" s="145"/>
      <c r="S4" s="145"/>
      <c r="T4" s="145"/>
      <c r="U4" s="145"/>
      <c r="V4" s="145"/>
      <c r="W4" s="145">
        <v>37257</v>
      </c>
      <c r="X4" s="145">
        <v>37622</v>
      </c>
      <c r="Y4" s="145">
        <v>37987</v>
      </c>
      <c r="Z4" s="145">
        <v>38353</v>
      </c>
      <c r="AA4" s="145">
        <v>38718</v>
      </c>
      <c r="AB4" s="146">
        <v>40179</v>
      </c>
      <c r="AC4" s="146">
        <v>40544</v>
      </c>
      <c r="AD4" s="131"/>
      <c r="AE4" s="131"/>
    </row>
    <row r="5" spans="1:140" ht="10.5" hidden="1" customHeight="1" x14ac:dyDescent="0.2">
      <c r="A5" s="144"/>
      <c r="B5" s="140"/>
      <c r="C5" s="131">
        <v>20</v>
      </c>
      <c r="D5" s="131">
        <v>21</v>
      </c>
      <c r="E5" s="131">
        <v>20</v>
      </c>
      <c r="AG5" s="131">
        <v>22</v>
      </c>
      <c r="AH5" s="131">
        <v>20</v>
      </c>
      <c r="AI5" s="131">
        <v>21</v>
      </c>
      <c r="AJ5" s="131">
        <v>22</v>
      </c>
      <c r="AK5" s="131">
        <v>22</v>
      </c>
      <c r="AL5" s="131">
        <v>20</v>
      </c>
      <c r="AM5" s="131">
        <v>22</v>
      </c>
      <c r="AN5" s="131">
        <v>22</v>
      </c>
      <c r="AO5" s="131">
        <v>20</v>
      </c>
      <c r="AP5" s="131">
        <v>23</v>
      </c>
      <c r="AQ5" s="131">
        <v>20</v>
      </c>
      <c r="AR5" s="131">
        <v>21</v>
      </c>
      <c r="AS5" s="131">
        <v>22</v>
      </c>
      <c r="AT5" s="131">
        <v>20</v>
      </c>
      <c r="AU5" s="131">
        <v>21</v>
      </c>
      <c r="AV5" s="131">
        <v>22</v>
      </c>
      <c r="AW5" s="131">
        <v>21</v>
      </c>
      <c r="AX5" s="131">
        <v>21</v>
      </c>
      <c r="AY5" s="131">
        <v>22</v>
      </c>
      <c r="AZ5" s="131">
        <v>21</v>
      </c>
      <c r="BA5" s="131">
        <v>21</v>
      </c>
      <c r="BB5" s="131">
        <v>23</v>
      </c>
      <c r="BC5" s="131">
        <v>19</v>
      </c>
      <c r="BD5" s="131">
        <v>22</v>
      </c>
      <c r="BE5" s="131">
        <v>21</v>
      </c>
      <c r="BF5" s="131">
        <v>20</v>
      </c>
      <c r="BG5" s="131">
        <v>23</v>
      </c>
      <c r="BH5" s="131">
        <v>22</v>
      </c>
      <c r="BI5" s="131">
        <v>20</v>
      </c>
      <c r="BJ5" s="131">
        <v>22</v>
      </c>
      <c r="BK5" s="131">
        <v>21</v>
      </c>
      <c r="BL5" s="131">
        <v>22</v>
      </c>
      <c r="BM5" s="131">
        <v>21</v>
      </c>
      <c r="BN5" s="131">
        <v>21</v>
      </c>
      <c r="BO5" s="131">
        <v>21</v>
      </c>
      <c r="BP5" s="131">
        <v>23</v>
      </c>
      <c r="BQ5" s="131">
        <v>21</v>
      </c>
      <c r="BR5" s="131">
        <v>20</v>
      </c>
      <c r="BS5" s="131">
        <v>23</v>
      </c>
      <c r="BT5" s="131">
        <v>21</v>
      </c>
      <c r="BU5" s="131">
        <v>21</v>
      </c>
      <c r="BV5" s="131">
        <v>22</v>
      </c>
      <c r="BW5" s="131">
        <v>20</v>
      </c>
      <c r="BX5" s="131">
        <v>23</v>
      </c>
      <c r="BY5" s="131">
        <v>21</v>
      </c>
      <c r="BZ5" s="131">
        <v>21</v>
      </c>
      <c r="CA5" s="131">
        <v>21</v>
      </c>
      <c r="CB5" s="131">
        <v>21</v>
      </c>
      <c r="CC5" s="131">
        <v>21</v>
      </c>
      <c r="CD5" s="131">
        <v>20</v>
      </c>
      <c r="CE5" s="131">
        <v>23</v>
      </c>
      <c r="CF5" s="131">
        <v>20</v>
      </c>
      <c r="CG5" s="131">
        <v>22</v>
      </c>
      <c r="CH5" s="131">
        <v>22</v>
      </c>
      <c r="CI5" s="131">
        <v>20</v>
      </c>
      <c r="CJ5" s="131">
        <v>23</v>
      </c>
      <c r="CK5" s="131">
        <v>20</v>
      </c>
      <c r="CL5" s="131">
        <v>22</v>
      </c>
      <c r="CM5" s="131">
        <v>21</v>
      </c>
      <c r="CN5" s="131">
        <v>20</v>
      </c>
      <c r="CO5" s="131">
        <v>22</v>
      </c>
      <c r="CP5" s="131">
        <v>20</v>
      </c>
      <c r="CQ5" s="131">
        <v>22</v>
      </c>
      <c r="CR5" s="131">
        <v>21</v>
      </c>
      <c r="CS5" s="131">
        <v>22</v>
      </c>
      <c r="CT5" s="131">
        <v>21</v>
      </c>
      <c r="CU5" s="131">
        <v>21</v>
      </c>
      <c r="CV5" s="131">
        <v>23</v>
      </c>
      <c r="CW5" s="131">
        <v>19</v>
      </c>
      <c r="CX5" s="131">
        <v>23</v>
      </c>
      <c r="CY5" s="131">
        <v>21</v>
      </c>
      <c r="CZ5" s="131">
        <v>20</v>
      </c>
      <c r="DA5" s="131">
        <v>22</v>
      </c>
      <c r="DB5" s="131">
        <v>21</v>
      </c>
      <c r="DC5" s="131">
        <v>21</v>
      </c>
      <c r="DD5" s="131">
        <v>22</v>
      </c>
      <c r="DE5" s="131">
        <v>21</v>
      </c>
      <c r="DF5" s="131">
        <v>21</v>
      </c>
      <c r="DG5" s="131">
        <v>22</v>
      </c>
      <c r="DH5" s="131">
        <v>21</v>
      </c>
      <c r="DI5" s="131">
        <v>21</v>
      </c>
      <c r="DJ5" s="131">
        <v>23</v>
      </c>
      <c r="DK5" s="131">
        <v>19</v>
      </c>
      <c r="DL5" s="131">
        <v>22</v>
      </c>
      <c r="DM5" s="131">
        <v>21</v>
      </c>
      <c r="DN5" s="131">
        <v>20</v>
      </c>
      <c r="DO5" s="131">
        <v>22</v>
      </c>
      <c r="DP5" s="131">
        <v>22</v>
      </c>
      <c r="DQ5" s="131">
        <v>20</v>
      </c>
      <c r="DR5" s="131">
        <v>22</v>
      </c>
      <c r="DS5" s="131">
        <v>22</v>
      </c>
      <c r="DT5" s="131">
        <v>21</v>
      </c>
      <c r="DU5" s="131">
        <v>21</v>
      </c>
      <c r="DV5" s="131">
        <v>22</v>
      </c>
      <c r="DW5" s="131">
        <v>20</v>
      </c>
      <c r="DX5" s="131">
        <v>22</v>
      </c>
      <c r="DY5" s="131">
        <v>20</v>
      </c>
      <c r="DZ5" s="131">
        <v>20</v>
      </c>
      <c r="EA5" s="131">
        <v>23</v>
      </c>
      <c r="EB5" s="131">
        <v>22</v>
      </c>
      <c r="EC5" s="131">
        <v>20</v>
      </c>
      <c r="ED5" s="131">
        <v>22</v>
      </c>
      <c r="EE5" s="131">
        <v>21</v>
      </c>
      <c r="EF5" s="131">
        <v>22</v>
      </c>
      <c r="EG5" s="131">
        <v>21</v>
      </c>
      <c r="EH5" s="131">
        <v>21</v>
      </c>
      <c r="EI5" s="131">
        <v>21</v>
      </c>
      <c r="EJ5" s="131">
        <v>23</v>
      </c>
    </row>
    <row r="6" spans="1:140" ht="12.75" x14ac:dyDescent="0.2">
      <c r="A6" s="147">
        <f>+crvDate</f>
        <v>37154</v>
      </c>
    </row>
    <row r="7" spans="1:140" ht="10.5" hidden="1" customHeight="1" x14ac:dyDescent="0.2">
      <c r="A7" s="147"/>
      <c r="C7" s="148">
        <v>37165</v>
      </c>
      <c r="D7" s="148">
        <v>37196</v>
      </c>
      <c r="E7" s="148">
        <v>37226</v>
      </c>
      <c r="F7" s="149"/>
      <c r="G7" s="149"/>
      <c r="H7" s="149"/>
      <c r="I7" s="149"/>
      <c r="J7" s="149"/>
      <c r="K7" s="149"/>
      <c r="L7" s="149"/>
      <c r="M7" s="149"/>
      <c r="N7" s="149"/>
      <c r="O7" s="149"/>
      <c r="P7" s="149"/>
      <c r="Q7" s="149"/>
      <c r="R7" s="149"/>
      <c r="S7" s="149"/>
      <c r="T7" s="149"/>
      <c r="U7" s="149"/>
      <c r="V7" s="149"/>
      <c r="W7" s="148"/>
      <c r="X7" s="148"/>
      <c r="Y7" s="148"/>
      <c r="Z7" s="148"/>
      <c r="AA7" s="148"/>
      <c r="AB7" s="150"/>
      <c r="AG7" s="146">
        <v>37257</v>
      </c>
      <c r="AH7" s="146">
        <v>37288</v>
      </c>
      <c r="AI7" s="146">
        <v>37316</v>
      </c>
      <c r="AJ7" s="146">
        <v>37347</v>
      </c>
      <c r="AK7" s="146">
        <v>37377</v>
      </c>
      <c r="AL7" s="146">
        <v>37408</v>
      </c>
      <c r="AM7" s="146">
        <v>37438</v>
      </c>
      <c r="AN7" s="146">
        <v>37469</v>
      </c>
      <c r="AO7" s="146">
        <v>37500</v>
      </c>
      <c r="AP7" s="146">
        <v>37530</v>
      </c>
      <c r="AQ7" s="146">
        <v>37561</v>
      </c>
      <c r="AR7" s="146">
        <v>37591</v>
      </c>
      <c r="AS7" s="146">
        <v>37622</v>
      </c>
      <c r="AT7" s="146">
        <v>37653</v>
      </c>
      <c r="AU7" s="146">
        <v>37681</v>
      </c>
      <c r="AV7" s="146">
        <v>37712</v>
      </c>
      <c r="AW7" s="146">
        <v>37742</v>
      </c>
      <c r="AX7" s="146">
        <v>37773</v>
      </c>
      <c r="AY7" s="146">
        <v>37803</v>
      </c>
      <c r="AZ7" s="146">
        <v>37834</v>
      </c>
      <c r="BA7" s="146">
        <v>37865</v>
      </c>
      <c r="BB7" s="146">
        <v>37895</v>
      </c>
      <c r="BC7" s="146">
        <v>37926</v>
      </c>
      <c r="BD7" s="146">
        <v>37956</v>
      </c>
      <c r="BE7" s="146">
        <v>37987</v>
      </c>
      <c r="BF7" s="146">
        <v>38018</v>
      </c>
      <c r="BG7" s="146">
        <v>38047</v>
      </c>
      <c r="BH7" s="146">
        <v>38078</v>
      </c>
      <c r="BI7" s="146">
        <v>38108</v>
      </c>
      <c r="BJ7" s="146">
        <v>38139</v>
      </c>
      <c r="BK7" s="146">
        <v>38169</v>
      </c>
      <c r="BL7" s="146">
        <v>38200</v>
      </c>
      <c r="BM7" s="146">
        <v>38231</v>
      </c>
      <c r="BN7" s="146">
        <v>38261</v>
      </c>
      <c r="BO7" s="146">
        <v>38292</v>
      </c>
      <c r="BP7" s="146">
        <v>38322</v>
      </c>
      <c r="BQ7" s="146">
        <v>38353</v>
      </c>
      <c r="BR7" s="146">
        <v>38384</v>
      </c>
      <c r="BS7" s="146">
        <v>38412</v>
      </c>
      <c r="BT7" s="146">
        <v>38443</v>
      </c>
      <c r="BU7" s="146">
        <v>38473</v>
      </c>
      <c r="BV7" s="146">
        <v>38504</v>
      </c>
      <c r="BW7" s="146">
        <v>38534</v>
      </c>
      <c r="BX7" s="146">
        <v>38565</v>
      </c>
      <c r="BY7" s="146">
        <v>38596</v>
      </c>
      <c r="BZ7" s="146">
        <v>38626</v>
      </c>
      <c r="CA7" s="146">
        <v>38657</v>
      </c>
      <c r="CB7" s="146">
        <v>38687</v>
      </c>
      <c r="CC7" s="146">
        <v>38718</v>
      </c>
      <c r="CD7" s="146">
        <v>38749</v>
      </c>
      <c r="CE7" s="146">
        <v>38777</v>
      </c>
      <c r="CF7" s="146">
        <v>38808</v>
      </c>
      <c r="CG7" s="146">
        <v>38838</v>
      </c>
      <c r="CH7" s="146">
        <v>38869</v>
      </c>
      <c r="CI7" s="146">
        <v>38899</v>
      </c>
      <c r="CJ7" s="146">
        <v>38930</v>
      </c>
      <c r="CK7" s="146">
        <v>38961</v>
      </c>
      <c r="CL7" s="146">
        <v>38991</v>
      </c>
      <c r="CM7" s="146">
        <v>39022</v>
      </c>
      <c r="CN7" s="146">
        <v>39052</v>
      </c>
      <c r="CO7" s="146">
        <v>39083</v>
      </c>
      <c r="CP7" s="146">
        <v>39114</v>
      </c>
      <c r="CQ7" s="146">
        <v>39142</v>
      </c>
      <c r="CR7" s="146">
        <v>39173</v>
      </c>
      <c r="CS7" s="146">
        <v>39203</v>
      </c>
      <c r="CT7" s="146">
        <v>39234</v>
      </c>
      <c r="CU7" s="146">
        <v>39264</v>
      </c>
      <c r="CV7" s="146">
        <v>39295</v>
      </c>
      <c r="CW7" s="146">
        <v>39326</v>
      </c>
      <c r="CX7" s="146">
        <v>39356</v>
      </c>
      <c r="CY7" s="146">
        <v>39387</v>
      </c>
      <c r="CZ7" s="146">
        <v>39417</v>
      </c>
      <c r="DA7" s="146">
        <v>39448</v>
      </c>
      <c r="DB7" s="146">
        <v>39479</v>
      </c>
      <c r="DC7" s="146">
        <v>39508</v>
      </c>
      <c r="DD7" s="146">
        <v>39539</v>
      </c>
      <c r="DE7" s="146">
        <v>39569</v>
      </c>
      <c r="DF7" s="146">
        <v>39600</v>
      </c>
      <c r="DG7" s="146">
        <v>39630</v>
      </c>
      <c r="DH7" s="146">
        <v>39661</v>
      </c>
      <c r="DI7" s="146">
        <v>39692</v>
      </c>
      <c r="DJ7" s="146">
        <v>39722</v>
      </c>
      <c r="DK7" s="146">
        <v>39753</v>
      </c>
      <c r="DL7" s="146">
        <v>39783</v>
      </c>
      <c r="DM7" s="146">
        <v>39814</v>
      </c>
      <c r="DN7" s="146">
        <v>39845</v>
      </c>
      <c r="DO7" s="146">
        <v>39873</v>
      </c>
      <c r="DP7" s="146">
        <v>39904</v>
      </c>
      <c r="DQ7" s="146">
        <v>39934</v>
      </c>
      <c r="DR7" s="146">
        <v>39965</v>
      </c>
      <c r="DS7" s="146">
        <v>39995</v>
      </c>
      <c r="DT7" s="146">
        <v>40026</v>
      </c>
      <c r="DU7" s="146">
        <v>40057</v>
      </c>
      <c r="DV7" s="146">
        <v>40087</v>
      </c>
      <c r="DW7" s="146">
        <v>40118</v>
      </c>
      <c r="DX7" s="146">
        <v>40148</v>
      </c>
      <c r="DY7" s="146">
        <v>40179</v>
      </c>
      <c r="DZ7" s="146">
        <v>40210</v>
      </c>
      <c r="EA7" s="146">
        <v>40238</v>
      </c>
      <c r="EB7" s="146">
        <v>40269</v>
      </c>
      <c r="EC7" s="146">
        <v>40299</v>
      </c>
      <c r="ED7" s="146">
        <v>40330</v>
      </c>
      <c r="EE7" s="146">
        <v>40360</v>
      </c>
      <c r="EF7" s="146">
        <v>40391</v>
      </c>
      <c r="EG7" s="146">
        <v>40422</v>
      </c>
      <c r="EH7" s="146">
        <v>40452</v>
      </c>
      <c r="EI7" s="146">
        <v>40483</v>
      </c>
      <c r="EJ7" s="146">
        <v>40513</v>
      </c>
    </row>
    <row r="8" spans="1:140" s="158" customFormat="1" ht="15.75" customHeight="1" thickBot="1" x14ac:dyDescent="0.25">
      <c r="A8" s="151" t="s">
        <v>152</v>
      </c>
      <c r="B8" s="152"/>
      <c r="C8" s="153" t="s">
        <v>153</v>
      </c>
      <c r="D8" s="153" t="s">
        <v>154</v>
      </c>
      <c r="E8" s="153" t="s">
        <v>155</v>
      </c>
      <c r="F8" s="154" t="s">
        <v>156</v>
      </c>
      <c r="G8" s="155" t="s">
        <v>157</v>
      </c>
      <c r="H8" s="156">
        <f>AG7</f>
        <v>37257</v>
      </c>
      <c r="I8" s="156">
        <f>AH7</f>
        <v>37288</v>
      </c>
      <c r="J8" s="155" t="s">
        <v>158</v>
      </c>
      <c r="K8" s="156">
        <f>AI7</f>
        <v>37316</v>
      </c>
      <c r="L8" s="156">
        <f>AJ7</f>
        <v>37347</v>
      </c>
      <c r="M8" s="156">
        <f>AK7</f>
        <v>37377</v>
      </c>
      <c r="N8" s="156">
        <f>AL7</f>
        <v>37408</v>
      </c>
      <c r="O8" s="157" t="s">
        <v>159</v>
      </c>
      <c r="P8" s="156">
        <f>AM7</f>
        <v>37438</v>
      </c>
      <c r="Q8" s="156">
        <f>AN7</f>
        <v>37469</v>
      </c>
      <c r="R8" s="156">
        <f>AO7</f>
        <v>37500</v>
      </c>
      <c r="S8" s="157" t="s">
        <v>160</v>
      </c>
      <c r="T8" s="156">
        <f>AP7</f>
        <v>37530</v>
      </c>
      <c r="U8" s="156">
        <f>AQ7</f>
        <v>37561</v>
      </c>
      <c r="V8" s="156">
        <f>AR7</f>
        <v>37591</v>
      </c>
      <c r="W8" s="153" t="s">
        <v>161</v>
      </c>
      <c r="X8" s="153" t="s">
        <v>162</v>
      </c>
      <c r="Y8" s="154" t="s">
        <v>163</v>
      </c>
      <c r="Z8" s="154" t="s">
        <v>164</v>
      </c>
      <c r="AA8" s="154" t="s">
        <v>165</v>
      </c>
      <c r="AB8" s="153" t="s">
        <v>166</v>
      </c>
      <c r="AC8" s="155" t="s">
        <v>167</v>
      </c>
      <c r="AD8" s="155"/>
      <c r="AE8" s="155"/>
      <c r="AG8" s="159"/>
    </row>
    <row r="9" spans="1:140" ht="13.7" customHeight="1" x14ac:dyDescent="0.2">
      <c r="A9" s="160" t="s">
        <v>137</v>
      </c>
      <c r="B9" s="142" t="s">
        <v>168</v>
      </c>
      <c r="C9" s="134">
        <f>'[6]Power Desk Daily Price'!$AC9</f>
        <v>23.110416666666669</v>
      </c>
      <c r="D9" s="134">
        <f ca="1">IF(ISERROR((AVERAGE(OFFSET('[6]Curve Summary'!$D$6,25,0,3,1))*3+ 22* '[6]Curve Summary Backup'!$D$38)/25), '[6]Curve Summary Backup'!$D$38,(AVERAGE(OFFSET('[6]Curve Summary'!$D$6,25,0,3,1))*3+ 22* '[6]Curve Summary Backup'!$D$38)/25)</f>
        <v>27.75</v>
      </c>
      <c r="E9" s="134">
        <f>VLOOKUP(E$7,'[6]Curve Summary'!$A$7:$AG$54,4)</f>
        <v>34.85</v>
      </c>
      <c r="F9" s="161">
        <f t="shared" ref="F9:F15" ca="1" si="0">(C9*C$5+D9*D$5+E9*E$5)/(SUM(C$5:E$5))</f>
        <v>28.556693989071039</v>
      </c>
      <c r="G9" s="134">
        <f t="shared" ref="G9:G15" si="1">AVERAGE(H9:I9)</f>
        <v>32.875</v>
      </c>
      <c r="H9" s="134">
        <f t="shared" ref="H9:I15" si="2">AG9</f>
        <v>33.75</v>
      </c>
      <c r="I9" s="134">
        <f t="shared" si="2"/>
        <v>32</v>
      </c>
      <c r="J9" s="134">
        <f t="shared" ref="J9:J15" si="3">AVERAGE(K9:L9)</f>
        <v>28</v>
      </c>
      <c r="K9" s="134">
        <f t="shared" ref="K9:N15" si="4">AI9</f>
        <v>28</v>
      </c>
      <c r="L9" s="134">
        <f t="shared" si="4"/>
        <v>28</v>
      </c>
      <c r="M9" s="134">
        <f t="shared" si="4"/>
        <v>26.75</v>
      </c>
      <c r="N9" s="134">
        <f t="shared" si="4"/>
        <v>28</v>
      </c>
      <c r="O9" s="134">
        <f t="shared" ref="O9:O15" si="5">AVERAGE(P9:Q9)</f>
        <v>45.25</v>
      </c>
      <c r="P9" s="132">
        <f t="shared" ref="P9:R15" si="6">AM9</f>
        <v>41</v>
      </c>
      <c r="Q9" s="134">
        <f t="shared" si="6"/>
        <v>49.5</v>
      </c>
      <c r="R9" s="134">
        <f t="shared" si="6"/>
        <v>41</v>
      </c>
      <c r="S9" s="134">
        <f t="shared" ref="S9:S15" si="7">AVERAGE(T9:V9)</f>
        <v>34.5</v>
      </c>
      <c r="T9" s="134">
        <f t="shared" ref="T9:V15" si="8">AP9</f>
        <v>35.5</v>
      </c>
      <c r="U9" s="134">
        <f t="shared" si="8"/>
        <v>33</v>
      </c>
      <c r="V9" s="134">
        <f t="shared" si="8"/>
        <v>35</v>
      </c>
      <c r="W9" s="161">
        <f>SUM(AG28:AR28)/SUM($AG$5:$AR$5)</f>
        <v>34.343137254901961</v>
      </c>
      <c r="X9" s="134">
        <f>SUM(AS28:BD28)/SUM($AS$5:$BD$5)</f>
        <v>36.290196078431372</v>
      </c>
      <c r="Y9" s="134">
        <f>SUM(BE28:BR28)/SUM($BE$5:$BR$5)</f>
        <v>35.842953020134225</v>
      </c>
      <c r="Z9" s="134">
        <f>SUM(BQ28:CB28)/SUM($BQ$5:$CB$5)</f>
        <v>36.01956862745098</v>
      </c>
      <c r="AA9" s="134">
        <f t="shared" ref="AA9:AA15" si="9">SUM(CC28:DX28)/SUM($CC$5:$DX$5)</f>
        <v>36.822705882352935</v>
      </c>
      <c r="AB9" s="135">
        <f t="shared" ref="AB9:AB15" si="10">SUM(DY28:EJ28)/SUM($DY$5:$EJ$5)</f>
        <v>38.009296874999997</v>
      </c>
      <c r="AC9" s="162">
        <f t="shared" ref="AC9:AC15" ca="1" si="11">(C9*C$5+D9*D$5+E9*E$5+SUM(AG28:EJ28))/(SUM(C$5:E$5)+SUM($AG$5:$EJ$5))</f>
        <v>36.209910272714424</v>
      </c>
      <c r="AD9" s="163"/>
      <c r="AE9" s="163"/>
      <c r="AF9" s="164"/>
      <c r="AG9" s="132">
        <f>VLOOKUP(AG$7,'[6]Curve Summary'!$A$7:$AG$161,4)</f>
        <v>33.75</v>
      </c>
      <c r="AH9" s="132">
        <f>VLOOKUP(AH$7,'[6]Curve Summary'!$A$7:$AG$161,4)</f>
        <v>32</v>
      </c>
      <c r="AI9" s="132">
        <f>VLOOKUP(AI$7,'[6]Curve Summary'!$A$7:$AG$161,4)</f>
        <v>28</v>
      </c>
      <c r="AJ9" s="132">
        <f>VLOOKUP(AJ$7,'[6]Curve Summary'!$A$7:$AG$161,4)</f>
        <v>28</v>
      </c>
      <c r="AK9" s="132">
        <f>VLOOKUP(AK$7,'[6]Curve Summary'!$A$7:$AG$161,4)</f>
        <v>26.75</v>
      </c>
      <c r="AL9" s="132">
        <f>VLOOKUP(AL$7,'[6]Curve Summary'!$A$7:$AG$161,4)</f>
        <v>28</v>
      </c>
      <c r="AM9" s="132">
        <f>VLOOKUP(AM$7,'[6]Curve Summary'!$A$7:$AG$161,4)</f>
        <v>41</v>
      </c>
      <c r="AN9" s="132">
        <f>VLOOKUP(AN$7,'[6]Curve Summary'!$A$7:$AG$161,4)</f>
        <v>49.5</v>
      </c>
      <c r="AO9" s="132">
        <f>VLOOKUP(AO$7,'[6]Curve Summary'!$A$7:$AG$161,4)</f>
        <v>41</v>
      </c>
      <c r="AP9" s="132">
        <f>VLOOKUP(AP$7,'[6]Curve Summary'!$A$7:$AG$161,4)</f>
        <v>35.5</v>
      </c>
      <c r="AQ9" s="132">
        <f>VLOOKUP(AQ$7,'[6]Curve Summary'!$A$7:$AG$161,4)</f>
        <v>33</v>
      </c>
      <c r="AR9" s="132">
        <f>VLOOKUP(AR$7,'[6]Curve Summary'!$A$7:$AG$161,4)</f>
        <v>35</v>
      </c>
      <c r="AS9" s="132">
        <f>VLOOKUP(AS$7,'[6]Curve Summary'!$A$7:$AG$161,4)</f>
        <v>38</v>
      </c>
      <c r="AT9" s="132">
        <f>VLOOKUP(AT$7,'[6]Curve Summary'!$A$7:$AG$161,4)</f>
        <v>35.5</v>
      </c>
      <c r="AU9" s="132">
        <f>VLOOKUP(AU$7,'[6]Curve Summary'!$A$7:$AG$161,4)</f>
        <v>31</v>
      </c>
      <c r="AV9" s="132">
        <f>VLOOKUP(AV$7,'[6]Curve Summary'!$A$7:$AG$161,4)</f>
        <v>29.5</v>
      </c>
      <c r="AW9" s="132">
        <f>VLOOKUP(AW$7,'[6]Curve Summary'!$A$7:$AG$161,4)</f>
        <v>25</v>
      </c>
      <c r="AX9" s="132">
        <f>VLOOKUP(AX$7,'[6]Curve Summary'!$A$7:$AG$161,4)</f>
        <v>26</v>
      </c>
      <c r="AY9" s="132">
        <f>VLOOKUP(AY$7,'[6]Curve Summary'!$A$7:$AG$161,4)</f>
        <v>46</v>
      </c>
      <c r="AZ9" s="132">
        <f>VLOOKUP(AZ$7,'[6]Curve Summary'!$A$7:$AG$161,4)</f>
        <v>54</v>
      </c>
      <c r="BA9" s="132">
        <f>VLOOKUP(BA$7,'[6]Curve Summary'!$A$7:$AG$161,4)</f>
        <v>43</v>
      </c>
      <c r="BB9" s="132">
        <f>VLOOKUP(BB$7,'[6]Curve Summary'!$A$7:$AG$161,4)</f>
        <v>36</v>
      </c>
      <c r="BC9" s="132">
        <f>VLOOKUP(BC$7,'[6]Curve Summary'!$A$7:$AG$161,4)</f>
        <v>34</v>
      </c>
      <c r="BD9" s="132">
        <f>VLOOKUP(BD$7,'[6]Curve Summary'!$A$7:$AG$161,4)</f>
        <v>37</v>
      </c>
      <c r="BE9" s="132">
        <f>VLOOKUP(BE$7,'[6]Curve Summary'!$A$7:$AG$161,4)</f>
        <v>37.159999999999997</v>
      </c>
      <c r="BF9" s="132">
        <f>VLOOKUP(BF$7,'[6]Curve Summary'!$A$7:$AG$161,4)</f>
        <v>35.08</v>
      </c>
      <c r="BG9" s="132">
        <f>VLOOKUP(BG$7,'[6]Curve Summary'!$A$7:$AG$161,4)</f>
        <v>31.32</v>
      </c>
      <c r="BH9" s="132">
        <f>VLOOKUP(BH$7,'[6]Curve Summary'!$A$7:$AG$161,4)</f>
        <v>30.07</v>
      </c>
      <c r="BI9" s="132">
        <f>VLOOKUP(BI$7,'[6]Curve Summary'!$A$7:$AG$161,4)</f>
        <v>26.31</v>
      </c>
      <c r="BJ9" s="132">
        <f>VLOOKUP(BJ$7,'[6]Curve Summary'!$A$7:$AG$161,4)</f>
        <v>27.15</v>
      </c>
      <c r="BK9" s="132">
        <f>VLOOKUP(BK$7,'[6]Curve Summary'!$A$7:$AG$161,4)</f>
        <v>43.93</v>
      </c>
      <c r="BL9" s="132">
        <f>VLOOKUP(BL$7,'[6]Curve Summary'!$A$7:$AG$161,4)</f>
        <v>50.65</v>
      </c>
      <c r="BM9" s="132">
        <f>VLOOKUP(BM$7,'[6]Curve Summary'!$A$7:$AG$161,4)</f>
        <v>41.44</v>
      </c>
      <c r="BN9" s="132">
        <f>VLOOKUP(BN$7,'[6]Curve Summary'!$A$7:$AG$161,4)</f>
        <v>35.57</v>
      </c>
      <c r="BO9" s="132">
        <f>VLOOKUP(BO$7,'[6]Curve Summary'!$A$7:$AG$161,4)</f>
        <v>33.9</v>
      </c>
      <c r="BP9" s="132">
        <f>VLOOKUP(BP$7,'[6]Curve Summary'!$A$7:$AG$161,4)</f>
        <v>36.43</v>
      </c>
      <c r="BQ9" s="132">
        <f>VLOOKUP(BQ$7,'[6]Curve Summary'!$A$7:$AG$161,4)</f>
        <v>37.21</v>
      </c>
      <c r="BR9" s="132">
        <f>VLOOKUP(BR$7,'[6]Curve Summary'!$A$7:$AG$161,4)</f>
        <v>35.43</v>
      </c>
      <c r="BS9" s="132">
        <f>VLOOKUP(BS$7,'[6]Curve Summary'!$A$7:$AG$161,4)</f>
        <v>32.21</v>
      </c>
      <c r="BT9" s="132">
        <f>VLOOKUP(BT$7,'[6]Curve Summary'!$A$7:$AG$161,4)</f>
        <v>31.14</v>
      </c>
      <c r="BU9" s="132">
        <f>VLOOKUP(BU$7,'[6]Curve Summary'!$A$7:$AG$161,4)</f>
        <v>27.92</v>
      </c>
      <c r="BV9" s="132">
        <f>VLOOKUP(BV$7,'[6]Curve Summary'!$A$7:$AG$161,4)</f>
        <v>28.64</v>
      </c>
      <c r="BW9" s="132">
        <f>VLOOKUP(BW$7,'[6]Curve Summary'!$A$7:$AG$161,4)</f>
        <v>43</v>
      </c>
      <c r="BX9" s="132">
        <f>VLOOKUP(BX$7,'[6]Curve Summary'!$A$7:$AG$161,4)</f>
        <v>48.76</v>
      </c>
      <c r="BY9" s="132">
        <f>VLOOKUP(BY$7,'[6]Curve Summary'!$A$7:$AG$161,4)</f>
        <v>40.869999999999997</v>
      </c>
      <c r="BZ9" s="132">
        <f>VLOOKUP(BZ$7,'[6]Curve Summary'!$A$7:$AG$161,4)</f>
        <v>35.85</v>
      </c>
      <c r="CA9" s="132">
        <f>VLOOKUP(CA$7,'[6]Curve Summary'!$A$7:$AG$161,4)</f>
        <v>34.42</v>
      </c>
      <c r="CB9" s="132">
        <f>VLOOKUP(CB$7,'[6]Curve Summary'!$A$7:$AG$161,4)</f>
        <v>36.590000000000003</v>
      </c>
      <c r="CC9" s="132">
        <f>VLOOKUP(CC$7,'[6]Curve Summary'!$A$7:$AG$161,4)</f>
        <v>37.340000000000003</v>
      </c>
      <c r="CD9" s="132">
        <f>VLOOKUP(CD$7,'[6]Curve Summary'!$A$7:$AG$161,4)</f>
        <v>35.729999999999997</v>
      </c>
      <c r="CE9" s="132">
        <f>VLOOKUP(CE$7,'[6]Curve Summary'!$A$7:$AG$161,4)</f>
        <v>32.81</v>
      </c>
      <c r="CF9" s="132">
        <f>VLOOKUP(CF$7,'[6]Curve Summary'!$A$7:$AG$161,4)</f>
        <v>31.84</v>
      </c>
      <c r="CG9" s="132">
        <f>VLOOKUP(CG$7,'[6]Curve Summary'!$A$7:$AG$161,4)</f>
        <v>28.93</v>
      </c>
      <c r="CH9" s="132">
        <f>VLOOKUP(CH$7,'[6]Curve Summary'!$A$7:$AG$161,4)</f>
        <v>29.58</v>
      </c>
      <c r="CI9" s="132">
        <f>VLOOKUP(CI$7,'[6]Curve Summary'!$A$7:$AG$161,4)</f>
        <v>42.6</v>
      </c>
      <c r="CJ9" s="132">
        <f>VLOOKUP(CJ$7,'[6]Curve Summary'!$A$7:$AG$161,4)</f>
        <v>47.81</v>
      </c>
      <c r="CK9" s="132">
        <f>VLOOKUP(CK$7,'[6]Curve Summary'!$A$7:$AG$161,4)</f>
        <v>40.659999999999997</v>
      </c>
      <c r="CL9" s="132">
        <f>VLOOKUP(CL$7,'[6]Curve Summary'!$A$7:$AG$161,4)</f>
        <v>36.119999999999997</v>
      </c>
      <c r="CM9" s="132">
        <f>VLOOKUP(CM$7,'[6]Curve Summary'!$A$7:$AG$161,4)</f>
        <v>34.82</v>
      </c>
      <c r="CN9" s="132">
        <f>VLOOKUP(CN$7,'[6]Curve Summary'!$A$7:$AG$161,4)</f>
        <v>36.78</v>
      </c>
      <c r="CO9" s="132">
        <f>VLOOKUP(CO$7,'[6]Curve Summary'!$A$7:$AG$161,4)</f>
        <v>37.47</v>
      </c>
      <c r="CP9" s="132">
        <f>VLOOKUP(CP$7,'[6]Curve Summary'!$A$7:$AG$161,4)</f>
        <v>36.01</v>
      </c>
      <c r="CQ9" s="132">
        <f>VLOOKUP(CQ$7,'[6]Curve Summary'!$A$7:$AG$161,4)</f>
        <v>33.369999999999997</v>
      </c>
      <c r="CR9" s="132">
        <f>VLOOKUP(CR$7,'[6]Curve Summary'!$A$7:$AG$161,4)</f>
        <v>32.5</v>
      </c>
      <c r="CS9" s="132">
        <f>VLOOKUP(CS$7,'[6]Curve Summary'!$A$7:$AG$161,4)</f>
        <v>29.86</v>
      </c>
      <c r="CT9" s="132">
        <f>VLOOKUP(CT$7,'[6]Curve Summary'!$A$7:$AG$161,4)</f>
        <v>30.46</v>
      </c>
      <c r="CU9" s="132">
        <f>VLOOKUP(CU$7,'[6]Curve Summary'!$A$7:$AG$161,4)</f>
        <v>42.25</v>
      </c>
      <c r="CV9" s="132">
        <f>VLOOKUP(CV$7,'[6]Curve Summary'!$A$7:$AG$161,4)</f>
        <v>46.99</v>
      </c>
      <c r="CW9" s="132">
        <f>VLOOKUP(CW$7,'[6]Curve Summary'!$A$7:$AG$161,4)</f>
        <v>40.51</v>
      </c>
      <c r="CX9" s="132">
        <f>VLOOKUP(CX$7,'[6]Curve Summary'!$A$7:$AG$161,4)</f>
        <v>36.39</v>
      </c>
      <c r="CY9" s="132">
        <f>VLOOKUP(CY$7,'[6]Curve Summary'!$A$7:$AG$161,4)</f>
        <v>35.22</v>
      </c>
      <c r="CZ9" s="132">
        <f>VLOOKUP(CZ$7,'[6]Curve Summary'!$A$7:$AG$161,4)</f>
        <v>37.01</v>
      </c>
      <c r="DA9" s="132">
        <f>VLOOKUP(DA$7,'[6]Curve Summary'!$A$7:$AG$161,4)</f>
        <v>37.9</v>
      </c>
      <c r="DB9" s="132">
        <f>VLOOKUP(DB$7,'[6]Curve Summary'!$A$7:$AG$161,4)</f>
        <v>36.54</v>
      </c>
      <c r="DC9" s="132">
        <f>VLOOKUP(DC$7,'[6]Curve Summary'!$A$7:$AG$161,4)</f>
        <v>34.08</v>
      </c>
      <c r="DD9" s="132">
        <f>VLOOKUP(DD$7,'[6]Curve Summary'!$A$7:$AG$161,4)</f>
        <v>33.270000000000003</v>
      </c>
      <c r="DE9" s="132">
        <f>VLOOKUP(DE$7,'[6]Curve Summary'!$A$7:$AG$161,4)</f>
        <v>30.81</v>
      </c>
      <c r="DF9" s="132">
        <f>VLOOKUP(DF$7,'[6]Curve Summary'!$A$7:$AG$161,4)</f>
        <v>31.37</v>
      </c>
      <c r="DG9" s="132">
        <f>VLOOKUP(DG$7,'[6]Curve Summary'!$A$7:$AG$161,4)</f>
        <v>42.37</v>
      </c>
      <c r="DH9" s="132">
        <f>VLOOKUP(DH$7,'[6]Curve Summary'!$A$7:$AG$161,4)</f>
        <v>46.78</v>
      </c>
      <c r="DI9" s="132">
        <f>VLOOKUP(DI$7,'[6]Curve Summary'!$A$7:$AG$161,4)</f>
        <v>40.74</v>
      </c>
      <c r="DJ9" s="132">
        <f>VLOOKUP(DJ$7,'[6]Curve Summary'!$A$7:$AG$161,4)</f>
        <v>36.9</v>
      </c>
      <c r="DK9" s="132">
        <f>VLOOKUP(DK$7,'[6]Curve Summary'!$A$7:$AG$161,4)</f>
        <v>35.81</v>
      </c>
      <c r="DL9" s="132">
        <f>VLOOKUP(DL$7,'[6]Curve Summary'!$A$7:$AG$161,4)</f>
        <v>37.47</v>
      </c>
      <c r="DM9" s="132">
        <f>VLOOKUP(DM$7,'[6]Curve Summary'!$A$7:$AG$161,4)</f>
        <v>38.340000000000003</v>
      </c>
      <c r="DN9" s="132">
        <f>VLOOKUP(DN$7,'[6]Curve Summary'!$A$7:$AG$161,4)</f>
        <v>37.07</v>
      </c>
      <c r="DO9" s="132">
        <f>VLOOKUP(DO$7,'[6]Curve Summary'!$A$7:$AG$161,4)</f>
        <v>34.78</v>
      </c>
      <c r="DP9" s="132">
        <f>VLOOKUP(DP$7,'[6]Curve Summary'!$A$7:$AG$161,4)</f>
        <v>34.020000000000003</v>
      </c>
      <c r="DQ9" s="132">
        <f>VLOOKUP(DQ$7,'[6]Curve Summary'!$A$7:$AG$161,4)</f>
        <v>31.73</v>
      </c>
      <c r="DR9" s="132">
        <f>VLOOKUP(DR$7,'[6]Curve Summary'!$A$7:$AG$161,4)</f>
        <v>32.25</v>
      </c>
      <c r="DS9" s="132">
        <f>VLOOKUP(DS$7,'[6]Curve Summary'!$A$7:$AG$161,4)</f>
        <v>42.51</v>
      </c>
      <c r="DT9" s="132">
        <f>VLOOKUP(DT$7,'[6]Curve Summary'!$A$7:$AG$161,4)</f>
        <v>46.62</v>
      </c>
      <c r="DU9" s="132">
        <f>VLOOKUP(DU$7,'[6]Curve Summary'!$A$7:$AG$161,4)</f>
        <v>40.99</v>
      </c>
      <c r="DV9" s="132">
        <f>VLOOKUP(DV$7,'[6]Curve Summary'!$A$7:$AG$161,4)</f>
        <v>37.409999999999997</v>
      </c>
      <c r="DW9" s="132">
        <f>VLOOKUP(DW$7,'[6]Curve Summary'!$A$7:$AG$161,4)</f>
        <v>36.4</v>
      </c>
      <c r="DX9" s="132">
        <f>VLOOKUP(DX$7,'[6]Curve Summary'!$A$7:$AG$161,4)</f>
        <v>37.950000000000003</v>
      </c>
      <c r="DY9" s="132">
        <f>VLOOKUP(DY$7,'[6]Curve Summary'!$A$7:$AG$161,4)</f>
        <v>38.78</v>
      </c>
      <c r="DZ9" s="132">
        <f>VLOOKUP(DZ$7,'[6]Curve Summary'!$A$7:$AG$161,4)</f>
        <v>37.6</v>
      </c>
      <c r="EA9" s="132">
        <f>VLOOKUP(EA$7,'[6]Curve Summary'!$A$7:$AG$161,4)</f>
        <v>35.46</v>
      </c>
      <c r="EB9" s="132">
        <f>VLOOKUP(EB$7,'[6]Curve Summary'!$A$7:$AG$161,4)</f>
        <v>34.76</v>
      </c>
      <c r="EC9" s="132">
        <f>VLOOKUP(EC$7,'[6]Curve Summary'!$A$7:$AG$161,4)</f>
        <v>32.619999999999997</v>
      </c>
      <c r="ED9" s="132">
        <f>VLOOKUP(ED$7,'[6]Curve Summary'!$A$7:$AG$161,4)</f>
        <v>33.1</v>
      </c>
      <c r="EE9" s="132">
        <f>VLOOKUP(EE$7,'[6]Curve Summary'!$A$7:$AG$161,4)</f>
        <v>42.67</v>
      </c>
      <c r="EF9" s="132">
        <f>VLOOKUP(EF$7,'[6]Curve Summary'!$A$7:$AG$161,4)</f>
        <v>46.5</v>
      </c>
      <c r="EG9" s="132">
        <f>VLOOKUP(EG$7,'[6]Curve Summary'!$A$7:$AG$161,4)</f>
        <v>41.26</v>
      </c>
      <c r="EH9" s="132">
        <f>VLOOKUP(EH$7,'[6]Curve Summary'!$A$7:$AG$161,4)</f>
        <v>37.92</v>
      </c>
      <c r="EI9" s="132">
        <f>VLOOKUP(EI$7,'[6]Curve Summary'!$A$7:$AG$161,4)</f>
        <v>36.97</v>
      </c>
      <c r="EJ9" s="132">
        <f>VLOOKUP(EJ$7,'[6]Curve Summary'!$A$7:$AG$161,4)</f>
        <v>38.42</v>
      </c>
    </row>
    <row r="10" spans="1:140" ht="13.7" customHeight="1" x14ac:dyDescent="0.2">
      <c r="A10" s="165" t="s">
        <v>138</v>
      </c>
      <c r="B10" s="166" t="s">
        <v>169</v>
      </c>
      <c r="C10" s="132">
        <f>'[6]Power Desk Daily Price'!$AC10</f>
        <v>24.822916666666668</v>
      </c>
      <c r="D10" s="132">
        <f ca="1">IF(ISERROR((AVERAGE(OFFSET('[6]Curve Summary'!$C$6,25,0,3,1))*3+ 22* '[6]Curve Summary Backup'!$C$38)/25), '[6]Curve Summary Backup'!$C$38,(AVERAGE(OFFSET('[6]Curve Summary'!$C$6,25,0,3,1))*3+ 22* '[6]Curve Summary Backup'!$C$38)/25)</f>
        <v>28.5</v>
      </c>
      <c r="E10" s="132">
        <f>VLOOKUP(E$7,'[6]Curve Summary'!$A$7:$AG$55,3)</f>
        <v>35.1</v>
      </c>
      <c r="F10" s="167">
        <f t="shared" ca="1" si="0"/>
        <v>29.458333333333336</v>
      </c>
      <c r="G10" s="132">
        <f t="shared" si="1"/>
        <v>32.700000000000003</v>
      </c>
      <c r="H10" s="132">
        <f t="shared" si="2"/>
        <v>33.5</v>
      </c>
      <c r="I10" s="132">
        <f t="shared" si="2"/>
        <v>31.9</v>
      </c>
      <c r="J10" s="132">
        <f t="shared" si="3"/>
        <v>29</v>
      </c>
      <c r="K10" s="132">
        <f t="shared" si="4"/>
        <v>28</v>
      </c>
      <c r="L10" s="132">
        <f t="shared" si="4"/>
        <v>30</v>
      </c>
      <c r="M10" s="132">
        <f t="shared" si="4"/>
        <v>29.25</v>
      </c>
      <c r="N10" s="132">
        <f t="shared" si="4"/>
        <v>30.5</v>
      </c>
      <c r="O10" s="132">
        <f t="shared" si="5"/>
        <v>48</v>
      </c>
      <c r="P10" s="132">
        <f t="shared" si="6"/>
        <v>44</v>
      </c>
      <c r="Q10" s="132">
        <f t="shared" si="6"/>
        <v>52</v>
      </c>
      <c r="R10" s="132">
        <f t="shared" si="6"/>
        <v>44.5</v>
      </c>
      <c r="S10" s="132">
        <f t="shared" si="7"/>
        <v>33.416666666666664</v>
      </c>
      <c r="T10" s="132">
        <f t="shared" si="8"/>
        <v>34.25</v>
      </c>
      <c r="U10" s="132">
        <f t="shared" si="8"/>
        <v>32</v>
      </c>
      <c r="V10" s="132">
        <f t="shared" si="8"/>
        <v>34</v>
      </c>
      <c r="W10" s="167">
        <f t="shared" ref="W10:W15" si="12">SUM(AG29:AR29)/SUM($AG$5:$AR$5)</f>
        <v>35.373529411764707</v>
      </c>
      <c r="X10" s="132">
        <f t="shared" ref="X10:X15" si="13">SUM(AS29:BD29)/SUM($AS$5:$BD$5)</f>
        <v>37.758823529411764</v>
      </c>
      <c r="Y10" s="132">
        <f t="shared" ref="Y10:Y15" si="14">SUM(BE29:BR29)/SUM($BE$5:$BR$5)</f>
        <v>37.303758389261738</v>
      </c>
      <c r="Z10" s="132">
        <f t="shared" ref="Z10:Z15" si="15">SUM(BQ29:CB29)/SUM($BQ$5:$CB$5)</f>
        <v>37.738117647058829</v>
      </c>
      <c r="AA10" s="132">
        <f t="shared" si="9"/>
        <v>39.926627450980391</v>
      </c>
      <c r="AB10" s="133">
        <f t="shared" si="10"/>
        <v>42.474062500000002</v>
      </c>
      <c r="AC10" s="168">
        <f t="shared" ca="1" si="11"/>
        <v>38.701754274410064</v>
      </c>
      <c r="AD10" s="163"/>
      <c r="AE10" s="163"/>
      <c r="AF10" s="164"/>
      <c r="AG10" s="169">
        <f>VLOOKUP(AG$7,'[6]Curve Summary'!$A$8:$AG$161,3)</f>
        <v>33.5</v>
      </c>
      <c r="AH10" s="169">
        <f>VLOOKUP(AH$7,'[6]Curve Summary'!$A$8:$AG$161,3)</f>
        <v>31.9</v>
      </c>
      <c r="AI10" s="169">
        <f>VLOOKUP(AI$7,'[6]Curve Summary'!$A$8:$AG$161,3)</f>
        <v>28</v>
      </c>
      <c r="AJ10" s="169">
        <f>VLOOKUP(AJ$7,'[6]Curve Summary'!$A$8:$AG$161,3)</f>
        <v>30</v>
      </c>
      <c r="AK10" s="169">
        <f>VLOOKUP(AK$7,'[6]Curve Summary'!$A$8:$AG$161,3)</f>
        <v>29.25</v>
      </c>
      <c r="AL10" s="169">
        <f>VLOOKUP(AL$7,'[6]Curve Summary'!$A$8:$AG$161,3)</f>
        <v>30.5</v>
      </c>
      <c r="AM10" s="169">
        <f>VLOOKUP(AM$7,'[6]Curve Summary'!$A$8:$AG$161,3)</f>
        <v>44</v>
      </c>
      <c r="AN10" s="169">
        <f>VLOOKUP(AN$7,'[6]Curve Summary'!$A$8:$AG$161,3)</f>
        <v>52</v>
      </c>
      <c r="AO10" s="169">
        <f>VLOOKUP(AO$7,'[6]Curve Summary'!$A$8:$AG$161,3)</f>
        <v>44.5</v>
      </c>
      <c r="AP10" s="169">
        <f>VLOOKUP(AP$7,'[6]Curve Summary'!$A$8:$AG$161,3)</f>
        <v>34.25</v>
      </c>
      <c r="AQ10" s="169">
        <f>VLOOKUP(AQ$7,'[6]Curve Summary'!$A$8:$AG$161,3)</f>
        <v>32</v>
      </c>
      <c r="AR10" s="169">
        <f>VLOOKUP(AR$7,'[6]Curve Summary'!$A$8:$AG$161,3)</f>
        <v>34</v>
      </c>
      <c r="AS10" s="169">
        <f>VLOOKUP(AS$7,'[6]Curve Summary'!$A$8:$AG$161,3)</f>
        <v>37</v>
      </c>
      <c r="AT10" s="169">
        <f>VLOOKUP(AT$7,'[6]Curve Summary'!$A$8:$AG$161,3)</f>
        <v>34.5</v>
      </c>
      <c r="AU10" s="169">
        <f>VLOOKUP(AU$7,'[6]Curve Summary'!$A$8:$AG$161,3)</f>
        <v>31</v>
      </c>
      <c r="AV10" s="169">
        <f>VLOOKUP(AV$7,'[6]Curve Summary'!$A$8:$AG$161,3)</f>
        <v>32.5</v>
      </c>
      <c r="AW10" s="169">
        <f>VLOOKUP(AW$7,'[6]Curve Summary'!$A$8:$AG$161,3)</f>
        <v>28.25</v>
      </c>
      <c r="AX10" s="169">
        <f>VLOOKUP(AX$7,'[6]Curve Summary'!$A$8:$AG$161,3)</f>
        <v>29.25</v>
      </c>
      <c r="AY10" s="169">
        <f>VLOOKUP(AY$7,'[6]Curve Summary'!$A$8:$AG$161,3)</f>
        <v>50.5</v>
      </c>
      <c r="AZ10" s="169">
        <f>VLOOKUP(AZ$7,'[6]Curve Summary'!$A$8:$AG$161,3)</f>
        <v>57.5</v>
      </c>
      <c r="BA10" s="169">
        <f>VLOOKUP(BA$7,'[6]Curve Summary'!$A$8:$AG$161,3)</f>
        <v>46.5</v>
      </c>
      <c r="BB10" s="169">
        <f>VLOOKUP(BB$7,'[6]Curve Summary'!$A$8:$AG$161,3)</f>
        <v>35.5</v>
      </c>
      <c r="BC10" s="169">
        <f>VLOOKUP(BC$7,'[6]Curve Summary'!$A$8:$AG$161,3)</f>
        <v>33.5</v>
      </c>
      <c r="BD10" s="169">
        <f>VLOOKUP(BD$7,'[6]Curve Summary'!$A$8:$AG$161,3)</f>
        <v>36.5</v>
      </c>
      <c r="BE10" s="169">
        <f>VLOOKUP(BE$7,'[6]Curve Summary'!$A$8:$AG$161,3)</f>
        <v>36.83</v>
      </c>
      <c r="BF10" s="169">
        <f>VLOOKUP(BF$7,'[6]Curve Summary'!$A$8:$AG$161,3)</f>
        <v>34.72</v>
      </c>
      <c r="BG10" s="169">
        <f>VLOOKUP(BG$7,'[6]Curve Summary'!$A$8:$AG$161,3)</f>
        <v>31.78</v>
      </c>
      <c r="BH10" s="169">
        <f>VLOOKUP(BH$7,'[6]Curve Summary'!$A$8:$AG$161,3)</f>
        <v>33.049999999999997</v>
      </c>
      <c r="BI10" s="169">
        <f>VLOOKUP(BI$7,'[6]Curve Summary'!$A$8:$AG$161,3)</f>
        <v>29.47</v>
      </c>
      <c r="BJ10" s="169">
        <f>VLOOKUP(BJ$7,'[6]Curve Summary'!$A$8:$AG$161,3)</f>
        <v>30.31</v>
      </c>
      <c r="BK10" s="169">
        <f>VLOOKUP(BK$7,'[6]Curve Summary'!$A$8:$AG$161,3)</f>
        <v>48.26</v>
      </c>
      <c r="BL10" s="169">
        <f>VLOOKUP(BL$7,'[6]Curve Summary'!$A$8:$AG$161,3)</f>
        <v>54.19</v>
      </c>
      <c r="BM10" s="169">
        <f>VLOOKUP(BM$7,'[6]Curve Summary'!$A$8:$AG$161,3)</f>
        <v>44.9</v>
      </c>
      <c r="BN10" s="169">
        <f>VLOOKUP(BN$7,'[6]Curve Summary'!$A$8:$AG$161,3)</f>
        <v>35.619999999999997</v>
      </c>
      <c r="BO10" s="169">
        <f>VLOOKUP(BO$7,'[6]Curve Summary'!$A$8:$AG$161,3)</f>
        <v>33.93</v>
      </c>
      <c r="BP10" s="169">
        <f>VLOOKUP(BP$7,'[6]Curve Summary'!$A$8:$AG$161,3)</f>
        <v>36.47</v>
      </c>
      <c r="BQ10" s="169">
        <f>VLOOKUP(BQ$7,'[6]Curve Summary'!$A$8:$AG$161,3)</f>
        <v>37.130000000000003</v>
      </c>
      <c r="BR10" s="169">
        <f>VLOOKUP(BR$7,'[6]Curve Summary'!$A$8:$AG$161,3)</f>
        <v>35.340000000000003</v>
      </c>
      <c r="BS10" s="169">
        <f>VLOOKUP(BS$7,'[6]Curve Summary'!$A$8:$AG$161,3)</f>
        <v>32.83</v>
      </c>
      <c r="BT10" s="169">
        <f>VLOOKUP(BT$7,'[6]Curve Summary'!$A$8:$AG$161,3)</f>
        <v>33.92</v>
      </c>
      <c r="BU10" s="169">
        <f>VLOOKUP(BU$7,'[6]Curve Summary'!$A$8:$AG$161,3)</f>
        <v>30.86</v>
      </c>
      <c r="BV10" s="169">
        <f>VLOOKUP(BV$7,'[6]Curve Summary'!$A$8:$AG$161,3)</f>
        <v>31.6</v>
      </c>
      <c r="BW10" s="169">
        <f>VLOOKUP(BW$7,'[6]Curve Summary'!$A$8:$AG$161,3)</f>
        <v>46.96</v>
      </c>
      <c r="BX10" s="169">
        <f>VLOOKUP(BX$7,'[6]Curve Summary'!$A$8:$AG$161,3)</f>
        <v>52.04</v>
      </c>
      <c r="BY10" s="169">
        <f>VLOOKUP(BY$7,'[6]Curve Summary'!$A$8:$AG$161,3)</f>
        <v>44.1</v>
      </c>
      <c r="BZ10" s="169">
        <f>VLOOKUP(BZ$7,'[6]Curve Summary'!$A$8:$AG$161,3)</f>
        <v>36.159999999999997</v>
      </c>
      <c r="CA10" s="169">
        <f>VLOOKUP(CA$7,'[6]Curve Summary'!$A$8:$AG$161,3)</f>
        <v>34.729999999999997</v>
      </c>
      <c r="CB10" s="169">
        <f>VLOOKUP(CB$7,'[6]Curve Summary'!$A$8:$AG$161,3)</f>
        <v>36.909999999999997</v>
      </c>
      <c r="CC10" s="169">
        <f>VLOOKUP(CC$7,'[6]Curve Summary'!$A$8:$AG$161,3)</f>
        <v>37.909999999999997</v>
      </c>
      <c r="CD10" s="169">
        <f>VLOOKUP(CD$7,'[6]Curve Summary'!$A$8:$AG$161,3)</f>
        <v>36.270000000000003</v>
      </c>
      <c r="CE10" s="169">
        <f>VLOOKUP(CE$7,'[6]Curve Summary'!$A$8:$AG$161,3)</f>
        <v>33.97</v>
      </c>
      <c r="CF10" s="169">
        <f>VLOOKUP(CF$7,'[6]Curve Summary'!$A$8:$AG$161,3)</f>
        <v>34.97</v>
      </c>
      <c r="CG10" s="169">
        <f>VLOOKUP(CG$7,'[6]Curve Summary'!$A$8:$AG$161,3)</f>
        <v>32.17</v>
      </c>
      <c r="CH10" s="169">
        <f>VLOOKUP(CH$7,'[6]Curve Summary'!$A$8:$AG$161,3)</f>
        <v>32.85</v>
      </c>
      <c r="CI10" s="169">
        <f>VLOOKUP(CI$7,'[6]Curve Summary'!$A$8:$AG$161,3)</f>
        <v>46.96</v>
      </c>
      <c r="CJ10" s="169">
        <f>VLOOKUP(CJ$7,'[6]Curve Summary'!$A$8:$AG$161,3)</f>
        <v>51.62</v>
      </c>
      <c r="CK10" s="169">
        <f>VLOOKUP(CK$7,'[6]Curve Summary'!$A$8:$AG$161,3)</f>
        <v>44.34</v>
      </c>
      <c r="CL10" s="169">
        <f>VLOOKUP(CL$7,'[6]Curve Summary'!$A$8:$AG$161,3)</f>
        <v>37.049999999999997</v>
      </c>
      <c r="CM10" s="169">
        <f>VLOOKUP(CM$7,'[6]Curve Summary'!$A$8:$AG$161,3)</f>
        <v>35.74</v>
      </c>
      <c r="CN10" s="169">
        <f>VLOOKUP(CN$7,'[6]Curve Summary'!$A$8:$AG$161,3)</f>
        <v>37.75</v>
      </c>
      <c r="CO10" s="169">
        <f>VLOOKUP(CO$7,'[6]Curve Summary'!$A$8:$AG$161,3)</f>
        <v>38.9</v>
      </c>
      <c r="CP10" s="169">
        <f>VLOOKUP(CP$7,'[6]Curve Summary'!$A$8:$AG$161,3)</f>
        <v>37.39</v>
      </c>
      <c r="CQ10" s="169">
        <f>VLOOKUP(CQ$7,'[6]Curve Summary'!$A$8:$AG$161,3)</f>
        <v>35.26</v>
      </c>
      <c r="CR10" s="169">
        <f>VLOOKUP(CR$7,'[6]Curve Summary'!$A$8:$AG$161,3)</f>
        <v>36.19</v>
      </c>
      <c r="CS10" s="169">
        <f>VLOOKUP(CS$7,'[6]Curve Summary'!$A$8:$AG$161,3)</f>
        <v>33.61</v>
      </c>
      <c r="CT10" s="169">
        <f>VLOOKUP(CT$7,'[6]Curve Summary'!$A$8:$AG$161,3)</f>
        <v>34.229999999999997</v>
      </c>
      <c r="CU10" s="169">
        <f>VLOOKUP(CU$7,'[6]Curve Summary'!$A$8:$AG$161,3)</f>
        <v>47.25</v>
      </c>
      <c r="CV10" s="169">
        <f>VLOOKUP(CV$7,'[6]Curve Summary'!$A$8:$AG$161,3)</f>
        <v>51.55</v>
      </c>
      <c r="CW10" s="169">
        <f>VLOOKUP(CW$7,'[6]Curve Summary'!$A$8:$AG$161,3)</f>
        <v>44.84</v>
      </c>
      <c r="CX10" s="169">
        <f>VLOOKUP(CX$7,'[6]Curve Summary'!$A$8:$AG$161,3)</f>
        <v>38.119999999999997</v>
      </c>
      <c r="CY10" s="169">
        <f>VLOOKUP(CY$7,'[6]Curve Summary'!$A$8:$AG$161,3)</f>
        <v>36.9</v>
      </c>
      <c r="CZ10" s="169">
        <f>VLOOKUP(CZ$7,'[6]Curve Summary'!$A$8:$AG$161,3)</f>
        <v>38.76</v>
      </c>
      <c r="DA10" s="169">
        <f>VLOOKUP(DA$7,'[6]Curve Summary'!$A$8:$AG$161,3)</f>
        <v>39.869999999999997</v>
      </c>
      <c r="DB10" s="169">
        <f>VLOOKUP(DB$7,'[6]Curve Summary'!$A$8:$AG$161,3)</f>
        <v>38.450000000000003</v>
      </c>
      <c r="DC10" s="169">
        <f>VLOOKUP(DC$7,'[6]Curve Summary'!$A$8:$AG$161,3)</f>
        <v>36.450000000000003</v>
      </c>
      <c r="DD10" s="169">
        <f>VLOOKUP(DD$7,'[6]Curve Summary'!$A$8:$AG$161,3)</f>
        <v>37.33</v>
      </c>
      <c r="DE10" s="169">
        <f>VLOOKUP(DE$7,'[6]Curve Summary'!$A$8:$AG$161,3)</f>
        <v>34.89</v>
      </c>
      <c r="DF10" s="169">
        <f>VLOOKUP(DF$7,'[6]Curve Summary'!$A$8:$AG$161,3)</f>
        <v>35.479999999999997</v>
      </c>
      <c r="DG10" s="169">
        <f>VLOOKUP(DG$7,'[6]Curve Summary'!$A$8:$AG$161,3)</f>
        <v>47.75</v>
      </c>
      <c r="DH10" s="169">
        <f>VLOOKUP(DH$7,'[6]Curve Summary'!$A$8:$AG$161,3)</f>
        <v>51.8</v>
      </c>
      <c r="DI10" s="169">
        <f>VLOOKUP(DI$7,'[6]Curve Summary'!$A$8:$AG$161,3)</f>
        <v>45.48</v>
      </c>
      <c r="DJ10" s="169">
        <f>VLOOKUP(DJ$7,'[6]Curve Summary'!$A$8:$AG$161,3)</f>
        <v>39.15</v>
      </c>
      <c r="DK10" s="169">
        <f>VLOOKUP(DK$7,'[6]Curve Summary'!$A$8:$AG$161,3)</f>
        <v>38.01</v>
      </c>
      <c r="DL10" s="169">
        <f>VLOOKUP(DL$7,'[6]Curve Summary'!$A$8:$AG$161,3)</f>
        <v>39.76</v>
      </c>
      <c r="DM10" s="169">
        <f>VLOOKUP(DM$7,'[6]Curve Summary'!$A$8:$AG$161,3)</f>
        <v>40.94</v>
      </c>
      <c r="DN10" s="169">
        <f>VLOOKUP(DN$7,'[6]Curve Summary'!$A$8:$AG$161,3)</f>
        <v>39.6</v>
      </c>
      <c r="DO10" s="169">
        <f>VLOOKUP(DO$7,'[6]Curve Summary'!$A$8:$AG$161,3)</f>
        <v>37.71</v>
      </c>
      <c r="DP10" s="169">
        <f>VLOOKUP(DP$7,'[6]Curve Summary'!$A$8:$AG$161,3)</f>
        <v>38.54</v>
      </c>
      <c r="DQ10" s="169">
        <f>VLOOKUP(DQ$7,'[6]Curve Summary'!$A$8:$AG$161,3)</f>
        <v>36.25</v>
      </c>
      <c r="DR10" s="169">
        <f>VLOOKUP(DR$7,'[6]Curve Summary'!$A$8:$AG$161,3)</f>
        <v>36.81</v>
      </c>
      <c r="DS10" s="169">
        <f>VLOOKUP(DS$7,'[6]Curve Summary'!$A$8:$AG$161,3)</f>
        <v>48.38</v>
      </c>
      <c r="DT10" s="169">
        <f>VLOOKUP(DT$7,'[6]Curve Summary'!$A$8:$AG$161,3)</f>
        <v>52.21</v>
      </c>
      <c r="DU10" s="169">
        <f>VLOOKUP(DU$7,'[6]Curve Summary'!$A$8:$AG$161,3)</f>
        <v>46.24</v>
      </c>
      <c r="DV10" s="169">
        <f>VLOOKUP(DV$7,'[6]Curve Summary'!$A$8:$AG$161,3)</f>
        <v>40.270000000000003</v>
      </c>
      <c r="DW10" s="169">
        <f>VLOOKUP(DW$7,'[6]Curve Summary'!$A$8:$AG$161,3)</f>
        <v>39.200000000000003</v>
      </c>
      <c r="DX10" s="169">
        <f>VLOOKUP(DX$7,'[6]Curve Summary'!$A$8:$AG$161,3)</f>
        <v>40.85</v>
      </c>
      <c r="DY10" s="169">
        <f>VLOOKUP(DY$7,'[6]Curve Summary'!$A$8:$AG$161,3)</f>
        <v>42.01</v>
      </c>
      <c r="DZ10" s="169">
        <f>VLOOKUP(DZ$7,'[6]Curve Summary'!$A$8:$AG$161,3)</f>
        <v>40.75</v>
      </c>
      <c r="EA10" s="169">
        <f>VLOOKUP(EA$7,'[6]Curve Summary'!$A$8:$AG$161,3)</f>
        <v>38.97</v>
      </c>
      <c r="EB10" s="169">
        <f>VLOOKUP(EB$7,'[6]Curve Summary'!$A$8:$AG$161,3)</f>
        <v>39.75</v>
      </c>
      <c r="EC10" s="169">
        <f>VLOOKUP(EC$7,'[6]Curve Summary'!$A$8:$AG$161,3)</f>
        <v>37.590000000000003</v>
      </c>
      <c r="ED10" s="169">
        <f>VLOOKUP(ED$7,'[6]Curve Summary'!$A$8:$AG$161,3)</f>
        <v>38.119999999999997</v>
      </c>
      <c r="EE10" s="169">
        <f>VLOOKUP(EE$7,'[6]Curve Summary'!$A$8:$AG$161,3)</f>
        <v>49.04</v>
      </c>
      <c r="EF10" s="169">
        <f>VLOOKUP(EF$7,'[6]Curve Summary'!$A$8:$AG$161,3)</f>
        <v>52.65</v>
      </c>
      <c r="EG10" s="169">
        <f>VLOOKUP(EG$7,'[6]Curve Summary'!$A$8:$AG$161,3)</f>
        <v>47.02</v>
      </c>
      <c r="EH10" s="169">
        <f>VLOOKUP(EH$7,'[6]Curve Summary'!$A$8:$AG$161,3)</f>
        <v>41.39</v>
      </c>
      <c r="EI10" s="169">
        <f>VLOOKUP(EI$7,'[6]Curve Summary'!$A$8:$AG$161,3)</f>
        <v>40.369999999999997</v>
      </c>
      <c r="EJ10" s="169">
        <f>VLOOKUP(EJ$7,'[6]Curve Summary'!$A$8:$AG$161,3)</f>
        <v>41.93</v>
      </c>
    </row>
    <row r="11" spans="1:140" ht="13.7" customHeight="1" x14ac:dyDescent="0.2">
      <c r="A11" s="165" t="s">
        <v>139</v>
      </c>
      <c r="B11" s="142"/>
      <c r="C11" s="132">
        <f>'[6]Power Desk Daily Price'!$AC11</f>
        <v>25.212083333333336</v>
      </c>
      <c r="D11" s="132">
        <f ca="1">IF(ISERROR((AVERAGE(OFFSET('[6]Curve Summary'!$E$6,25,0,3,1))*3+ 22* '[6]Curve Summary Backup'!$E$38)/25), '[6]Curve Summary Backup'!$E$38,(AVERAGE(OFFSET('[6]Curve Summary'!$E$6,25,0,3,1))*3+ 22* '[6]Curve Summary Backup'!$E$38)/25)</f>
        <v>27.9</v>
      </c>
      <c r="E11" s="132">
        <f>VLOOKUP(E$7,'[6]Curve Summary'!$A$7:$AG$55,5)</f>
        <v>33.799999999999997</v>
      </c>
      <c r="F11" s="167">
        <f t="shared" ca="1" si="0"/>
        <v>28.953142076502733</v>
      </c>
      <c r="G11" s="132">
        <f t="shared" si="1"/>
        <v>34</v>
      </c>
      <c r="H11" s="132">
        <f t="shared" si="2"/>
        <v>34.25</v>
      </c>
      <c r="I11" s="132">
        <f t="shared" si="2"/>
        <v>33.75</v>
      </c>
      <c r="J11" s="132">
        <f t="shared" si="3"/>
        <v>30.625</v>
      </c>
      <c r="K11" s="132">
        <f t="shared" si="4"/>
        <v>31.75</v>
      </c>
      <c r="L11" s="132">
        <f t="shared" si="4"/>
        <v>29.5</v>
      </c>
      <c r="M11" s="132">
        <f t="shared" si="4"/>
        <v>29.5</v>
      </c>
      <c r="N11" s="132">
        <f t="shared" si="4"/>
        <v>36.25</v>
      </c>
      <c r="O11" s="132">
        <f t="shared" si="5"/>
        <v>47.5</v>
      </c>
      <c r="P11" s="132">
        <f t="shared" si="6"/>
        <v>44</v>
      </c>
      <c r="Q11" s="132">
        <f t="shared" si="6"/>
        <v>51</v>
      </c>
      <c r="R11" s="132">
        <f t="shared" si="6"/>
        <v>43</v>
      </c>
      <c r="S11" s="132">
        <f t="shared" si="7"/>
        <v>36</v>
      </c>
      <c r="T11" s="132">
        <f t="shared" si="8"/>
        <v>36.75</v>
      </c>
      <c r="U11" s="132">
        <f t="shared" si="8"/>
        <v>34.5</v>
      </c>
      <c r="V11" s="132">
        <f t="shared" si="8"/>
        <v>36.75</v>
      </c>
      <c r="W11" s="167">
        <f t="shared" si="12"/>
        <v>36.765686274509804</v>
      </c>
      <c r="X11" s="132">
        <f t="shared" si="13"/>
        <v>40.004901960784316</v>
      </c>
      <c r="Y11" s="132">
        <f t="shared" si="14"/>
        <v>40.352651006711412</v>
      </c>
      <c r="Z11" s="132">
        <f t="shared" si="15"/>
        <v>40.797058823529412</v>
      </c>
      <c r="AA11" s="132">
        <f t="shared" si="9"/>
        <v>41.39764705882353</v>
      </c>
      <c r="AB11" s="133">
        <f t="shared" si="10"/>
        <v>42.264804687500003</v>
      </c>
      <c r="AC11" s="168">
        <f t="shared" ca="1" si="11"/>
        <v>40.356876501342377</v>
      </c>
      <c r="AD11" s="163"/>
      <c r="AE11" s="163"/>
      <c r="AF11" s="164"/>
      <c r="AG11" s="169">
        <f>VLOOKUP(AG$7,'[6]Curve Summary'!$A$8:$AG$161,5)</f>
        <v>34.25</v>
      </c>
      <c r="AH11" s="169">
        <f>VLOOKUP(AH$7,'[6]Curve Summary'!$A$8:$AG$161,5)</f>
        <v>33.75</v>
      </c>
      <c r="AI11" s="169">
        <f>VLOOKUP(AI$7,'[6]Curve Summary'!$A$8:$AG$161,5)</f>
        <v>31.75</v>
      </c>
      <c r="AJ11" s="169">
        <f>VLOOKUP(AJ$7,'[6]Curve Summary'!$A$8:$AG$161,5)</f>
        <v>29.5</v>
      </c>
      <c r="AK11" s="169">
        <f>VLOOKUP(AK$7,'[6]Curve Summary'!$A$8:$AG$161,5)</f>
        <v>29.5</v>
      </c>
      <c r="AL11" s="169">
        <f>VLOOKUP(AL$7,'[6]Curve Summary'!$A$8:$AG$161,5)</f>
        <v>36.25</v>
      </c>
      <c r="AM11" s="169">
        <f>VLOOKUP(AM$7,'[6]Curve Summary'!$A$8:$AG$161,5)</f>
        <v>44</v>
      </c>
      <c r="AN11" s="169">
        <f>VLOOKUP(AN$7,'[6]Curve Summary'!$A$8:$AG$161,5)</f>
        <v>51</v>
      </c>
      <c r="AO11" s="169">
        <f>VLOOKUP(AO$7,'[6]Curve Summary'!$A$8:$AG$161,5)</f>
        <v>43</v>
      </c>
      <c r="AP11" s="169">
        <f>VLOOKUP(AP$7,'[6]Curve Summary'!$A$8:$AG$161,5)</f>
        <v>36.75</v>
      </c>
      <c r="AQ11" s="169">
        <f>VLOOKUP(AQ$7,'[6]Curve Summary'!$A$8:$AG$161,5)</f>
        <v>34.5</v>
      </c>
      <c r="AR11" s="169">
        <f>VLOOKUP(AR$7,'[6]Curve Summary'!$A$8:$AG$161,5)</f>
        <v>36.75</v>
      </c>
      <c r="AS11" s="169">
        <f>VLOOKUP(AS$7,'[6]Curve Summary'!$A$8:$AG$161,5)</f>
        <v>38</v>
      </c>
      <c r="AT11" s="169">
        <f>VLOOKUP(AT$7,'[6]Curve Summary'!$A$8:$AG$161,5)</f>
        <v>37</v>
      </c>
      <c r="AU11" s="169">
        <f>VLOOKUP(AU$7,'[6]Curve Summary'!$A$8:$AG$161,5)</f>
        <v>34.5</v>
      </c>
      <c r="AV11" s="169">
        <f>VLOOKUP(AV$7,'[6]Curve Summary'!$A$8:$AG$161,5)</f>
        <v>32.25</v>
      </c>
      <c r="AW11" s="169">
        <f>VLOOKUP(AW$7,'[6]Curve Summary'!$A$8:$AG$161,5)</f>
        <v>33.25</v>
      </c>
      <c r="AX11" s="169">
        <f>VLOOKUP(AX$7,'[6]Curve Summary'!$A$8:$AG$161,5)</f>
        <v>37.25</v>
      </c>
      <c r="AY11" s="169">
        <f>VLOOKUP(AY$7,'[6]Curve Summary'!$A$8:$AG$161,5)</f>
        <v>47.5</v>
      </c>
      <c r="AZ11" s="169">
        <f>VLOOKUP(AZ$7,'[6]Curve Summary'!$A$8:$AG$161,5)</f>
        <v>56.25</v>
      </c>
      <c r="BA11" s="169">
        <f>VLOOKUP(BA$7,'[6]Curve Summary'!$A$8:$AG$161,5)</f>
        <v>51.5</v>
      </c>
      <c r="BB11" s="169">
        <f>VLOOKUP(BB$7,'[6]Curve Summary'!$A$8:$AG$161,5)</f>
        <v>37.5</v>
      </c>
      <c r="BC11" s="169">
        <f>VLOOKUP(BC$7,'[6]Curve Summary'!$A$8:$AG$161,5)</f>
        <v>36.5</v>
      </c>
      <c r="BD11" s="169">
        <f>VLOOKUP(BD$7,'[6]Curve Summary'!$A$8:$AG$161,5)</f>
        <v>38.5</v>
      </c>
      <c r="BE11" s="169">
        <f>VLOOKUP(BE$7,'[6]Curve Summary'!$A$8:$AG$161,5)</f>
        <v>39.29</v>
      </c>
      <c r="BF11" s="169">
        <f>VLOOKUP(BF$7,'[6]Curve Summary'!$A$8:$AG$161,5)</f>
        <v>38.76</v>
      </c>
      <c r="BG11" s="169">
        <f>VLOOKUP(BG$7,'[6]Curve Summary'!$A$8:$AG$161,5)</f>
        <v>37.229999999999997</v>
      </c>
      <c r="BH11" s="169">
        <f>VLOOKUP(BH$7,'[6]Curve Summary'!$A$8:$AG$161,5)</f>
        <v>35.51</v>
      </c>
      <c r="BI11" s="169">
        <f>VLOOKUP(BI$7,'[6]Curve Summary'!$A$8:$AG$161,5)</f>
        <v>37.17</v>
      </c>
      <c r="BJ11" s="169">
        <f>VLOOKUP(BJ$7,'[6]Curve Summary'!$A$8:$AG$161,5)</f>
        <v>41.65</v>
      </c>
      <c r="BK11" s="169">
        <f>VLOOKUP(BK$7,'[6]Curve Summary'!$A$8:$AG$161,5)</f>
        <v>43.73</v>
      </c>
      <c r="BL11" s="169">
        <f>VLOOKUP(BL$7,'[6]Curve Summary'!$A$8:$AG$161,5)</f>
        <v>51.16</v>
      </c>
      <c r="BM11" s="169">
        <f>VLOOKUP(BM$7,'[6]Curve Summary'!$A$8:$AG$161,5)</f>
        <v>47.08</v>
      </c>
      <c r="BN11" s="169">
        <f>VLOOKUP(BN$7,'[6]Curve Summary'!$A$8:$AG$161,5)</f>
        <v>38.78</v>
      </c>
      <c r="BO11" s="169">
        <f>VLOOKUP(BO$7,'[6]Curve Summary'!$A$8:$AG$161,5)</f>
        <v>37</v>
      </c>
      <c r="BP11" s="169">
        <f>VLOOKUP(BP$7,'[6]Curve Summary'!$A$8:$AG$161,5)</f>
        <v>38.659999999999997</v>
      </c>
      <c r="BQ11" s="169">
        <f>VLOOKUP(BQ$7,'[6]Curve Summary'!$A$8:$AG$161,5)</f>
        <v>39.5</v>
      </c>
      <c r="BR11" s="169">
        <f>VLOOKUP(BR$7,'[6]Curve Summary'!$A$8:$AG$161,5)</f>
        <v>39.25</v>
      </c>
      <c r="BS11" s="169">
        <f>VLOOKUP(BS$7,'[6]Curve Summary'!$A$8:$AG$161,5)</f>
        <v>38</v>
      </c>
      <c r="BT11" s="169">
        <f>VLOOKUP(BT$7,'[6]Curve Summary'!$A$8:$AG$161,5)</f>
        <v>37</v>
      </c>
      <c r="BU11" s="169">
        <f>VLOOKUP(BU$7,'[6]Curve Summary'!$A$8:$AG$161,5)</f>
        <v>38.5</v>
      </c>
      <c r="BV11" s="169">
        <f>VLOOKUP(BV$7,'[6]Curve Summary'!$A$8:$AG$161,5)</f>
        <v>42.75</v>
      </c>
      <c r="BW11" s="169">
        <f>VLOOKUP(BW$7,'[6]Curve Summary'!$A$8:$AG$161,5)</f>
        <v>42.25</v>
      </c>
      <c r="BX11" s="169">
        <f>VLOOKUP(BX$7,'[6]Curve Summary'!$A$8:$AG$161,5)</f>
        <v>48.5</v>
      </c>
      <c r="BY11" s="169">
        <f>VLOOKUP(BY$7,'[6]Curve Summary'!$A$8:$AG$161,5)</f>
        <v>45</v>
      </c>
      <c r="BZ11" s="169">
        <f>VLOOKUP(BZ$7,'[6]Curve Summary'!$A$8:$AG$161,5)</f>
        <v>40.5</v>
      </c>
      <c r="CA11" s="169">
        <f>VLOOKUP(CA$7,'[6]Curve Summary'!$A$8:$AG$161,5)</f>
        <v>38.25</v>
      </c>
      <c r="CB11" s="169">
        <f>VLOOKUP(CB$7,'[6]Curve Summary'!$A$8:$AG$161,5)</f>
        <v>39.5</v>
      </c>
      <c r="CC11" s="169">
        <f>VLOOKUP(CC$7,'[6]Curve Summary'!$A$8:$AG$161,5)</f>
        <v>39.71</v>
      </c>
      <c r="CD11" s="169">
        <f>VLOOKUP(CD$7,'[6]Curve Summary'!$A$8:$AG$161,5)</f>
        <v>39.700000000000003</v>
      </c>
      <c r="CE11" s="169">
        <f>VLOOKUP(CE$7,'[6]Curve Summary'!$A$8:$AG$161,5)</f>
        <v>38.700000000000003</v>
      </c>
      <c r="CF11" s="169">
        <f>VLOOKUP(CF$7,'[6]Curve Summary'!$A$8:$AG$161,5)</f>
        <v>38.380000000000003</v>
      </c>
      <c r="CG11" s="169">
        <f>VLOOKUP(CG$7,'[6]Curve Summary'!$A$8:$AG$161,5)</f>
        <v>39.69</v>
      </c>
      <c r="CH11" s="169">
        <f>VLOOKUP(CH$7,'[6]Curve Summary'!$A$8:$AG$161,5)</f>
        <v>43.63</v>
      </c>
      <c r="CI11" s="169">
        <f>VLOOKUP(CI$7,'[6]Curve Summary'!$A$8:$AG$161,5)</f>
        <v>40.97</v>
      </c>
      <c r="CJ11" s="169">
        <f>VLOOKUP(CJ$7,'[6]Curve Summary'!$A$8:$AG$161,5)</f>
        <v>46.33</v>
      </c>
      <c r="CK11" s="169">
        <f>VLOOKUP(CK$7,'[6]Curve Summary'!$A$8:$AG$161,5)</f>
        <v>43.33</v>
      </c>
      <c r="CL11" s="169">
        <f>VLOOKUP(CL$7,'[6]Curve Summary'!$A$8:$AG$161,5)</f>
        <v>41.97</v>
      </c>
      <c r="CM11" s="169">
        <f>VLOOKUP(CM$7,'[6]Curve Summary'!$A$8:$AG$161,5)</f>
        <v>39.28</v>
      </c>
      <c r="CN11" s="169">
        <f>VLOOKUP(CN$7,'[6]Curve Summary'!$A$8:$AG$161,5)</f>
        <v>40.33</v>
      </c>
      <c r="CO11" s="169">
        <f>VLOOKUP(CO$7,'[6]Curve Summary'!$A$8:$AG$161,5)</f>
        <v>39.94</v>
      </c>
      <c r="CP11" s="169">
        <f>VLOOKUP(CP$7,'[6]Curve Summary'!$A$8:$AG$161,5)</f>
        <v>40.06</v>
      </c>
      <c r="CQ11" s="169">
        <f>VLOOKUP(CQ$7,'[6]Curve Summary'!$A$8:$AG$161,5)</f>
        <v>39.19</v>
      </c>
      <c r="CR11" s="169">
        <f>VLOOKUP(CR$7,'[6]Curve Summary'!$A$8:$AG$161,5)</f>
        <v>39.25</v>
      </c>
      <c r="CS11" s="169">
        <f>VLOOKUP(CS$7,'[6]Curve Summary'!$A$8:$AG$161,5)</f>
        <v>40.450000000000003</v>
      </c>
      <c r="CT11" s="169">
        <f>VLOOKUP(CT$7,'[6]Curve Summary'!$A$8:$AG$161,5)</f>
        <v>44.23</v>
      </c>
      <c r="CU11" s="169">
        <f>VLOOKUP(CU$7,'[6]Curve Summary'!$A$8:$AG$161,5)</f>
        <v>40.369999999999997</v>
      </c>
      <c r="CV11" s="169">
        <f>VLOOKUP(CV$7,'[6]Curve Summary'!$A$8:$AG$161,5)</f>
        <v>45.25</v>
      </c>
      <c r="CW11" s="169">
        <f>VLOOKUP(CW$7,'[6]Curve Summary'!$A$8:$AG$161,5)</f>
        <v>42.51</v>
      </c>
      <c r="CX11" s="169">
        <f>VLOOKUP(CX$7,'[6]Curve Summary'!$A$8:$AG$161,5)</f>
        <v>42.89</v>
      </c>
      <c r="CY11" s="169">
        <f>VLOOKUP(CY$7,'[6]Curve Summary'!$A$8:$AG$161,5)</f>
        <v>39.96</v>
      </c>
      <c r="CZ11" s="169">
        <f>VLOOKUP(CZ$7,'[6]Curve Summary'!$A$8:$AG$161,5)</f>
        <v>40.9</v>
      </c>
      <c r="DA11" s="169">
        <f>VLOOKUP(DA$7,'[6]Curve Summary'!$A$8:$AG$161,5)</f>
        <v>40.17</v>
      </c>
      <c r="DB11" s="169">
        <f>VLOOKUP(DB$7,'[6]Curve Summary'!$A$8:$AG$161,5)</f>
        <v>40.39</v>
      </c>
      <c r="DC11" s="169">
        <f>VLOOKUP(DC$7,'[6]Curve Summary'!$A$8:$AG$161,5)</f>
        <v>39.61</v>
      </c>
      <c r="DD11" s="169">
        <f>VLOOKUP(DD$7,'[6]Curve Summary'!$A$8:$AG$161,5)</f>
        <v>39.94</v>
      </c>
      <c r="DE11" s="169">
        <f>VLOOKUP(DE$7,'[6]Curve Summary'!$A$8:$AG$161,5)</f>
        <v>41.06</v>
      </c>
      <c r="DF11" s="169">
        <f>VLOOKUP(DF$7,'[6]Curve Summary'!$A$8:$AG$161,5)</f>
        <v>44.73</v>
      </c>
      <c r="DG11" s="169">
        <f>VLOOKUP(DG$7,'[6]Curve Summary'!$A$8:$AG$161,5)</f>
        <v>40.03</v>
      </c>
      <c r="DH11" s="169">
        <f>VLOOKUP(DH$7,'[6]Curve Summary'!$A$8:$AG$161,5)</f>
        <v>44.56</v>
      </c>
      <c r="DI11" s="169">
        <f>VLOOKUP(DI$7,'[6]Curve Summary'!$A$8:$AG$161,5)</f>
        <v>42.01</v>
      </c>
      <c r="DJ11" s="169">
        <f>VLOOKUP(DJ$7,'[6]Curve Summary'!$A$8:$AG$161,5)</f>
        <v>43.62</v>
      </c>
      <c r="DK11" s="169">
        <f>VLOOKUP(DK$7,'[6]Curve Summary'!$A$8:$AG$161,5)</f>
        <v>40.51</v>
      </c>
      <c r="DL11" s="169">
        <f>VLOOKUP(DL$7,'[6]Curve Summary'!$A$8:$AG$161,5)</f>
        <v>41.37</v>
      </c>
      <c r="DM11" s="169">
        <f>VLOOKUP(DM$7,'[6]Curve Summary'!$A$8:$AG$161,5)</f>
        <v>40.409999999999997</v>
      </c>
      <c r="DN11" s="169">
        <f>VLOOKUP(DN$7,'[6]Curve Summary'!$A$8:$AG$161,5)</f>
        <v>40.72</v>
      </c>
      <c r="DO11" s="169">
        <f>VLOOKUP(DO$7,'[6]Curve Summary'!$A$8:$AG$161,5)</f>
        <v>40.03</v>
      </c>
      <c r="DP11" s="169">
        <f>VLOOKUP(DP$7,'[6]Curve Summary'!$A$8:$AG$161,5)</f>
        <v>40.6</v>
      </c>
      <c r="DQ11" s="169">
        <f>VLOOKUP(DQ$7,'[6]Curve Summary'!$A$8:$AG$161,5)</f>
        <v>41.65</v>
      </c>
      <c r="DR11" s="169">
        <f>VLOOKUP(DR$7,'[6]Curve Summary'!$A$8:$AG$161,5)</f>
        <v>45.21</v>
      </c>
      <c r="DS11" s="169">
        <f>VLOOKUP(DS$7,'[6]Curve Summary'!$A$8:$AG$161,5)</f>
        <v>39.729999999999997</v>
      </c>
      <c r="DT11" s="169">
        <f>VLOOKUP(DT$7,'[6]Curve Summary'!$A$8:$AG$161,5)</f>
        <v>43.93</v>
      </c>
      <c r="DU11" s="169">
        <f>VLOOKUP(DU$7,'[6]Curve Summary'!$A$8:$AG$161,5)</f>
        <v>41.57</v>
      </c>
      <c r="DV11" s="169">
        <f>VLOOKUP(DV$7,'[6]Curve Summary'!$A$8:$AG$161,5)</f>
        <v>44.31</v>
      </c>
      <c r="DW11" s="169">
        <f>VLOOKUP(DW$7,'[6]Curve Summary'!$A$8:$AG$161,5)</f>
        <v>41.04</v>
      </c>
      <c r="DX11" s="169">
        <f>VLOOKUP(DX$7,'[6]Curve Summary'!$A$8:$AG$161,5)</f>
        <v>41.83</v>
      </c>
      <c r="DY11" s="169">
        <f>VLOOKUP(DY$7,'[6]Curve Summary'!$A$8:$AG$161,5)</f>
        <v>40.89</v>
      </c>
      <c r="DZ11" s="169">
        <f>VLOOKUP(DZ$7,'[6]Curve Summary'!$A$8:$AG$161,5)</f>
        <v>41.28</v>
      </c>
      <c r="EA11" s="169">
        <f>VLOOKUP(EA$7,'[6]Curve Summary'!$A$8:$AG$161,5)</f>
        <v>40.68</v>
      </c>
      <c r="EB11" s="169">
        <f>VLOOKUP(EB$7,'[6]Curve Summary'!$A$8:$AG$161,5)</f>
        <v>41.48</v>
      </c>
      <c r="EC11" s="169">
        <f>VLOOKUP(EC$7,'[6]Curve Summary'!$A$8:$AG$161,5)</f>
        <v>42.46</v>
      </c>
      <c r="ED11" s="169">
        <f>VLOOKUP(ED$7,'[6]Curve Summary'!$A$8:$AG$161,5)</f>
        <v>45.92</v>
      </c>
      <c r="EE11" s="169">
        <f>VLOOKUP(EE$7,'[6]Curve Summary'!$A$8:$AG$161,5)</f>
        <v>39.71</v>
      </c>
      <c r="EF11" s="169">
        <f>VLOOKUP(EF$7,'[6]Curve Summary'!$A$8:$AG$161,5)</f>
        <v>43.62</v>
      </c>
      <c r="EG11" s="169">
        <f>VLOOKUP(EG$7,'[6]Curve Summary'!$A$8:$AG$161,5)</f>
        <v>41.42</v>
      </c>
      <c r="EH11" s="169">
        <f>VLOOKUP(EH$7,'[6]Curve Summary'!$A$8:$AG$161,5)</f>
        <v>45.22</v>
      </c>
      <c r="EI11" s="169">
        <f>VLOOKUP(EI$7,'[6]Curve Summary'!$A$8:$AG$161,5)</f>
        <v>41.8</v>
      </c>
      <c r="EJ11" s="169">
        <f>VLOOKUP(EJ$7,'[6]Curve Summary'!$A$8:$AG$161,5)</f>
        <v>42.52</v>
      </c>
    </row>
    <row r="12" spans="1:140" ht="13.7" customHeight="1" x14ac:dyDescent="0.2">
      <c r="A12" s="165" t="s">
        <v>140</v>
      </c>
      <c r="B12" s="142"/>
      <c r="C12" s="132">
        <f>'[6]Power Desk Daily Price'!$AC12</f>
        <v>27.746875047683716</v>
      </c>
      <c r="D12" s="132">
        <f ca="1">IF(ISERROR((AVERAGE(OFFSET('[6]Curve Summary'!$I$6,25,0,3,1))*3+ 22* '[6]Curve Summary Backup'!$I$38)/25), '[6]Curve Summary Backup'!$I$38,(AVERAGE(OFFSET('[6]Curve Summary'!$I$6,25,0,3,1))*3+ 22* '[6]Curve Summary Backup'!$I$38)/25)</f>
        <v>26.1</v>
      </c>
      <c r="E12" s="132">
        <f>VLOOKUP(E$7,'[6]Curve Summary'!$A$7:$AG$55,9)</f>
        <v>29.8</v>
      </c>
      <c r="F12" s="167">
        <f t="shared" ca="1" si="0"/>
        <v>27.853073786125808</v>
      </c>
      <c r="G12" s="132">
        <f t="shared" si="1"/>
        <v>31.25</v>
      </c>
      <c r="H12" s="132">
        <f t="shared" si="2"/>
        <v>31.25</v>
      </c>
      <c r="I12" s="132">
        <f t="shared" si="2"/>
        <v>31.25</v>
      </c>
      <c r="J12" s="132">
        <f t="shared" si="3"/>
        <v>30</v>
      </c>
      <c r="K12" s="132">
        <f t="shared" si="4"/>
        <v>30.5</v>
      </c>
      <c r="L12" s="132">
        <f t="shared" si="4"/>
        <v>29.5</v>
      </c>
      <c r="M12" s="132">
        <f t="shared" si="4"/>
        <v>29.5</v>
      </c>
      <c r="N12" s="132">
        <f t="shared" si="4"/>
        <v>36.25</v>
      </c>
      <c r="O12" s="132">
        <f t="shared" si="5"/>
        <v>47.5</v>
      </c>
      <c r="P12" s="132">
        <f t="shared" si="6"/>
        <v>44</v>
      </c>
      <c r="Q12" s="132">
        <f t="shared" si="6"/>
        <v>51</v>
      </c>
      <c r="R12" s="132">
        <f t="shared" si="6"/>
        <v>39.25</v>
      </c>
      <c r="S12" s="132">
        <f t="shared" si="7"/>
        <v>35.5</v>
      </c>
      <c r="T12" s="132">
        <f t="shared" si="8"/>
        <v>35.25</v>
      </c>
      <c r="U12" s="132">
        <f t="shared" si="8"/>
        <v>34.5</v>
      </c>
      <c r="V12" s="132">
        <f t="shared" si="8"/>
        <v>36.75</v>
      </c>
      <c r="W12" s="167">
        <f t="shared" si="12"/>
        <v>35.778431372549022</v>
      </c>
      <c r="X12" s="132">
        <f t="shared" si="13"/>
        <v>29.185294117647057</v>
      </c>
      <c r="Y12" s="132">
        <f t="shared" si="14"/>
        <v>26.232382550335572</v>
      </c>
      <c r="Z12" s="132">
        <f t="shared" si="15"/>
        <v>24.350980392156863</v>
      </c>
      <c r="AA12" s="132">
        <f t="shared" si="9"/>
        <v>34.364607843137264</v>
      </c>
      <c r="AB12" s="133">
        <f t="shared" si="10"/>
        <v>38.744726562499999</v>
      </c>
      <c r="AC12" s="168">
        <f t="shared" ca="1" si="11"/>
        <v>32.41578529078155</v>
      </c>
      <c r="AD12" s="163"/>
      <c r="AE12" s="163"/>
      <c r="AF12" s="164"/>
      <c r="AG12" s="169">
        <f>VLOOKUP(AG$7,'[6]Curve Summary'!$A$8:$AG$161,9)</f>
        <v>31.25</v>
      </c>
      <c r="AH12" s="169">
        <f>VLOOKUP(AH$7,'[6]Curve Summary'!$A$8:$AG$161,9)</f>
        <v>31.25</v>
      </c>
      <c r="AI12" s="169">
        <f>VLOOKUP(AI$7,'[6]Curve Summary'!$A$8:$AG$161,9)</f>
        <v>30.5</v>
      </c>
      <c r="AJ12" s="169">
        <f>VLOOKUP(AJ$7,'[6]Curve Summary'!$A$8:$AG$161,9)</f>
        <v>29.5</v>
      </c>
      <c r="AK12" s="169">
        <f>VLOOKUP(AK$7,'[6]Curve Summary'!$A$8:$AG$161,9)</f>
        <v>29.5</v>
      </c>
      <c r="AL12" s="169">
        <f>VLOOKUP(AL$7,'[6]Curve Summary'!$A$8:$AG$161,9)</f>
        <v>36.25</v>
      </c>
      <c r="AM12" s="169">
        <f>VLOOKUP(AM$7,'[6]Curve Summary'!$A$8:$AG$161,9)</f>
        <v>44</v>
      </c>
      <c r="AN12" s="169">
        <f>VLOOKUP(AN$7,'[6]Curve Summary'!$A$8:$AG$161,9)</f>
        <v>51</v>
      </c>
      <c r="AO12" s="169">
        <f>VLOOKUP(AO$7,'[6]Curve Summary'!$A$8:$AG$161,9)</f>
        <v>39.25</v>
      </c>
      <c r="AP12" s="169">
        <f>VLOOKUP(AP$7,'[6]Curve Summary'!$A$8:$AG$161,9)</f>
        <v>35.25</v>
      </c>
      <c r="AQ12" s="169">
        <f>VLOOKUP(AQ$7,'[6]Curve Summary'!$A$8:$AG$161,9)</f>
        <v>34.5</v>
      </c>
      <c r="AR12" s="169">
        <f>VLOOKUP(AR$7,'[6]Curve Summary'!$A$8:$AG$161,9)</f>
        <v>36.75</v>
      </c>
      <c r="AS12" s="169">
        <f>VLOOKUP(AS$7,'[6]Curve Summary'!$A$8:$AG$161,9)</f>
        <v>27.5</v>
      </c>
      <c r="AT12" s="169">
        <f>VLOOKUP(AT$7,'[6]Curve Summary'!$A$8:$AG$161,9)</f>
        <v>26.5</v>
      </c>
      <c r="AU12" s="169">
        <f>VLOOKUP(AU$7,'[6]Curve Summary'!$A$8:$AG$161,9)</f>
        <v>24</v>
      </c>
      <c r="AV12" s="169">
        <f>VLOOKUP(AV$7,'[6]Curve Summary'!$A$8:$AG$161,9)</f>
        <v>22.25</v>
      </c>
      <c r="AW12" s="169">
        <f>VLOOKUP(AW$7,'[6]Curve Summary'!$A$8:$AG$161,9)</f>
        <v>23.25</v>
      </c>
      <c r="AX12" s="169">
        <f>VLOOKUP(AX$7,'[6]Curve Summary'!$A$8:$AG$161,9)</f>
        <v>27.25</v>
      </c>
      <c r="AY12" s="169">
        <f>VLOOKUP(AY$7,'[6]Curve Summary'!$A$8:$AG$161,9)</f>
        <v>37.5</v>
      </c>
      <c r="AZ12" s="169">
        <f>VLOOKUP(AZ$7,'[6]Curve Summary'!$A$8:$AG$161,9)</f>
        <v>46.25</v>
      </c>
      <c r="BA12" s="169">
        <f>VLOOKUP(BA$7,'[6]Curve Summary'!$A$8:$AG$161,9)</f>
        <v>36.5</v>
      </c>
      <c r="BB12" s="169">
        <f>VLOOKUP(BB$7,'[6]Curve Summary'!$A$8:$AG$161,9)</f>
        <v>26</v>
      </c>
      <c r="BC12" s="169">
        <f>VLOOKUP(BC$7,'[6]Curve Summary'!$A$8:$AG$161,9)</f>
        <v>24.5</v>
      </c>
      <c r="BD12" s="169">
        <f>VLOOKUP(BD$7,'[6]Curve Summary'!$A$8:$AG$161,9)</f>
        <v>28.5</v>
      </c>
      <c r="BE12" s="169">
        <f>VLOOKUP(BE$7,'[6]Curve Summary'!$A$8:$AG$161,9)</f>
        <v>18.25</v>
      </c>
      <c r="BF12" s="169">
        <f>VLOOKUP(BF$7,'[6]Curve Summary'!$A$8:$AG$161,9)</f>
        <v>20.5</v>
      </c>
      <c r="BG12" s="169">
        <f>VLOOKUP(BG$7,'[6]Curve Summary'!$A$8:$AG$161,9)</f>
        <v>17.5</v>
      </c>
      <c r="BH12" s="169">
        <f>VLOOKUP(BH$7,'[6]Curve Summary'!$A$8:$AG$161,9)</f>
        <v>25.25</v>
      </c>
      <c r="BI12" s="169">
        <f>VLOOKUP(BI$7,'[6]Curve Summary'!$A$8:$AG$161,9)</f>
        <v>25.25</v>
      </c>
      <c r="BJ12" s="169">
        <f>VLOOKUP(BJ$7,'[6]Curve Summary'!$A$8:$AG$161,9)</f>
        <v>31.25</v>
      </c>
      <c r="BK12" s="169">
        <f>VLOOKUP(BK$7,'[6]Curve Summary'!$A$8:$AG$161,9)</f>
        <v>35.25</v>
      </c>
      <c r="BL12" s="169">
        <f>VLOOKUP(BL$7,'[6]Curve Summary'!$A$8:$AG$161,9)</f>
        <v>44.25</v>
      </c>
      <c r="BM12" s="169">
        <f>VLOOKUP(BM$7,'[6]Curve Summary'!$A$8:$AG$161,9)</f>
        <v>28.25</v>
      </c>
      <c r="BN12" s="169">
        <f>VLOOKUP(BN$7,'[6]Curve Summary'!$A$8:$AG$161,9)</f>
        <v>28.5</v>
      </c>
      <c r="BO12" s="169">
        <f>VLOOKUP(BO$7,'[6]Curve Summary'!$A$8:$AG$161,9)</f>
        <v>25</v>
      </c>
      <c r="BP12" s="169">
        <f>VLOOKUP(BP$7,'[6]Curve Summary'!$A$8:$AG$161,9)</f>
        <v>28.25</v>
      </c>
      <c r="BQ12" s="169">
        <f>VLOOKUP(BQ$7,'[6]Curve Summary'!$A$8:$AG$161,9)</f>
        <v>18.25</v>
      </c>
      <c r="BR12" s="169">
        <f>VLOOKUP(BR$7,'[6]Curve Summary'!$A$8:$AG$161,9)</f>
        <v>20.5</v>
      </c>
      <c r="BS12" s="169">
        <f>VLOOKUP(BS$7,'[6]Curve Summary'!$A$8:$AG$161,9)</f>
        <v>17.5</v>
      </c>
      <c r="BT12" s="169">
        <f>VLOOKUP(BT$7,'[6]Curve Summary'!$A$8:$AG$161,9)</f>
        <v>24.25</v>
      </c>
      <c r="BU12" s="169">
        <f>VLOOKUP(BU$7,'[6]Curve Summary'!$A$8:$AG$161,9)</f>
        <v>24.25</v>
      </c>
      <c r="BV12" s="169">
        <f>VLOOKUP(BV$7,'[6]Curve Summary'!$A$8:$AG$161,9)</f>
        <v>29.25</v>
      </c>
      <c r="BW12" s="169">
        <f>VLOOKUP(BW$7,'[6]Curve Summary'!$A$8:$AG$161,9)</f>
        <v>26.25</v>
      </c>
      <c r="BX12" s="169">
        <f>VLOOKUP(BX$7,'[6]Curve Summary'!$A$8:$AG$161,9)</f>
        <v>35.25</v>
      </c>
      <c r="BY12" s="169">
        <f>VLOOKUP(BY$7,'[6]Curve Summary'!$A$8:$AG$161,9)</f>
        <v>22.25</v>
      </c>
      <c r="BZ12" s="169">
        <f>VLOOKUP(BZ$7,'[6]Curve Summary'!$A$8:$AG$161,9)</f>
        <v>25.5</v>
      </c>
      <c r="CA12" s="169">
        <f>VLOOKUP(CA$7,'[6]Curve Summary'!$A$8:$AG$161,9)</f>
        <v>22.5</v>
      </c>
      <c r="CB12" s="169">
        <f>VLOOKUP(CB$7,'[6]Curve Summary'!$A$8:$AG$161,9)</f>
        <v>25.75</v>
      </c>
      <c r="CC12" s="169">
        <f>VLOOKUP(CC$7,'[6]Curve Summary'!$A$8:$AG$161,9)</f>
        <v>18.5</v>
      </c>
      <c r="CD12" s="169">
        <f>VLOOKUP(CD$7,'[6]Curve Summary'!$A$8:$AG$161,9)</f>
        <v>20.75</v>
      </c>
      <c r="CE12" s="169">
        <f>VLOOKUP(CE$7,'[6]Curve Summary'!$A$8:$AG$161,9)</f>
        <v>17.75</v>
      </c>
      <c r="CF12" s="169">
        <f>VLOOKUP(CF$7,'[6]Curve Summary'!$A$8:$AG$161,9)</f>
        <v>24.5</v>
      </c>
      <c r="CG12" s="169">
        <f>VLOOKUP(CG$7,'[6]Curve Summary'!$A$8:$AG$161,9)</f>
        <v>24.5</v>
      </c>
      <c r="CH12" s="169">
        <f>VLOOKUP(CH$7,'[6]Curve Summary'!$A$8:$AG$161,9)</f>
        <v>29.5</v>
      </c>
      <c r="CI12" s="169">
        <f>VLOOKUP(CI$7,'[6]Curve Summary'!$A$8:$AG$161,9)</f>
        <v>26.5</v>
      </c>
      <c r="CJ12" s="169">
        <f>VLOOKUP(CJ$7,'[6]Curve Summary'!$A$8:$AG$161,9)</f>
        <v>35.5</v>
      </c>
      <c r="CK12" s="169">
        <f>VLOOKUP(CK$7,'[6]Curve Summary'!$A$8:$AG$161,9)</f>
        <v>22.5</v>
      </c>
      <c r="CL12" s="169">
        <f>VLOOKUP(CL$7,'[6]Curve Summary'!$A$8:$AG$161,9)</f>
        <v>25.75</v>
      </c>
      <c r="CM12" s="169">
        <f>VLOOKUP(CM$7,'[6]Curve Summary'!$A$8:$AG$161,9)</f>
        <v>22.75</v>
      </c>
      <c r="CN12" s="169">
        <f>VLOOKUP(CN$7,'[6]Curve Summary'!$A$8:$AG$161,9)</f>
        <v>26</v>
      </c>
      <c r="CO12" s="169">
        <f>VLOOKUP(CO$7,'[6]Curve Summary'!$A$8:$AG$161,9)</f>
        <v>27.85</v>
      </c>
      <c r="CP12" s="169">
        <f>VLOOKUP(CP$7,'[6]Curve Summary'!$A$8:$AG$161,9)</f>
        <v>30.1</v>
      </c>
      <c r="CQ12" s="169">
        <f>VLOOKUP(CQ$7,'[6]Curve Summary'!$A$8:$AG$161,9)</f>
        <v>27.1</v>
      </c>
      <c r="CR12" s="169">
        <f>VLOOKUP(CR$7,'[6]Curve Summary'!$A$8:$AG$161,9)</f>
        <v>33.85</v>
      </c>
      <c r="CS12" s="169">
        <f>VLOOKUP(CS$7,'[6]Curve Summary'!$A$8:$AG$161,9)</f>
        <v>33.85</v>
      </c>
      <c r="CT12" s="169">
        <f>VLOOKUP(CT$7,'[6]Curve Summary'!$A$8:$AG$161,9)</f>
        <v>39.85</v>
      </c>
      <c r="CU12" s="169">
        <f>VLOOKUP(CU$7,'[6]Curve Summary'!$A$8:$AG$161,9)</f>
        <v>46.85</v>
      </c>
      <c r="CV12" s="169">
        <f>VLOOKUP(CV$7,'[6]Curve Summary'!$A$8:$AG$161,9)</f>
        <v>55.85</v>
      </c>
      <c r="CW12" s="169">
        <f>VLOOKUP(CW$7,'[6]Curve Summary'!$A$8:$AG$161,9)</f>
        <v>38.85</v>
      </c>
      <c r="CX12" s="169">
        <f>VLOOKUP(CX$7,'[6]Curve Summary'!$A$8:$AG$161,9)</f>
        <v>38.1</v>
      </c>
      <c r="CY12" s="169">
        <f>VLOOKUP(CY$7,'[6]Curve Summary'!$A$8:$AG$161,9)</f>
        <v>35.1</v>
      </c>
      <c r="CZ12" s="169">
        <f>VLOOKUP(CZ$7,'[6]Curve Summary'!$A$8:$AG$161,9)</f>
        <v>38.35</v>
      </c>
      <c r="DA12" s="169">
        <f>VLOOKUP(DA$7,'[6]Curve Summary'!$A$8:$AG$161,9)</f>
        <v>28.2</v>
      </c>
      <c r="DB12" s="169">
        <f>VLOOKUP(DB$7,'[6]Curve Summary'!$A$8:$AG$161,9)</f>
        <v>30.45</v>
      </c>
      <c r="DC12" s="169">
        <f>VLOOKUP(DC$7,'[6]Curve Summary'!$A$8:$AG$161,9)</f>
        <v>27.45</v>
      </c>
      <c r="DD12" s="169">
        <f>VLOOKUP(DD$7,'[6]Curve Summary'!$A$8:$AG$161,9)</f>
        <v>34.200000000000003</v>
      </c>
      <c r="DE12" s="169">
        <f>VLOOKUP(DE$7,'[6]Curve Summary'!$A$8:$AG$161,9)</f>
        <v>34.200000000000003</v>
      </c>
      <c r="DF12" s="169">
        <f>VLOOKUP(DF$7,'[6]Curve Summary'!$A$8:$AG$161,9)</f>
        <v>40.200000000000003</v>
      </c>
      <c r="DG12" s="169">
        <f>VLOOKUP(DG$7,'[6]Curve Summary'!$A$8:$AG$161,9)</f>
        <v>47.2</v>
      </c>
      <c r="DH12" s="169">
        <f>VLOOKUP(DH$7,'[6]Curve Summary'!$A$8:$AG$161,9)</f>
        <v>56.2</v>
      </c>
      <c r="DI12" s="169">
        <f>VLOOKUP(DI$7,'[6]Curve Summary'!$A$8:$AG$161,9)</f>
        <v>39.200000000000003</v>
      </c>
      <c r="DJ12" s="169">
        <f>VLOOKUP(DJ$7,'[6]Curve Summary'!$A$8:$AG$161,9)</f>
        <v>38.450000000000003</v>
      </c>
      <c r="DK12" s="169">
        <f>VLOOKUP(DK$7,'[6]Curve Summary'!$A$8:$AG$161,9)</f>
        <v>35.450000000000003</v>
      </c>
      <c r="DL12" s="169">
        <f>VLOOKUP(DL$7,'[6]Curve Summary'!$A$8:$AG$161,9)</f>
        <v>38.700000000000003</v>
      </c>
      <c r="DM12" s="169">
        <f>VLOOKUP(DM$7,'[6]Curve Summary'!$A$8:$AG$161,9)</f>
        <v>28.7</v>
      </c>
      <c r="DN12" s="169">
        <f>VLOOKUP(DN$7,'[6]Curve Summary'!$A$8:$AG$161,9)</f>
        <v>30.95</v>
      </c>
      <c r="DO12" s="169">
        <f>VLOOKUP(DO$7,'[6]Curve Summary'!$A$8:$AG$161,9)</f>
        <v>27.95</v>
      </c>
      <c r="DP12" s="169">
        <f>VLOOKUP(DP$7,'[6]Curve Summary'!$A$8:$AG$161,9)</f>
        <v>34.75</v>
      </c>
      <c r="DQ12" s="169">
        <f>VLOOKUP(DQ$7,'[6]Curve Summary'!$A$8:$AG$161,9)</f>
        <v>34.75</v>
      </c>
      <c r="DR12" s="169">
        <f>VLOOKUP(DR$7,'[6]Curve Summary'!$A$8:$AG$161,9)</f>
        <v>40.75</v>
      </c>
      <c r="DS12" s="169">
        <f>VLOOKUP(DS$7,'[6]Curve Summary'!$A$8:$AG$161,9)</f>
        <v>47.75</v>
      </c>
      <c r="DT12" s="169">
        <f>VLOOKUP(DT$7,'[6]Curve Summary'!$A$8:$AG$161,9)</f>
        <v>56.75</v>
      </c>
      <c r="DU12" s="169">
        <f>VLOOKUP(DU$7,'[6]Curve Summary'!$A$8:$AG$161,9)</f>
        <v>39.700000000000003</v>
      </c>
      <c r="DV12" s="169">
        <f>VLOOKUP(DV$7,'[6]Curve Summary'!$A$8:$AG$161,9)</f>
        <v>39</v>
      </c>
      <c r="DW12" s="169">
        <f>VLOOKUP(DW$7,'[6]Curve Summary'!$A$8:$AG$161,9)</f>
        <v>36</v>
      </c>
      <c r="DX12" s="169">
        <f>VLOOKUP(DX$7,'[6]Curve Summary'!$A$8:$AG$161,9)</f>
        <v>39.200000000000003</v>
      </c>
      <c r="DY12" s="169">
        <f>VLOOKUP(DY$7,'[6]Curve Summary'!$A$8:$AG$161,9)</f>
        <v>29.2</v>
      </c>
      <c r="DZ12" s="169">
        <f>VLOOKUP(DZ$7,'[6]Curve Summary'!$A$8:$AG$161,9)</f>
        <v>31.45</v>
      </c>
      <c r="EA12" s="169">
        <f>VLOOKUP(EA$7,'[6]Curve Summary'!$A$8:$AG$161,9)</f>
        <v>28.45</v>
      </c>
      <c r="EB12" s="169">
        <f>VLOOKUP(EB$7,'[6]Curve Summary'!$A$8:$AG$161,9)</f>
        <v>35.5</v>
      </c>
      <c r="EC12" s="169">
        <f>VLOOKUP(EC$7,'[6]Curve Summary'!$A$8:$AG$161,9)</f>
        <v>35.5</v>
      </c>
      <c r="ED12" s="169">
        <f>VLOOKUP(ED$7,'[6]Curve Summary'!$A$8:$AG$161,9)</f>
        <v>41.5</v>
      </c>
      <c r="EE12" s="169">
        <f>VLOOKUP(EE$7,'[6]Curve Summary'!$A$8:$AG$161,9)</f>
        <v>48.5</v>
      </c>
      <c r="EF12" s="169">
        <f>VLOOKUP(EF$7,'[6]Curve Summary'!$A$8:$AG$161,9)</f>
        <v>57.5</v>
      </c>
      <c r="EG12" s="169">
        <f>VLOOKUP(EG$7,'[6]Curve Summary'!$A$8:$AG$161,9)</f>
        <v>40.200000000000003</v>
      </c>
      <c r="EH12" s="169">
        <f>VLOOKUP(EH$7,'[6]Curve Summary'!$A$8:$AG$161,9)</f>
        <v>39.75</v>
      </c>
      <c r="EI12" s="169">
        <f>VLOOKUP(EI$7,'[6]Curve Summary'!$A$8:$AG$161,9)</f>
        <v>36.75</v>
      </c>
      <c r="EJ12" s="169">
        <f>VLOOKUP(EJ$7,'[6]Curve Summary'!$A$8:$AG$161,9)</f>
        <v>39.700000000000003</v>
      </c>
    </row>
    <row r="13" spans="1:140" ht="13.7" customHeight="1" x14ac:dyDescent="0.2">
      <c r="A13" s="165" t="s">
        <v>141</v>
      </c>
      <c r="B13" s="166" t="s">
        <v>170</v>
      </c>
      <c r="C13" s="132">
        <f>'[6]Power Desk Daily Price'!$AC13</f>
        <v>24.737500000000001</v>
      </c>
      <c r="D13" s="132">
        <f ca="1">IF(ISERROR((AVERAGE(OFFSET('[6]Curve Summary'!$F$6,25,0,3,1))*3+ 22* '[6]Curve Summary Backup'!$F$38)/25), '[6]Curve Summary Backup'!$F$38,(AVERAGE(OFFSET('[6]Curve Summary'!$F$6,25,0,3,1))*3+ 22* '[6]Curve Summary Backup'!$F$38)/25)</f>
        <v>26.1</v>
      </c>
      <c r="E13" s="132">
        <f>VLOOKUP(E$7,'[6]Curve Summary'!$A$7:$AG$59,6)</f>
        <v>29.8</v>
      </c>
      <c r="F13" s="167">
        <f t="shared" ca="1" si="0"/>
        <v>26.86639344262295</v>
      </c>
      <c r="G13" s="132">
        <f t="shared" si="1"/>
        <v>31.25</v>
      </c>
      <c r="H13" s="132">
        <f t="shared" si="2"/>
        <v>31.25</v>
      </c>
      <c r="I13" s="132">
        <f t="shared" si="2"/>
        <v>31.25</v>
      </c>
      <c r="J13" s="132">
        <f t="shared" si="3"/>
        <v>30</v>
      </c>
      <c r="K13" s="132">
        <f t="shared" si="4"/>
        <v>30.5</v>
      </c>
      <c r="L13" s="132">
        <f t="shared" si="4"/>
        <v>29.5</v>
      </c>
      <c r="M13" s="132">
        <f t="shared" si="4"/>
        <v>32.75</v>
      </c>
      <c r="N13" s="132">
        <f t="shared" si="4"/>
        <v>37.5</v>
      </c>
      <c r="O13" s="132">
        <f t="shared" si="5"/>
        <v>49.75</v>
      </c>
      <c r="P13" s="132">
        <f t="shared" si="6"/>
        <v>46.75</v>
      </c>
      <c r="Q13" s="132">
        <f t="shared" si="6"/>
        <v>52.75</v>
      </c>
      <c r="R13" s="132">
        <f t="shared" si="6"/>
        <v>39.25</v>
      </c>
      <c r="S13" s="132">
        <f t="shared" si="7"/>
        <v>35.5</v>
      </c>
      <c r="T13" s="132">
        <f t="shared" si="8"/>
        <v>35.25</v>
      </c>
      <c r="U13" s="132">
        <f t="shared" si="8"/>
        <v>34.5</v>
      </c>
      <c r="V13" s="132">
        <f t="shared" si="8"/>
        <v>36.75</v>
      </c>
      <c r="W13" s="167">
        <f t="shared" si="12"/>
        <v>36.545098039215688</v>
      </c>
      <c r="X13" s="132">
        <f t="shared" si="13"/>
        <v>40.533333333333331</v>
      </c>
      <c r="Y13" s="132">
        <f t="shared" si="14"/>
        <v>40.629530201342291</v>
      </c>
      <c r="Z13" s="132">
        <f t="shared" si="15"/>
        <v>41.058823529411775</v>
      </c>
      <c r="AA13" s="132">
        <f t="shared" si="9"/>
        <v>41.678392156862749</v>
      </c>
      <c r="AB13" s="133">
        <f t="shared" si="10"/>
        <v>42.317187499999996</v>
      </c>
      <c r="AC13" s="168">
        <f t="shared" ca="1" si="11"/>
        <v>40.524866468842745</v>
      </c>
      <c r="AD13" s="163"/>
      <c r="AE13" s="163"/>
      <c r="AF13" s="164"/>
      <c r="AG13" s="169">
        <f>VLOOKUP(AG$7,'[6]Curve Summary'!$A$9:$AG$161,6)</f>
        <v>31.25</v>
      </c>
      <c r="AH13" s="169">
        <f>VLOOKUP(AH$7,'[6]Curve Summary'!$A$9:$AG$161,6)</f>
        <v>31.25</v>
      </c>
      <c r="AI13" s="169">
        <f>VLOOKUP(AI$7,'[6]Curve Summary'!$A$9:$AG$161,6)</f>
        <v>30.5</v>
      </c>
      <c r="AJ13" s="169">
        <f>VLOOKUP(AJ$7,'[6]Curve Summary'!$A$9:$AG$161,6)</f>
        <v>29.5</v>
      </c>
      <c r="AK13" s="169">
        <f>VLOOKUP(AK$7,'[6]Curve Summary'!$A$9:$AG$161,6)</f>
        <v>32.75</v>
      </c>
      <c r="AL13" s="169">
        <f>VLOOKUP(AL$7,'[6]Curve Summary'!$A$9:$AG$161,6)</f>
        <v>37.5</v>
      </c>
      <c r="AM13" s="169">
        <f>VLOOKUP(AM$7,'[6]Curve Summary'!$A$9:$AG$161,6)</f>
        <v>46.75</v>
      </c>
      <c r="AN13" s="169">
        <f>VLOOKUP(AN$7,'[6]Curve Summary'!$A$9:$AG$161,6)</f>
        <v>52.75</v>
      </c>
      <c r="AO13" s="169">
        <f>VLOOKUP(AO$7,'[6]Curve Summary'!$A$9:$AG$161,6)</f>
        <v>39.25</v>
      </c>
      <c r="AP13" s="169">
        <f>VLOOKUP(AP$7,'[6]Curve Summary'!$A$9:$AG$161,6)</f>
        <v>35.25</v>
      </c>
      <c r="AQ13" s="169">
        <f>VLOOKUP(AQ$7,'[6]Curve Summary'!$A$9:$AG$161,6)</f>
        <v>34.5</v>
      </c>
      <c r="AR13" s="169">
        <f>VLOOKUP(AR$7,'[6]Curve Summary'!$A$9:$AG$161,6)</f>
        <v>36.75</v>
      </c>
      <c r="AS13" s="169">
        <f>VLOOKUP(AS$7,'[6]Curve Summary'!$A$9:$AG$161,6)</f>
        <v>37.5</v>
      </c>
      <c r="AT13" s="169">
        <f>VLOOKUP(AT$7,'[6]Curve Summary'!$A$9:$AG$161,6)</f>
        <v>36.5</v>
      </c>
      <c r="AU13" s="169">
        <f>VLOOKUP(AU$7,'[6]Curve Summary'!$A$9:$AG$161,6)</f>
        <v>34</v>
      </c>
      <c r="AV13" s="169">
        <f>VLOOKUP(AV$7,'[6]Curve Summary'!$A$9:$AG$161,6)</f>
        <v>33.5</v>
      </c>
      <c r="AW13" s="169">
        <f>VLOOKUP(AW$7,'[6]Curve Summary'!$A$9:$AG$161,6)</f>
        <v>34.25</v>
      </c>
      <c r="AX13" s="169">
        <f>VLOOKUP(AX$7,'[6]Curve Summary'!$A$9:$AG$161,6)</f>
        <v>43.25</v>
      </c>
      <c r="AY13" s="169">
        <f>VLOOKUP(AY$7,'[6]Curve Summary'!$A$9:$AG$161,6)</f>
        <v>53.5</v>
      </c>
      <c r="AZ13" s="169">
        <f>VLOOKUP(AZ$7,'[6]Curve Summary'!$A$9:$AG$161,6)</f>
        <v>57.5</v>
      </c>
      <c r="BA13" s="169">
        <f>VLOOKUP(BA$7,'[6]Curve Summary'!$A$9:$AG$161,6)</f>
        <v>46.5</v>
      </c>
      <c r="BB13" s="169">
        <f>VLOOKUP(BB$7,'[6]Curve Summary'!$A$9:$AG$161,6)</f>
        <v>36</v>
      </c>
      <c r="BC13" s="169">
        <f>VLOOKUP(BC$7,'[6]Curve Summary'!$A$9:$AG$161,6)</f>
        <v>34.5</v>
      </c>
      <c r="BD13" s="169">
        <f>VLOOKUP(BD$7,'[6]Curve Summary'!$A$9:$AG$161,6)</f>
        <v>39</v>
      </c>
      <c r="BE13" s="169">
        <f>VLOOKUP(BE$7,'[6]Curve Summary'!$A$9:$AG$161,6)</f>
        <v>39.700000000000003</v>
      </c>
      <c r="BF13" s="169">
        <f>VLOOKUP(BF$7,'[6]Curve Summary'!$A$9:$AG$161,6)</f>
        <v>37.700000000000003</v>
      </c>
      <c r="BG13" s="169">
        <f>VLOOKUP(BG$7,'[6]Curve Summary'!$A$9:$AG$161,6)</f>
        <v>35.450000000000003</v>
      </c>
      <c r="BH13" s="169">
        <f>VLOOKUP(BH$7,'[6]Curve Summary'!$A$9:$AG$161,6)</f>
        <v>34.700000000000003</v>
      </c>
      <c r="BI13" s="169">
        <f>VLOOKUP(BI$7,'[6]Curve Summary'!$A$9:$AG$161,6)</f>
        <v>35.450000000000003</v>
      </c>
      <c r="BJ13" s="169">
        <f>VLOOKUP(BJ$7,'[6]Curve Summary'!$A$9:$AG$161,6)</f>
        <v>43.95</v>
      </c>
      <c r="BK13" s="169">
        <f>VLOOKUP(BK$7,'[6]Curve Summary'!$A$9:$AG$161,6)</f>
        <v>49.95</v>
      </c>
      <c r="BL13" s="169">
        <f>VLOOKUP(BL$7,'[6]Curve Summary'!$A$9:$AG$161,6)</f>
        <v>52.45</v>
      </c>
      <c r="BM13" s="169">
        <f>VLOOKUP(BM$7,'[6]Curve Summary'!$A$9:$AG$161,6)</f>
        <v>43.45</v>
      </c>
      <c r="BN13" s="169">
        <f>VLOOKUP(BN$7,'[6]Curve Summary'!$A$9:$AG$161,6)</f>
        <v>37.700000000000003</v>
      </c>
      <c r="BO13" s="169">
        <f>VLOOKUP(BO$7,'[6]Curve Summary'!$A$9:$AG$161,6)</f>
        <v>37.450000000000003</v>
      </c>
      <c r="BP13" s="169">
        <f>VLOOKUP(BP$7,'[6]Curve Summary'!$A$9:$AG$161,6)</f>
        <v>41.45</v>
      </c>
      <c r="BQ13" s="169">
        <f>VLOOKUP(BQ$7,'[6]Curve Summary'!$A$9:$AG$161,6)</f>
        <v>40.450000000000003</v>
      </c>
      <c r="BR13" s="169">
        <f>VLOOKUP(BR$7,'[6]Curve Summary'!$A$9:$AG$161,6)</f>
        <v>38.450000000000003</v>
      </c>
      <c r="BS13" s="169">
        <f>VLOOKUP(BS$7,'[6]Curve Summary'!$A$9:$AG$161,6)</f>
        <v>36.450000000000003</v>
      </c>
      <c r="BT13" s="169">
        <f>VLOOKUP(BT$7,'[6]Curve Summary'!$A$9:$AG$161,6)</f>
        <v>36.200000000000003</v>
      </c>
      <c r="BU13" s="169">
        <f>VLOOKUP(BU$7,'[6]Curve Summary'!$A$9:$AG$161,6)</f>
        <v>36.700000000000003</v>
      </c>
      <c r="BV13" s="169">
        <f>VLOOKUP(BV$7,'[6]Curve Summary'!$A$9:$AG$161,6)</f>
        <v>44.2</v>
      </c>
      <c r="BW13" s="169">
        <f>VLOOKUP(BW$7,'[6]Curve Summary'!$A$9:$AG$161,6)</f>
        <v>47.95</v>
      </c>
      <c r="BX13" s="169">
        <f>VLOOKUP(BX$7,'[6]Curve Summary'!$A$9:$AG$161,6)</f>
        <v>49.45</v>
      </c>
      <c r="BY13" s="169">
        <f>VLOOKUP(BY$7,'[6]Curve Summary'!$A$9:$AG$161,6)</f>
        <v>41.95</v>
      </c>
      <c r="BZ13" s="169">
        <f>VLOOKUP(BZ$7,'[6]Curve Summary'!$A$9:$AG$161,6)</f>
        <v>39.200000000000003</v>
      </c>
      <c r="CA13" s="169">
        <f>VLOOKUP(CA$7,'[6]Curve Summary'!$A$9:$AG$161,6)</f>
        <v>38.700000000000003</v>
      </c>
      <c r="CB13" s="169">
        <f>VLOOKUP(CB$7,'[6]Curve Summary'!$A$9:$AG$161,6)</f>
        <v>42.7</v>
      </c>
      <c r="CC13" s="169">
        <f>VLOOKUP(CC$7,'[6]Curve Summary'!$A$9:$AG$161,6)</f>
        <v>40.950000000000003</v>
      </c>
      <c r="CD13" s="169">
        <f>VLOOKUP(CD$7,'[6]Curve Summary'!$A$9:$AG$161,6)</f>
        <v>39.04</v>
      </c>
      <c r="CE13" s="169">
        <f>VLOOKUP(CE$7,'[6]Curve Summary'!$A$9:$AG$161,6)</f>
        <v>37.42</v>
      </c>
      <c r="CF13" s="169">
        <f>VLOOKUP(CF$7,'[6]Curve Summary'!$A$9:$AG$161,6)</f>
        <v>37.4</v>
      </c>
      <c r="CG13" s="169">
        <f>VLOOKUP(CG$7,'[6]Curve Summary'!$A$9:$AG$161,6)</f>
        <v>37.9</v>
      </c>
      <c r="CH13" s="169">
        <f>VLOOKUP(CH$7,'[6]Curve Summary'!$A$9:$AG$161,6)</f>
        <v>44.55</v>
      </c>
      <c r="CI13" s="169">
        <f>VLOOKUP(CI$7,'[6]Curve Summary'!$A$9:$AG$161,6)</f>
        <v>46.4</v>
      </c>
      <c r="CJ13" s="169">
        <f>VLOOKUP(CJ$7,'[6]Curve Summary'!$A$9:$AG$161,6)</f>
        <v>46.95</v>
      </c>
      <c r="CK13" s="169">
        <f>VLOOKUP(CK$7,'[6]Curve Summary'!$A$9:$AG$161,6)</f>
        <v>40.86</v>
      </c>
      <c r="CL13" s="169">
        <f>VLOOKUP(CL$7,'[6]Curve Summary'!$A$9:$AG$161,6)</f>
        <v>40.380000000000003</v>
      </c>
      <c r="CM13" s="169">
        <f>VLOOKUP(CM$7,'[6]Curve Summary'!$A$9:$AG$161,6)</f>
        <v>39.83</v>
      </c>
      <c r="CN13" s="169">
        <f>VLOOKUP(CN$7,'[6]Curve Summary'!$A$9:$AG$161,6)</f>
        <v>43.73</v>
      </c>
      <c r="CO13" s="169">
        <f>VLOOKUP(CO$7,'[6]Curve Summary'!$A$9:$AG$161,6)</f>
        <v>41.35</v>
      </c>
      <c r="CP13" s="169">
        <f>VLOOKUP(CP$7,'[6]Curve Summary'!$A$9:$AG$161,6)</f>
        <v>39.479999999999997</v>
      </c>
      <c r="CQ13" s="169">
        <f>VLOOKUP(CQ$7,'[6]Curve Summary'!$A$9:$AG$161,6)</f>
        <v>38.07</v>
      </c>
      <c r="CR13" s="169">
        <f>VLOOKUP(CR$7,'[6]Curve Summary'!$A$9:$AG$161,6)</f>
        <v>38.17</v>
      </c>
      <c r="CS13" s="169">
        <f>VLOOKUP(CS$7,'[6]Curve Summary'!$A$9:$AG$161,6)</f>
        <v>38.67</v>
      </c>
      <c r="CT13" s="169">
        <f>VLOOKUP(CT$7,'[6]Curve Summary'!$A$9:$AG$161,6)</f>
        <v>44.85</v>
      </c>
      <c r="CU13" s="169">
        <f>VLOOKUP(CU$7,'[6]Curve Summary'!$A$9:$AG$161,6)</f>
        <v>45.66</v>
      </c>
      <c r="CV13" s="169">
        <f>VLOOKUP(CV$7,'[6]Curve Summary'!$A$9:$AG$161,6)</f>
        <v>45.69</v>
      </c>
      <c r="CW13" s="169">
        <f>VLOOKUP(CW$7,'[6]Curve Summary'!$A$9:$AG$161,6)</f>
        <v>40.369999999999997</v>
      </c>
      <c r="CX13" s="169">
        <f>VLOOKUP(CX$7,'[6]Curve Summary'!$A$9:$AG$161,6)</f>
        <v>41.14</v>
      </c>
      <c r="CY13" s="169">
        <f>VLOOKUP(CY$7,'[6]Curve Summary'!$A$9:$AG$161,6)</f>
        <v>40.56</v>
      </c>
      <c r="CZ13" s="169">
        <f>VLOOKUP(CZ$7,'[6]Curve Summary'!$A$9:$AG$161,6)</f>
        <v>44.41</v>
      </c>
      <c r="DA13" s="169">
        <f>VLOOKUP(DA$7,'[6]Curve Summary'!$A$9:$AG$161,6)</f>
        <v>41.58</v>
      </c>
      <c r="DB13" s="169">
        <f>VLOOKUP(DB$7,'[6]Curve Summary'!$A$9:$AG$161,6)</f>
        <v>39.71</v>
      </c>
      <c r="DC13" s="169">
        <f>VLOOKUP(DC$7,'[6]Curve Summary'!$A$9:$AG$161,6)</f>
        <v>38.28</v>
      </c>
      <c r="DD13" s="169">
        <f>VLOOKUP(DD$7,'[6]Curve Summary'!$A$9:$AG$161,6)</f>
        <v>38.369999999999997</v>
      </c>
      <c r="DE13" s="169">
        <f>VLOOKUP(DE$7,'[6]Curve Summary'!$A$9:$AG$161,6)</f>
        <v>38.869999999999997</v>
      </c>
      <c r="DF13" s="169">
        <f>VLOOKUP(DF$7,'[6]Curve Summary'!$A$9:$AG$161,6)</f>
        <v>45.12</v>
      </c>
      <c r="DG13" s="169">
        <f>VLOOKUP(DG$7,'[6]Curve Summary'!$A$9:$AG$161,6)</f>
        <v>45.99</v>
      </c>
      <c r="DH13" s="169">
        <f>VLOOKUP(DH$7,'[6]Curve Summary'!$A$9:$AG$161,6)</f>
        <v>46.05</v>
      </c>
      <c r="DI13" s="169">
        <f>VLOOKUP(DI$7,'[6]Curve Summary'!$A$9:$AG$161,6)</f>
        <v>40.659999999999997</v>
      </c>
      <c r="DJ13" s="169">
        <f>VLOOKUP(DJ$7,'[6]Curve Summary'!$A$9:$AG$161,6)</f>
        <v>41.36</v>
      </c>
      <c r="DK13" s="169">
        <f>VLOOKUP(DK$7,'[6]Curve Summary'!$A$9:$AG$161,6)</f>
        <v>40.78</v>
      </c>
      <c r="DL13" s="169">
        <f>VLOOKUP(DL$7,'[6]Curve Summary'!$A$9:$AG$161,6)</f>
        <v>44.65</v>
      </c>
      <c r="DM13" s="169">
        <f>VLOOKUP(DM$7,'[6]Curve Summary'!$A$9:$AG$161,6)</f>
        <v>41.82</v>
      </c>
      <c r="DN13" s="169">
        <f>VLOOKUP(DN$7,'[6]Curve Summary'!$A$9:$AG$161,6)</f>
        <v>39.93</v>
      </c>
      <c r="DO13" s="169">
        <f>VLOOKUP(DO$7,'[6]Curve Summary'!$A$9:$AG$161,6)</f>
        <v>38.5</v>
      </c>
      <c r="DP13" s="169">
        <f>VLOOKUP(DP$7,'[6]Curve Summary'!$A$9:$AG$161,6)</f>
        <v>38.57</v>
      </c>
      <c r="DQ13" s="169">
        <f>VLOOKUP(DQ$7,'[6]Curve Summary'!$A$9:$AG$161,6)</f>
        <v>39.08</v>
      </c>
      <c r="DR13" s="169">
        <f>VLOOKUP(DR$7,'[6]Curve Summary'!$A$9:$AG$161,6)</f>
        <v>45.39</v>
      </c>
      <c r="DS13" s="169">
        <f>VLOOKUP(DS$7,'[6]Curve Summary'!$A$9:$AG$161,6)</f>
        <v>46.32</v>
      </c>
      <c r="DT13" s="169">
        <f>VLOOKUP(DT$7,'[6]Curve Summary'!$A$9:$AG$161,6)</f>
        <v>46.42</v>
      </c>
      <c r="DU13" s="169">
        <f>VLOOKUP(DU$7,'[6]Curve Summary'!$A$9:$AG$161,6)</f>
        <v>40.96</v>
      </c>
      <c r="DV13" s="169">
        <f>VLOOKUP(DV$7,'[6]Curve Summary'!$A$9:$AG$161,6)</f>
        <v>41.58</v>
      </c>
      <c r="DW13" s="169">
        <f>VLOOKUP(DW$7,'[6]Curve Summary'!$A$9:$AG$161,6)</f>
        <v>40.99</v>
      </c>
      <c r="DX13" s="169">
        <f>VLOOKUP(DX$7,'[6]Curve Summary'!$A$9:$AG$161,6)</f>
        <v>44.89</v>
      </c>
      <c r="DY13" s="169">
        <f>VLOOKUP(DY$7,'[6]Curve Summary'!$A$9:$AG$161,6)</f>
        <v>42.05</v>
      </c>
      <c r="DZ13" s="169">
        <f>VLOOKUP(DZ$7,'[6]Curve Summary'!$A$9:$AG$161,6)</f>
        <v>40.159999999999997</v>
      </c>
      <c r="EA13" s="169">
        <f>VLOOKUP(EA$7,'[6]Curve Summary'!$A$9:$AG$161,6)</f>
        <v>38.71</v>
      </c>
      <c r="EB13" s="169">
        <f>VLOOKUP(EB$7,'[6]Curve Summary'!$A$9:$AG$161,6)</f>
        <v>38.76</v>
      </c>
      <c r="EC13" s="169">
        <f>VLOOKUP(EC$7,'[6]Curve Summary'!$A$9:$AG$161,6)</f>
        <v>39.28</v>
      </c>
      <c r="ED13" s="169">
        <f>VLOOKUP(ED$7,'[6]Curve Summary'!$A$9:$AG$161,6)</f>
        <v>45.65</v>
      </c>
      <c r="EE13" s="169">
        <f>VLOOKUP(EE$7,'[6]Curve Summary'!$A$9:$AG$161,6)</f>
        <v>46.65</v>
      </c>
      <c r="EF13" s="169">
        <f>VLOOKUP(EF$7,'[6]Curve Summary'!$A$9:$AG$161,6)</f>
        <v>46.78</v>
      </c>
      <c r="EG13" s="169">
        <f>VLOOKUP(EG$7,'[6]Curve Summary'!$A$9:$AG$161,6)</f>
        <v>41.26</v>
      </c>
      <c r="EH13" s="169">
        <f>VLOOKUP(EH$7,'[6]Curve Summary'!$A$9:$AG$161,6)</f>
        <v>41.79</v>
      </c>
      <c r="EI13" s="169">
        <f>VLOOKUP(EI$7,'[6]Curve Summary'!$A$9:$AG$161,6)</f>
        <v>41.2</v>
      </c>
      <c r="EJ13" s="169">
        <f>VLOOKUP(EJ$7,'[6]Curve Summary'!$A$9:$AG$161,6)</f>
        <v>45.13</v>
      </c>
    </row>
    <row r="14" spans="1:140" ht="13.7" customHeight="1" x14ac:dyDescent="0.2">
      <c r="A14" s="165" t="s">
        <v>142</v>
      </c>
      <c r="B14" s="166" t="s">
        <v>170</v>
      </c>
      <c r="C14" s="132">
        <f>'[6]Power Desk Daily Price'!$AC14</f>
        <v>24.633333333333344</v>
      </c>
      <c r="D14" s="132">
        <f ca="1">IF(ISERROR((AVERAGE(OFFSET('[6]Curve Summary'!$B$6,25,0,3,1))*3+ 22* '[6]Curve Summary Backup'!$B$38)/25), '[6]Curve Summary Backup'!$B$38,(AVERAGE(OFFSET('[6]Curve Summary'!$B$6,25,0,3,1))*3+ 22* '[6]Curve Summary Backup'!$B$38)/25)</f>
        <v>25.25</v>
      </c>
      <c r="E14" s="132">
        <f>VLOOKUP(E$7,'[6]Curve Summary'!$A$7:$AG$59,2)</f>
        <v>29.5</v>
      </c>
      <c r="F14" s="167">
        <f t="shared" ca="1" si="0"/>
        <v>26.441256830601098</v>
      </c>
      <c r="G14" s="132">
        <f t="shared" si="1"/>
        <v>29.125</v>
      </c>
      <c r="H14" s="132">
        <f t="shared" si="2"/>
        <v>29.5</v>
      </c>
      <c r="I14" s="132">
        <f t="shared" si="2"/>
        <v>28.75</v>
      </c>
      <c r="J14" s="132">
        <f t="shared" si="3"/>
        <v>29.125</v>
      </c>
      <c r="K14" s="132">
        <f t="shared" si="4"/>
        <v>28.75</v>
      </c>
      <c r="L14" s="132">
        <f t="shared" si="4"/>
        <v>29.5</v>
      </c>
      <c r="M14" s="132">
        <f t="shared" si="4"/>
        <v>32.5</v>
      </c>
      <c r="N14" s="132">
        <f t="shared" si="4"/>
        <v>41.5</v>
      </c>
      <c r="O14" s="132">
        <f t="shared" si="5"/>
        <v>52.5</v>
      </c>
      <c r="P14" s="132">
        <f t="shared" si="6"/>
        <v>49</v>
      </c>
      <c r="Q14" s="132">
        <f t="shared" si="6"/>
        <v>56</v>
      </c>
      <c r="R14" s="132">
        <f t="shared" si="6"/>
        <v>46.5</v>
      </c>
      <c r="S14" s="132">
        <f t="shared" si="7"/>
        <v>32.5</v>
      </c>
      <c r="T14" s="132">
        <f t="shared" si="8"/>
        <v>33.5</v>
      </c>
      <c r="U14" s="132">
        <f t="shared" si="8"/>
        <v>31.5</v>
      </c>
      <c r="V14" s="132">
        <f t="shared" si="8"/>
        <v>32.5</v>
      </c>
      <c r="W14" s="167">
        <f t="shared" si="12"/>
        <v>36.646078431372551</v>
      </c>
      <c r="X14" s="132">
        <f t="shared" si="13"/>
        <v>38.024509803921568</v>
      </c>
      <c r="Y14" s="132">
        <f t="shared" si="14"/>
        <v>37.841040268456368</v>
      </c>
      <c r="Z14" s="132">
        <f t="shared" si="15"/>
        <v>38.556980392156859</v>
      </c>
      <c r="AA14" s="132">
        <f t="shared" si="9"/>
        <v>39.145970588235301</v>
      </c>
      <c r="AB14" s="133">
        <f t="shared" si="10"/>
        <v>39.763671874999993</v>
      </c>
      <c r="AC14" s="168">
        <f t="shared" ca="1" si="11"/>
        <v>38.332927794263114</v>
      </c>
      <c r="AD14" s="163"/>
      <c r="AE14" s="163"/>
      <c r="AF14" s="164"/>
      <c r="AG14" s="169">
        <f>VLOOKUP(AG$7,'[6]Curve Summary'!$A$9:$AG$161,2)</f>
        <v>29.5</v>
      </c>
      <c r="AH14" s="169">
        <f>VLOOKUP(AH$7,'[6]Curve Summary'!$A$9:$AG$161,2)</f>
        <v>28.75</v>
      </c>
      <c r="AI14" s="169">
        <f>VLOOKUP(AI$7,'[6]Curve Summary'!$A$9:$AG$161,2)</f>
        <v>28.75</v>
      </c>
      <c r="AJ14" s="169">
        <f>VLOOKUP(AJ$7,'[6]Curve Summary'!$A$9:$AG$161,2)</f>
        <v>29.5</v>
      </c>
      <c r="AK14" s="169">
        <f>VLOOKUP(AK$7,'[6]Curve Summary'!$A$9:$AG$161,2)</f>
        <v>32.5</v>
      </c>
      <c r="AL14" s="169">
        <f>VLOOKUP(AL$7,'[6]Curve Summary'!$A$9:$AG$161,2)</f>
        <v>41.5</v>
      </c>
      <c r="AM14" s="169">
        <f>VLOOKUP(AM$7,'[6]Curve Summary'!$A$9:$AG$161,2)</f>
        <v>49</v>
      </c>
      <c r="AN14" s="169">
        <f>VLOOKUP(AN$7,'[6]Curve Summary'!$A$9:$AG$161,2)</f>
        <v>56</v>
      </c>
      <c r="AO14" s="169">
        <f>VLOOKUP(AO$7,'[6]Curve Summary'!$A$9:$AG$161,2)</f>
        <v>46.5</v>
      </c>
      <c r="AP14" s="169">
        <f>VLOOKUP(AP$7,'[6]Curve Summary'!$A$9:$AG$161,2)</f>
        <v>33.5</v>
      </c>
      <c r="AQ14" s="169">
        <f>VLOOKUP(AQ$7,'[6]Curve Summary'!$A$9:$AG$161,2)</f>
        <v>31.5</v>
      </c>
      <c r="AR14" s="169">
        <f>VLOOKUP(AR$7,'[6]Curve Summary'!$A$9:$AG$161,2)</f>
        <v>32.5</v>
      </c>
      <c r="AS14" s="169">
        <f>VLOOKUP(AS$7,'[6]Curve Summary'!$A$9:$AG$161,2)</f>
        <v>33.75</v>
      </c>
      <c r="AT14" s="169">
        <f>VLOOKUP(AT$7,'[6]Curve Summary'!$A$9:$AG$161,2)</f>
        <v>33.25</v>
      </c>
      <c r="AU14" s="169">
        <f>VLOOKUP(AU$7,'[6]Curve Summary'!$A$9:$AG$161,2)</f>
        <v>33.25</v>
      </c>
      <c r="AV14" s="169">
        <f>VLOOKUP(AV$7,'[6]Curve Summary'!$A$9:$AG$161,2)</f>
        <v>32.75</v>
      </c>
      <c r="AW14" s="169">
        <f>VLOOKUP(AW$7,'[6]Curve Summary'!$A$9:$AG$161,2)</f>
        <v>32.75</v>
      </c>
      <c r="AX14" s="169">
        <f>VLOOKUP(AX$7,'[6]Curve Summary'!$A$9:$AG$161,2)</f>
        <v>37.25</v>
      </c>
      <c r="AY14" s="169">
        <f>VLOOKUP(AY$7,'[6]Curve Summary'!$A$9:$AG$161,2)</f>
        <v>51.5</v>
      </c>
      <c r="AZ14" s="169">
        <f>VLOOKUP(AZ$7,'[6]Curve Summary'!$A$9:$AG$161,2)</f>
        <v>57</v>
      </c>
      <c r="BA14" s="169">
        <f>VLOOKUP(BA$7,'[6]Curve Summary'!$A$9:$AG$161,2)</f>
        <v>45.5</v>
      </c>
      <c r="BB14" s="169">
        <f>VLOOKUP(BB$7,'[6]Curve Summary'!$A$9:$AG$161,2)</f>
        <v>34</v>
      </c>
      <c r="BC14" s="169">
        <f>VLOOKUP(BC$7,'[6]Curve Summary'!$A$9:$AG$161,2)</f>
        <v>32.5</v>
      </c>
      <c r="BD14" s="169">
        <f>VLOOKUP(BD$7,'[6]Curve Summary'!$A$9:$AG$161,2)</f>
        <v>32.5</v>
      </c>
      <c r="BE14" s="169">
        <f>VLOOKUP(BE$7,'[6]Curve Summary'!$A$9:$AG$161,2)</f>
        <v>34.61</v>
      </c>
      <c r="BF14" s="169">
        <f>VLOOKUP(BF$7,'[6]Curve Summary'!$A$9:$AG$161,2)</f>
        <v>34.19</v>
      </c>
      <c r="BG14" s="169">
        <f>VLOOKUP(BG$7,'[6]Curve Summary'!$A$9:$AG$161,2)</f>
        <v>34.19</v>
      </c>
      <c r="BH14" s="169">
        <f>VLOOKUP(BH$7,'[6]Curve Summary'!$A$9:$AG$161,2)</f>
        <v>33.76</v>
      </c>
      <c r="BI14" s="169">
        <f>VLOOKUP(BI$7,'[6]Curve Summary'!$A$9:$AG$161,2)</f>
        <v>33.76</v>
      </c>
      <c r="BJ14" s="169">
        <f>VLOOKUP(BJ$7,'[6]Curve Summary'!$A$9:$AG$161,2)</f>
        <v>37.61</v>
      </c>
      <c r="BK14" s="169">
        <f>VLOOKUP(BK$7,'[6]Curve Summary'!$A$9:$AG$161,2)</f>
        <v>49.8</v>
      </c>
      <c r="BL14" s="169">
        <f>VLOOKUP(BL$7,'[6]Curve Summary'!$A$9:$AG$161,2)</f>
        <v>54.51</v>
      </c>
      <c r="BM14" s="169">
        <f>VLOOKUP(BM$7,'[6]Curve Summary'!$A$9:$AG$161,2)</f>
        <v>44.67</v>
      </c>
      <c r="BN14" s="169">
        <f>VLOOKUP(BN$7,'[6]Curve Summary'!$A$9:$AG$161,2)</f>
        <v>34.83</v>
      </c>
      <c r="BO14" s="169">
        <f>VLOOKUP(BO$7,'[6]Curve Summary'!$A$9:$AG$161,2)</f>
        <v>33.549999999999997</v>
      </c>
      <c r="BP14" s="169">
        <f>VLOOKUP(BP$7,'[6]Curve Summary'!$A$9:$AG$161,2)</f>
        <v>33.549999999999997</v>
      </c>
      <c r="BQ14" s="169">
        <f>VLOOKUP(BQ$7,'[6]Curve Summary'!$A$9:$AG$161,2)</f>
        <v>35.39</v>
      </c>
      <c r="BR14" s="169">
        <f>VLOOKUP(BR$7,'[6]Curve Summary'!$A$9:$AG$161,2)</f>
        <v>35.020000000000003</v>
      </c>
      <c r="BS14" s="169">
        <f>VLOOKUP(BS$7,'[6]Curve Summary'!$A$9:$AG$161,2)</f>
        <v>35.020000000000003</v>
      </c>
      <c r="BT14" s="169">
        <f>VLOOKUP(BT$7,'[6]Curve Summary'!$A$9:$AG$161,2)</f>
        <v>34.659999999999997</v>
      </c>
      <c r="BU14" s="169">
        <f>VLOOKUP(BU$7,'[6]Curve Summary'!$A$9:$AG$161,2)</f>
        <v>34.659999999999997</v>
      </c>
      <c r="BV14" s="169">
        <f>VLOOKUP(BV$7,'[6]Curve Summary'!$A$9:$AG$161,2)</f>
        <v>37.950000000000003</v>
      </c>
      <c r="BW14" s="169">
        <f>VLOOKUP(BW$7,'[6]Curve Summary'!$A$9:$AG$161,2)</f>
        <v>48.39</v>
      </c>
      <c r="BX14" s="169">
        <f>VLOOKUP(BX$7,'[6]Curve Summary'!$A$9:$AG$161,2)</f>
        <v>52.41</v>
      </c>
      <c r="BY14" s="169">
        <f>VLOOKUP(BY$7,'[6]Curve Summary'!$A$9:$AG$161,2)</f>
        <v>43.99</v>
      </c>
      <c r="BZ14" s="169">
        <f>VLOOKUP(BZ$7,'[6]Curve Summary'!$A$9:$AG$161,2)</f>
        <v>35.58</v>
      </c>
      <c r="CA14" s="169">
        <f>VLOOKUP(CA$7,'[6]Curve Summary'!$A$9:$AG$161,2)</f>
        <v>34.479999999999997</v>
      </c>
      <c r="CB14" s="169">
        <f>VLOOKUP(CB$7,'[6]Curve Summary'!$A$9:$AG$161,2)</f>
        <v>34.479999999999997</v>
      </c>
      <c r="CC14" s="169">
        <f>VLOOKUP(CC$7,'[6]Curve Summary'!$A$9:$AG$161,2)</f>
        <v>36.08</v>
      </c>
      <c r="CD14" s="169">
        <f>VLOOKUP(CD$7,'[6]Curve Summary'!$A$9:$AG$161,2)</f>
        <v>35.770000000000003</v>
      </c>
      <c r="CE14" s="169">
        <f>VLOOKUP(CE$7,'[6]Curve Summary'!$A$9:$AG$161,2)</f>
        <v>35.770000000000003</v>
      </c>
      <c r="CF14" s="169">
        <f>VLOOKUP(CF$7,'[6]Curve Summary'!$A$9:$AG$161,2)</f>
        <v>35.46</v>
      </c>
      <c r="CG14" s="169">
        <f>VLOOKUP(CG$7,'[6]Curve Summary'!$A$9:$AG$161,2)</f>
        <v>35.46</v>
      </c>
      <c r="CH14" s="169">
        <f>VLOOKUP(CH$7,'[6]Curve Summary'!$A$9:$AG$161,2)</f>
        <v>38.28</v>
      </c>
      <c r="CI14" s="169">
        <f>VLOOKUP(CI$7,'[6]Curve Summary'!$A$9:$AG$161,2)</f>
        <v>47.21</v>
      </c>
      <c r="CJ14" s="169">
        <f>VLOOKUP(CJ$7,'[6]Curve Summary'!$A$9:$AG$161,2)</f>
        <v>50.65</v>
      </c>
      <c r="CK14" s="169">
        <f>VLOOKUP(CK$7,'[6]Curve Summary'!$A$9:$AG$161,2)</f>
        <v>43.45</v>
      </c>
      <c r="CL14" s="169">
        <f>VLOOKUP(CL$7,'[6]Curve Summary'!$A$9:$AG$161,2)</f>
        <v>36.25</v>
      </c>
      <c r="CM14" s="169">
        <f>VLOOKUP(CM$7,'[6]Curve Summary'!$A$9:$AG$161,2)</f>
        <v>35.31</v>
      </c>
      <c r="CN14" s="169">
        <f>VLOOKUP(CN$7,'[6]Curve Summary'!$A$9:$AG$161,2)</f>
        <v>35.31</v>
      </c>
      <c r="CO14" s="169">
        <f>VLOOKUP(CO$7,'[6]Curve Summary'!$A$9:$AG$161,2)</f>
        <v>36.58</v>
      </c>
      <c r="CP14" s="169">
        <f>VLOOKUP(CP$7,'[6]Curve Summary'!$A$9:$AG$161,2)</f>
        <v>36.299999999999997</v>
      </c>
      <c r="CQ14" s="169">
        <f>VLOOKUP(CQ$7,'[6]Curve Summary'!$A$9:$AG$161,2)</f>
        <v>36.299999999999997</v>
      </c>
      <c r="CR14" s="169">
        <f>VLOOKUP(CR$7,'[6]Curve Summary'!$A$9:$AG$161,2)</f>
        <v>36.020000000000003</v>
      </c>
      <c r="CS14" s="169">
        <f>VLOOKUP(CS$7,'[6]Curve Summary'!$A$9:$AG$161,2)</f>
        <v>36.020000000000003</v>
      </c>
      <c r="CT14" s="169">
        <f>VLOOKUP(CT$7,'[6]Curve Summary'!$A$9:$AG$161,2)</f>
        <v>38.58</v>
      </c>
      <c r="CU14" s="169">
        <f>VLOOKUP(CU$7,'[6]Curve Summary'!$A$9:$AG$161,2)</f>
        <v>46.66</v>
      </c>
      <c r="CV14" s="169">
        <f>VLOOKUP(CV$7,'[6]Curve Summary'!$A$9:$AG$161,2)</f>
        <v>49.78</v>
      </c>
      <c r="CW14" s="169">
        <f>VLOOKUP(CW$7,'[6]Curve Summary'!$A$9:$AG$161,2)</f>
        <v>43.26</v>
      </c>
      <c r="CX14" s="169">
        <f>VLOOKUP(CX$7,'[6]Curve Summary'!$A$9:$AG$161,2)</f>
        <v>36.74</v>
      </c>
      <c r="CY14" s="169">
        <f>VLOOKUP(CY$7,'[6]Curve Summary'!$A$9:$AG$161,2)</f>
        <v>35.89</v>
      </c>
      <c r="CZ14" s="169">
        <f>VLOOKUP(CZ$7,'[6]Curve Summary'!$A$9:$AG$161,2)</f>
        <v>35.89</v>
      </c>
      <c r="DA14" s="169">
        <f>VLOOKUP(DA$7,'[6]Curve Summary'!$A$9:$AG$161,2)</f>
        <v>37.01</v>
      </c>
      <c r="DB14" s="169">
        <f>VLOOKUP(DB$7,'[6]Curve Summary'!$A$9:$AG$161,2)</f>
        <v>36.75</v>
      </c>
      <c r="DC14" s="169">
        <f>VLOOKUP(DC$7,'[6]Curve Summary'!$A$9:$AG$161,2)</f>
        <v>36.75</v>
      </c>
      <c r="DD14" s="169">
        <f>VLOOKUP(DD$7,'[6]Curve Summary'!$A$9:$AG$161,2)</f>
        <v>36.49</v>
      </c>
      <c r="DE14" s="169">
        <f>VLOOKUP(DE$7,'[6]Curve Summary'!$A$9:$AG$161,2)</f>
        <v>36.49</v>
      </c>
      <c r="DF14" s="169">
        <f>VLOOKUP(DF$7,'[6]Curve Summary'!$A$9:$AG$161,2)</f>
        <v>38.86</v>
      </c>
      <c r="DG14" s="169">
        <f>VLOOKUP(DG$7,'[6]Curve Summary'!$A$9:$AG$161,2)</f>
        <v>46.34</v>
      </c>
      <c r="DH14" s="169">
        <f>VLOOKUP(DH$7,'[6]Curve Summary'!$A$9:$AG$161,2)</f>
        <v>49.23</v>
      </c>
      <c r="DI14" s="169">
        <f>VLOOKUP(DI$7,'[6]Curve Summary'!$A$9:$AG$161,2)</f>
        <v>43.2</v>
      </c>
      <c r="DJ14" s="169">
        <f>VLOOKUP(DJ$7,'[6]Curve Summary'!$A$9:$AG$161,2)</f>
        <v>37.159999999999997</v>
      </c>
      <c r="DK14" s="169">
        <f>VLOOKUP(DK$7,'[6]Curve Summary'!$A$9:$AG$161,2)</f>
        <v>36.369999999999997</v>
      </c>
      <c r="DL14" s="169">
        <f>VLOOKUP(DL$7,'[6]Curve Summary'!$A$9:$AG$161,2)</f>
        <v>36.369999999999997</v>
      </c>
      <c r="DM14" s="169">
        <f>VLOOKUP(DM$7,'[6]Curve Summary'!$A$9:$AG$161,2)</f>
        <v>37.43</v>
      </c>
      <c r="DN14" s="169">
        <f>VLOOKUP(DN$7,'[6]Curve Summary'!$A$9:$AG$161,2)</f>
        <v>37.18</v>
      </c>
      <c r="DO14" s="169">
        <f>VLOOKUP(DO$7,'[6]Curve Summary'!$A$9:$AG$161,2)</f>
        <v>37.19</v>
      </c>
      <c r="DP14" s="169">
        <f>VLOOKUP(DP$7,'[6]Curve Summary'!$A$9:$AG$161,2)</f>
        <v>36.94</v>
      </c>
      <c r="DQ14" s="169">
        <f>VLOOKUP(DQ$7,'[6]Curve Summary'!$A$9:$AG$161,2)</f>
        <v>36.950000000000003</v>
      </c>
      <c r="DR14" s="169">
        <f>VLOOKUP(DR$7,'[6]Curve Summary'!$A$9:$AG$161,2)</f>
        <v>39.14</v>
      </c>
      <c r="DS14" s="169">
        <f>VLOOKUP(DS$7,'[6]Curve Summary'!$A$9:$AG$161,2)</f>
        <v>46.07</v>
      </c>
      <c r="DT14" s="169">
        <f>VLOOKUP(DT$7,'[6]Curve Summary'!$A$9:$AG$161,2)</f>
        <v>48.74</v>
      </c>
      <c r="DU14" s="169">
        <f>VLOOKUP(DU$7,'[6]Curve Summary'!$A$9:$AG$161,2)</f>
        <v>43.15</v>
      </c>
      <c r="DV14" s="169">
        <f>VLOOKUP(DV$7,'[6]Curve Summary'!$A$9:$AG$161,2)</f>
        <v>37.56</v>
      </c>
      <c r="DW14" s="169">
        <f>VLOOKUP(DW$7,'[6]Curve Summary'!$A$9:$AG$161,2)</f>
        <v>36.840000000000003</v>
      </c>
      <c r="DX14" s="169">
        <f>VLOOKUP(DX$7,'[6]Curve Summary'!$A$9:$AG$161,2)</f>
        <v>36.840000000000003</v>
      </c>
      <c r="DY14" s="169">
        <f>VLOOKUP(DY$7,'[6]Curve Summary'!$A$9:$AG$161,2)</f>
        <v>37.83</v>
      </c>
      <c r="DZ14" s="169">
        <f>VLOOKUP(DZ$7,'[6]Curve Summary'!$A$9:$AG$161,2)</f>
        <v>37.6</v>
      </c>
      <c r="EA14" s="169">
        <f>VLOOKUP(EA$7,'[6]Curve Summary'!$A$9:$AG$161,2)</f>
        <v>37.61</v>
      </c>
      <c r="EB14" s="169">
        <f>VLOOKUP(EB$7,'[6]Curve Summary'!$A$9:$AG$161,2)</f>
        <v>37.380000000000003</v>
      </c>
      <c r="EC14" s="169">
        <f>VLOOKUP(EC$7,'[6]Curve Summary'!$A$9:$AG$161,2)</f>
        <v>37.39</v>
      </c>
      <c r="ED14" s="169">
        <f>VLOOKUP(ED$7,'[6]Curve Summary'!$A$9:$AG$161,2)</f>
        <v>39.409999999999997</v>
      </c>
      <c r="EE14" s="169">
        <f>VLOOKUP(EE$7,'[6]Curve Summary'!$A$9:$AG$161,2)</f>
        <v>45.83</v>
      </c>
      <c r="EF14" s="169">
        <f>VLOOKUP(EF$7,'[6]Curve Summary'!$A$9:$AG$161,2)</f>
        <v>48.31</v>
      </c>
      <c r="EG14" s="169">
        <f>VLOOKUP(EG$7,'[6]Curve Summary'!$A$9:$AG$161,2)</f>
        <v>43.13</v>
      </c>
      <c r="EH14" s="169">
        <f>VLOOKUP(EH$7,'[6]Curve Summary'!$A$9:$AG$161,2)</f>
        <v>37.96</v>
      </c>
      <c r="EI14" s="169">
        <f>VLOOKUP(EI$7,'[6]Curve Summary'!$A$9:$AG$161,2)</f>
        <v>37.28</v>
      </c>
      <c r="EJ14" s="169">
        <f>VLOOKUP(EJ$7,'[6]Curve Summary'!$A$9:$AG$161,2)</f>
        <v>37.29</v>
      </c>
    </row>
    <row r="15" spans="1:140" ht="13.7" customHeight="1" thickBot="1" x14ac:dyDescent="0.25">
      <c r="A15" s="170" t="s">
        <v>143</v>
      </c>
      <c r="B15" s="171" t="s">
        <v>171</v>
      </c>
      <c r="C15" s="136">
        <f>'[6]Power Desk Daily Price'!$AC15</f>
        <v>25.633333333333344</v>
      </c>
      <c r="D15" s="136">
        <f ca="1">IF(ISERROR((AVERAGE(OFFSET('[6]Curve Summary'!$G$6,25,0,3,1))*3+ 22* '[6]Curve Summary Backup'!$G$38)/25), '[6]Curve Summary Backup'!$G$38,(AVERAGE(OFFSET('[6]Curve Summary'!$G$6,25,0,3,1))*3+ 22* '[6]Curve Summary Backup'!$G$38)/25)</f>
        <v>26.25</v>
      </c>
      <c r="E15" s="136">
        <f>VLOOKUP(E$7,'[6]Curve Summary'!$A$7:$AG$58,7)</f>
        <v>31.5</v>
      </c>
      <c r="F15" s="172">
        <f t="shared" ca="1" si="0"/>
        <v>27.769125683060114</v>
      </c>
      <c r="G15" s="136">
        <f t="shared" si="1"/>
        <v>30.5</v>
      </c>
      <c r="H15" s="136">
        <f t="shared" si="2"/>
        <v>31</v>
      </c>
      <c r="I15" s="136">
        <f t="shared" si="2"/>
        <v>30</v>
      </c>
      <c r="J15" s="136">
        <f t="shared" si="3"/>
        <v>30.75</v>
      </c>
      <c r="K15" s="136">
        <f t="shared" si="4"/>
        <v>30</v>
      </c>
      <c r="L15" s="136">
        <f t="shared" si="4"/>
        <v>31.5</v>
      </c>
      <c r="M15" s="136">
        <f t="shared" si="4"/>
        <v>35.5</v>
      </c>
      <c r="N15" s="136">
        <f t="shared" si="4"/>
        <v>46.5</v>
      </c>
      <c r="O15" s="136">
        <f t="shared" si="5"/>
        <v>61</v>
      </c>
      <c r="P15" s="136">
        <f t="shared" si="6"/>
        <v>56</v>
      </c>
      <c r="Q15" s="136">
        <f t="shared" si="6"/>
        <v>66</v>
      </c>
      <c r="R15" s="136">
        <f t="shared" si="6"/>
        <v>53.5</v>
      </c>
      <c r="S15" s="136">
        <f t="shared" si="7"/>
        <v>34.666666666666664</v>
      </c>
      <c r="T15" s="136">
        <f t="shared" si="8"/>
        <v>36</v>
      </c>
      <c r="U15" s="136">
        <f t="shared" si="8"/>
        <v>33.5</v>
      </c>
      <c r="V15" s="136">
        <f t="shared" si="8"/>
        <v>34.5</v>
      </c>
      <c r="W15" s="172">
        <f t="shared" si="12"/>
        <v>40.362745098039213</v>
      </c>
      <c r="X15" s="136">
        <f t="shared" si="13"/>
        <v>41.359803921568627</v>
      </c>
      <c r="Y15" s="136">
        <f t="shared" si="14"/>
        <v>41.036610738255035</v>
      </c>
      <c r="Z15" s="136">
        <f t="shared" si="15"/>
        <v>41.856196078431374</v>
      </c>
      <c r="AA15" s="136">
        <f t="shared" si="9"/>
        <v>42.306960784313716</v>
      </c>
      <c r="AB15" s="137">
        <f t="shared" si="10"/>
        <v>42.749804687499996</v>
      </c>
      <c r="AC15" s="173">
        <f t="shared" ca="1" si="11"/>
        <v>41.540375865479753</v>
      </c>
      <c r="AD15" s="163"/>
      <c r="AE15" s="163"/>
      <c r="AF15" s="164"/>
      <c r="AG15" s="132">
        <f>VLOOKUP(AG$7,'[6]Curve Summary'!$A$9:$AG$161,7)</f>
        <v>31</v>
      </c>
      <c r="AH15" s="132">
        <f>VLOOKUP(AH$7,'[6]Curve Summary'!$A$9:$AG$161,7)</f>
        <v>30</v>
      </c>
      <c r="AI15" s="132">
        <f>VLOOKUP(AI$7,'[6]Curve Summary'!$A$9:$AG$161,7)</f>
        <v>30</v>
      </c>
      <c r="AJ15" s="132">
        <f>VLOOKUP(AJ$7,'[6]Curve Summary'!$A$9:$AG$161,7)</f>
        <v>31.5</v>
      </c>
      <c r="AK15" s="132">
        <f>VLOOKUP(AK$7,'[6]Curve Summary'!$A$9:$AG$161,7)</f>
        <v>35.5</v>
      </c>
      <c r="AL15" s="132">
        <f>VLOOKUP(AL$7,'[6]Curve Summary'!$A$9:$AG$161,7)</f>
        <v>46.5</v>
      </c>
      <c r="AM15" s="132">
        <f>VLOOKUP(AM$7,'[6]Curve Summary'!$A$9:$AG$161,7)</f>
        <v>56</v>
      </c>
      <c r="AN15" s="132">
        <f>VLOOKUP(AN$7,'[6]Curve Summary'!$A$9:$AG$161,7)</f>
        <v>66</v>
      </c>
      <c r="AO15" s="132">
        <f>VLOOKUP(AO$7,'[6]Curve Summary'!$A$9:$AG$161,7)</f>
        <v>53.5</v>
      </c>
      <c r="AP15" s="132">
        <f>VLOOKUP(AP$7,'[6]Curve Summary'!$A$9:$AG$161,7)</f>
        <v>36</v>
      </c>
      <c r="AQ15" s="132">
        <f>VLOOKUP(AQ$7,'[6]Curve Summary'!$A$9:$AG$161,7)</f>
        <v>33.5</v>
      </c>
      <c r="AR15" s="132">
        <f>VLOOKUP(AR$7,'[6]Curve Summary'!$A$9:$AG$161,7)</f>
        <v>34.5</v>
      </c>
      <c r="AS15" s="132">
        <f>VLOOKUP(AS$7,'[6]Curve Summary'!$A$9:$AG$161,7)</f>
        <v>35.75</v>
      </c>
      <c r="AT15" s="132">
        <f>VLOOKUP(AT$7,'[6]Curve Summary'!$A$9:$AG$161,7)</f>
        <v>35.25</v>
      </c>
      <c r="AU15" s="132">
        <f>VLOOKUP(AU$7,'[6]Curve Summary'!$A$9:$AG$161,7)</f>
        <v>35.25</v>
      </c>
      <c r="AV15" s="132">
        <f>VLOOKUP(AV$7,'[6]Curve Summary'!$A$9:$AG$161,7)</f>
        <v>34.75</v>
      </c>
      <c r="AW15" s="132">
        <f>VLOOKUP(AW$7,'[6]Curve Summary'!$A$9:$AG$161,7)</f>
        <v>34.75</v>
      </c>
      <c r="AX15" s="132">
        <f>VLOOKUP(AX$7,'[6]Curve Summary'!$A$9:$AG$161,7)</f>
        <v>41.75</v>
      </c>
      <c r="AY15" s="132">
        <f>VLOOKUP(AY$7,'[6]Curve Summary'!$A$9:$AG$161,7)</f>
        <v>57.5</v>
      </c>
      <c r="AZ15" s="132">
        <f>VLOOKUP(AZ$7,'[6]Curve Summary'!$A$9:$AG$161,7)</f>
        <v>65</v>
      </c>
      <c r="BA15" s="132">
        <f>VLOOKUP(BA$7,'[6]Curve Summary'!$A$9:$AG$161,7)</f>
        <v>51.5</v>
      </c>
      <c r="BB15" s="132">
        <f>VLOOKUP(BB$7,'[6]Curve Summary'!$A$9:$AG$161,7)</f>
        <v>36.25</v>
      </c>
      <c r="BC15" s="132">
        <f>VLOOKUP(BC$7,'[6]Curve Summary'!$A$9:$AG$161,7)</f>
        <v>34.25</v>
      </c>
      <c r="BD15" s="132">
        <f>VLOOKUP(BD$7,'[6]Curve Summary'!$A$9:$AG$161,7)</f>
        <v>34</v>
      </c>
      <c r="BE15" s="132">
        <f>VLOOKUP(BE$7,'[6]Curve Summary'!$A$9:$AG$161,7)</f>
        <v>36.81</v>
      </c>
      <c r="BF15" s="132">
        <f>VLOOKUP(BF$7,'[6]Curve Summary'!$A$9:$AG$161,7)</f>
        <v>36.39</v>
      </c>
      <c r="BG15" s="132">
        <f>VLOOKUP(BG$7,'[6]Curve Summary'!$A$9:$AG$161,7)</f>
        <v>36.39</v>
      </c>
      <c r="BH15" s="132">
        <f>VLOOKUP(BH$7,'[6]Curve Summary'!$A$9:$AG$161,7)</f>
        <v>35.96</v>
      </c>
      <c r="BI15" s="132">
        <f>VLOOKUP(BI$7,'[6]Curve Summary'!$A$9:$AG$161,7)</f>
        <v>35.96</v>
      </c>
      <c r="BJ15" s="132">
        <f>VLOOKUP(BJ$7,'[6]Curve Summary'!$A$9:$AG$161,7)</f>
        <v>41.94</v>
      </c>
      <c r="BK15" s="132">
        <f>VLOOKUP(BK$7,'[6]Curve Summary'!$A$9:$AG$161,7)</f>
        <v>55.4</v>
      </c>
      <c r="BL15" s="132">
        <f>VLOOKUP(BL$7,'[6]Curve Summary'!$A$9:$AG$161,7)</f>
        <v>61.81</v>
      </c>
      <c r="BM15" s="132">
        <f>VLOOKUP(BM$7,'[6]Curve Summary'!$A$9:$AG$161,7)</f>
        <v>50.27</v>
      </c>
      <c r="BN15" s="132">
        <f>VLOOKUP(BN$7,'[6]Curve Summary'!$A$9:$AG$161,7)</f>
        <v>37.24</v>
      </c>
      <c r="BO15" s="132">
        <f>VLOOKUP(BO$7,'[6]Curve Summary'!$A$9:$AG$161,7)</f>
        <v>35.53</v>
      </c>
      <c r="BP15" s="132">
        <f>VLOOKUP(BP$7,'[6]Curve Summary'!$A$9:$AG$161,7)</f>
        <v>35.32</v>
      </c>
      <c r="BQ15" s="132">
        <f>VLOOKUP(BQ$7,'[6]Curve Summary'!$A$9:$AG$161,7)</f>
        <v>37.71</v>
      </c>
      <c r="BR15" s="132">
        <f>VLOOKUP(BR$7,'[6]Curve Summary'!$A$9:$AG$161,7)</f>
        <v>37.340000000000003</v>
      </c>
      <c r="BS15" s="132">
        <f>VLOOKUP(BS$7,'[6]Curve Summary'!$A$9:$AG$161,7)</f>
        <v>37.340000000000003</v>
      </c>
      <c r="BT15" s="132">
        <f>VLOOKUP(BT$7,'[6]Curve Summary'!$A$9:$AG$161,7)</f>
        <v>36.979999999999997</v>
      </c>
      <c r="BU15" s="132">
        <f>VLOOKUP(BU$7,'[6]Curve Summary'!$A$9:$AG$161,7)</f>
        <v>36.979999999999997</v>
      </c>
      <c r="BV15" s="132">
        <f>VLOOKUP(BV$7,'[6]Curve Summary'!$A$9:$AG$161,7)</f>
        <v>42.08</v>
      </c>
      <c r="BW15" s="132">
        <f>VLOOKUP(BW$7,'[6]Curve Summary'!$A$9:$AG$161,7)</f>
        <v>53.59</v>
      </c>
      <c r="BX15" s="132">
        <f>VLOOKUP(BX$7,'[6]Curve Summary'!$A$9:$AG$161,7)</f>
        <v>59.05</v>
      </c>
      <c r="BY15" s="132">
        <f>VLOOKUP(BY$7,'[6]Curve Summary'!$A$9:$AG$161,7)</f>
        <v>49.19</v>
      </c>
      <c r="BZ15" s="132">
        <f>VLOOKUP(BZ$7,'[6]Curve Summary'!$A$9:$AG$161,7)</f>
        <v>38.08</v>
      </c>
      <c r="CA15" s="132">
        <f>VLOOKUP(CA$7,'[6]Curve Summary'!$A$9:$AG$161,7)</f>
        <v>36.619999999999997</v>
      </c>
      <c r="CB15" s="132">
        <f>VLOOKUP(CB$7,'[6]Curve Summary'!$A$9:$AG$161,7)</f>
        <v>36.44</v>
      </c>
      <c r="CC15" s="132">
        <f>VLOOKUP(CC$7,'[6]Curve Summary'!$A$9:$AG$161,7)</f>
        <v>38.5</v>
      </c>
      <c r="CD15" s="132">
        <f>VLOOKUP(CD$7,'[6]Curve Summary'!$A$9:$AG$161,7)</f>
        <v>38.19</v>
      </c>
      <c r="CE15" s="132">
        <f>VLOOKUP(CE$7,'[6]Curve Summary'!$A$9:$AG$161,7)</f>
        <v>38.19</v>
      </c>
      <c r="CF15" s="132">
        <f>VLOOKUP(CF$7,'[6]Curve Summary'!$A$9:$AG$161,7)</f>
        <v>37.880000000000003</v>
      </c>
      <c r="CG15" s="132">
        <f>VLOOKUP(CG$7,'[6]Curve Summary'!$A$9:$AG$161,7)</f>
        <v>37.880000000000003</v>
      </c>
      <c r="CH15" s="132">
        <f>VLOOKUP(CH$7,'[6]Curve Summary'!$A$9:$AG$161,7)</f>
        <v>42.24</v>
      </c>
      <c r="CI15" s="132">
        <f>VLOOKUP(CI$7,'[6]Curve Summary'!$A$9:$AG$161,7)</f>
        <v>52.07</v>
      </c>
      <c r="CJ15" s="132">
        <f>VLOOKUP(CJ$7,'[6]Curve Summary'!$A$9:$AG$161,7)</f>
        <v>56.73</v>
      </c>
      <c r="CK15" s="132">
        <f>VLOOKUP(CK$7,'[6]Curve Summary'!$A$9:$AG$161,7)</f>
        <v>48.31</v>
      </c>
      <c r="CL15" s="132">
        <f>VLOOKUP(CL$7,'[6]Curve Summary'!$A$9:$AG$161,7)</f>
        <v>38.82</v>
      </c>
      <c r="CM15" s="132">
        <f>VLOOKUP(CM$7,'[6]Curve Summary'!$A$9:$AG$161,7)</f>
        <v>37.57</v>
      </c>
      <c r="CN15" s="132">
        <f>VLOOKUP(CN$7,'[6]Curve Summary'!$A$9:$AG$161,7)</f>
        <v>37.42</v>
      </c>
      <c r="CO15" s="132">
        <f>VLOOKUP(CO$7,'[6]Curve Summary'!$A$9:$AG$161,7)</f>
        <v>39.03</v>
      </c>
      <c r="CP15" s="132">
        <f>VLOOKUP(CP$7,'[6]Curve Summary'!$A$9:$AG$161,7)</f>
        <v>38.75</v>
      </c>
      <c r="CQ15" s="132">
        <f>VLOOKUP(CQ$7,'[6]Curve Summary'!$A$9:$AG$161,7)</f>
        <v>38.75</v>
      </c>
      <c r="CR15" s="132">
        <f>VLOOKUP(CR$7,'[6]Curve Summary'!$A$9:$AG$161,7)</f>
        <v>38.479999999999997</v>
      </c>
      <c r="CS15" s="132">
        <f>VLOOKUP(CS$7,'[6]Curve Summary'!$A$9:$AG$161,7)</f>
        <v>38.47</v>
      </c>
      <c r="CT15" s="132">
        <f>VLOOKUP(CT$7,'[6]Curve Summary'!$A$9:$AG$161,7)</f>
        <v>42.42</v>
      </c>
      <c r="CU15" s="132">
        <f>VLOOKUP(CU$7,'[6]Curve Summary'!$A$9:$AG$161,7)</f>
        <v>51.3</v>
      </c>
      <c r="CV15" s="132">
        <f>VLOOKUP(CV$7,'[6]Curve Summary'!$A$9:$AG$161,7)</f>
        <v>55.52</v>
      </c>
      <c r="CW15" s="132">
        <f>VLOOKUP(CW$7,'[6]Curve Summary'!$A$9:$AG$161,7)</f>
        <v>47.9</v>
      </c>
      <c r="CX15" s="132">
        <f>VLOOKUP(CX$7,'[6]Curve Summary'!$A$9:$AG$161,7)</f>
        <v>39.32</v>
      </c>
      <c r="CY15" s="132">
        <f>VLOOKUP(CY$7,'[6]Curve Summary'!$A$9:$AG$161,7)</f>
        <v>38.200000000000003</v>
      </c>
      <c r="CZ15" s="132">
        <f>VLOOKUP(CZ$7,'[6]Curve Summary'!$A$9:$AG$161,7)</f>
        <v>38.06</v>
      </c>
      <c r="DA15" s="132">
        <f>VLOOKUP(DA$7,'[6]Curve Summary'!$A$9:$AG$161,7)</f>
        <v>39.47</v>
      </c>
      <c r="DB15" s="132">
        <f>VLOOKUP(DB$7,'[6]Curve Summary'!$A$9:$AG$161,7)</f>
        <v>39.21</v>
      </c>
      <c r="DC15" s="132">
        <f>VLOOKUP(DC$7,'[6]Curve Summary'!$A$9:$AG$161,7)</f>
        <v>39.21</v>
      </c>
      <c r="DD15" s="132">
        <f>VLOOKUP(DD$7,'[6]Curve Summary'!$A$9:$AG$161,7)</f>
        <v>38.96</v>
      </c>
      <c r="DE15" s="132">
        <f>VLOOKUP(DE$7,'[6]Curve Summary'!$A$9:$AG$161,7)</f>
        <v>38.96</v>
      </c>
      <c r="DF15" s="132">
        <f>VLOOKUP(DF$7,'[6]Curve Summary'!$A$9:$AG$161,7)</f>
        <v>42.6</v>
      </c>
      <c r="DG15" s="132">
        <f>VLOOKUP(DG$7,'[6]Curve Summary'!$A$9:$AG$161,7)</f>
        <v>50.81</v>
      </c>
      <c r="DH15" s="132">
        <f>VLOOKUP(DH$7,'[6]Curve Summary'!$A$9:$AG$161,7)</f>
        <v>54.71</v>
      </c>
      <c r="DI15" s="132">
        <f>VLOOKUP(DI$7,'[6]Curve Summary'!$A$9:$AG$161,7)</f>
        <v>47.67</v>
      </c>
      <c r="DJ15" s="132">
        <f>VLOOKUP(DJ$7,'[6]Curve Summary'!$A$9:$AG$161,7)</f>
        <v>39.74</v>
      </c>
      <c r="DK15" s="132">
        <f>VLOOKUP(DK$7,'[6]Curve Summary'!$A$9:$AG$161,7)</f>
        <v>38.700000000000003</v>
      </c>
      <c r="DL15" s="132">
        <f>VLOOKUP(DL$7,'[6]Curve Summary'!$A$9:$AG$161,7)</f>
        <v>38.57</v>
      </c>
      <c r="DM15" s="132">
        <f>VLOOKUP(DM$7,'[6]Curve Summary'!$A$9:$AG$161,7)</f>
        <v>39.9</v>
      </c>
      <c r="DN15" s="132">
        <f>VLOOKUP(DN$7,'[6]Curve Summary'!$A$9:$AG$161,7)</f>
        <v>39.65</v>
      </c>
      <c r="DO15" s="132">
        <f>VLOOKUP(DO$7,'[6]Curve Summary'!$A$9:$AG$161,7)</f>
        <v>39.659999999999997</v>
      </c>
      <c r="DP15" s="132">
        <f>VLOOKUP(DP$7,'[6]Curve Summary'!$A$9:$AG$161,7)</f>
        <v>39.409999999999997</v>
      </c>
      <c r="DQ15" s="132">
        <f>VLOOKUP(DQ$7,'[6]Curve Summary'!$A$9:$AG$161,7)</f>
        <v>39.42</v>
      </c>
      <c r="DR15" s="132">
        <f>VLOOKUP(DR$7,'[6]Curve Summary'!$A$9:$AG$161,7)</f>
        <v>42.79</v>
      </c>
      <c r="DS15" s="132">
        <f>VLOOKUP(DS$7,'[6]Curve Summary'!$A$9:$AG$161,7)</f>
        <v>50.37</v>
      </c>
      <c r="DT15" s="132">
        <f>VLOOKUP(DT$7,'[6]Curve Summary'!$A$9:$AG$161,7)</f>
        <v>53.97</v>
      </c>
      <c r="DU15" s="132">
        <f>VLOOKUP(DU$7,'[6]Curve Summary'!$A$9:$AG$161,7)</f>
        <v>47.46</v>
      </c>
      <c r="DV15" s="132">
        <f>VLOOKUP(DV$7,'[6]Curve Summary'!$A$9:$AG$161,7)</f>
        <v>40.130000000000003</v>
      </c>
      <c r="DW15" s="132">
        <f>VLOOKUP(DW$7,'[6]Curve Summary'!$A$9:$AG$161,7)</f>
        <v>39.18</v>
      </c>
      <c r="DX15" s="132">
        <f>VLOOKUP(DX$7,'[6]Curve Summary'!$A$9:$AG$161,7)</f>
        <v>39.06</v>
      </c>
      <c r="DY15" s="132">
        <f>VLOOKUP(DY$7,'[6]Curve Summary'!$A$9:$AG$161,7)</f>
        <v>40.25</v>
      </c>
      <c r="DZ15" s="132">
        <f>VLOOKUP(DZ$7,'[6]Curve Summary'!$A$9:$AG$161,7)</f>
        <v>40.020000000000003</v>
      </c>
      <c r="EA15" s="132">
        <f>VLOOKUP(EA$7,'[6]Curve Summary'!$A$9:$AG$161,7)</f>
        <v>40.04</v>
      </c>
      <c r="EB15" s="132">
        <f>VLOOKUP(EB$7,'[6]Curve Summary'!$A$9:$AG$161,7)</f>
        <v>39.81</v>
      </c>
      <c r="EC15" s="132">
        <f>VLOOKUP(EC$7,'[6]Curve Summary'!$A$9:$AG$161,7)</f>
        <v>39.82</v>
      </c>
      <c r="ED15" s="132">
        <f>VLOOKUP(ED$7,'[6]Curve Summary'!$A$9:$AG$161,7)</f>
        <v>42.91</v>
      </c>
      <c r="EE15" s="132">
        <f>VLOOKUP(EE$7,'[6]Curve Summary'!$A$9:$AG$161,7)</f>
        <v>49.92</v>
      </c>
      <c r="EF15" s="132">
        <f>VLOOKUP(EF$7,'[6]Curve Summary'!$A$9:$AG$161,7)</f>
        <v>53.25</v>
      </c>
      <c r="EG15" s="132">
        <f>VLOOKUP(EG$7,'[6]Curve Summary'!$A$9:$AG$161,7)</f>
        <v>47.23</v>
      </c>
      <c r="EH15" s="132">
        <f>VLOOKUP(EH$7,'[6]Curve Summary'!$A$9:$AG$161,7)</f>
        <v>40.479999999999997</v>
      </c>
      <c r="EI15" s="132">
        <f>VLOOKUP(EI$7,'[6]Curve Summary'!$A$9:$AG$161,7)</f>
        <v>39.590000000000003</v>
      </c>
      <c r="EJ15" s="132">
        <f>VLOOKUP(EJ$7,'[6]Curve Summary'!$A$9:$AG$161,7)</f>
        <v>39.49</v>
      </c>
    </row>
    <row r="16" spans="1:140" ht="13.7" customHeight="1" x14ac:dyDescent="0.2">
      <c r="A16" s="174"/>
      <c r="B16" s="175"/>
      <c r="C16" s="132"/>
      <c r="D16" s="132"/>
      <c r="E16" s="132"/>
      <c r="F16" s="132"/>
      <c r="G16" s="132"/>
      <c r="H16" s="132"/>
      <c r="I16" s="132"/>
      <c r="J16" s="132"/>
      <c r="K16" s="132"/>
      <c r="L16" s="132"/>
      <c r="M16" s="132"/>
      <c r="N16" s="132"/>
      <c r="O16" s="132"/>
      <c r="P16" s="132"/>
      <c r="Q16" s="132"/>
      <c r="R16" s="132"/>
      <c r="S16" s="132"/>
      <c r="T16" s="132"/>
      <c r="U16" s="132"/>
      <c r="V16" s="132"/>
      <c r="W16" s="132"/>
      <c r="X16" s="132"/>
      <c r="Y16" s="132"/>
      <c r="Z16" s="132"/>
      <c r="AA16" s="132"/>
      <c r="AB16" s="132"/>
      <c r="AC16" s="134"/>
      <c r="AD16" s="163"/>
      <c r="AE16" s="163"/>
      <c r="AF16" s="164"/>
      <c r="AG16" s="132"/>
      <c r="AH16" s="132"/>
      <c r="AI16" s="132"/>
      <c r="AJ16" s="132"/>
      <c r="AK16" s="132"/>
      <c r="AL16" s="132"/>
      <c r="AM16" s="132"/>
      <c r="AN16" s="132"/>
      <c r="AO16" s="132"/>
      <c r="AP16" s="132"/>
      <c r="AQ16" s="132"/>
      <c r="AR16" s="132"/>
      <c r="AS16" s="132"/>
      <c r="AT16" s="132"/>
      <c r="AU16" s="132"/>
      <c r="AV16" s="132"/>
      <c r="AW16" s="132"/>
      <c r="AX16" s="132"/>
      <c r="AY16" s="132"/>
      <c r="AZ16" s="132"/>
      <c r="BA16" s="132"/>
      <c r="BB16" s="132"/>
      <c r="BC16" s="132"/>
      <c r="BD16" s="132"/>
      <c r="BE16" s="132"/>
      <c r="BF16" s="132"/>
      <c r="BG16" s="132"/>
      <c r="BH16" s="132"/>
      <c r="BI16" s="132"/>
      <c r="BJ16" s="132"/>
      <c r="BK16" s="132"/>
      <c r="BL16" s="132"/>
      <c r="BM16" s="132"/>
      <c r="BN16" s="132"/>
      <c r="BO16" s="132"/>
      <c r="BP16" s="132"/>
      <c r="BQ16" s="132"/>
      <c r="BR16" s="132"/>
      <c r="BS16" s="132"/>
      <c r="BT16" s="132"/>
      <c r="BU16" s="132"/>
      <c r="BV16" s="132"/>
      <c r="BW16" s="132"/>
      <c r="BX16" s="132"/>
      <c r="BY16" s="132"/>
      <c r="BZ16" s="132"/>
      <c r="CA16" s="132"/>
      <c r="CB16" s="132"/>
      <c r="CC16" s="132"/>
      <c r="CD16" s="132"/>
      <c r="CE16" s="132"/>
      <c r="CF16" s="132"/>
      <c r="CG16" s="132"/>
      <c r="CH16" s="132"/>
      <c r="CI16" s="132"/>
      <c r="CJ16" s="132"/>
      <c r="CK16" s="132"/>
      <c r="CL16" s="132"/>
      <c r="CM16" s="132"/>
      <c r="CN16" s="132"/>
      <c r="CO16" s="132"/>
      <c r="CP16" s="132"/>
      <c r="CQ16" s="132"/>
      <c r="CR16" s="132"/>
      <c r="CS16" s="132"/>
      <c r="CT16" s="132"/>
      <c r="CU16" s="132"/>
      <c r="CV16" s="132"/>
      <c r="CW16" s="132"/>
      <c r="CX16" s="132"/>
      <c r="CY16" s="132"/>
      <c r="CZ16" s="132"/>
      <c r="DA16" s="132"/>
      <c r="DB16" s="132"/>
      <c r="DC16" s="132"/>
      <c r="DD16" s="132"/>
      <c r="DE16" s="132"/>
      <c r="DF16" s="132"/>
      <c r="DG16" s="132"/>
      <c r="DH16" s="132"/>
      <c r="DI16" s="132"/>
      <c r="DJ16" s="132"/>
      <c r="DK16" s="132"/>
      <c r="DL16" s="132"/>
      <c r="DM16" s="132"/>
      <c r="DN16" s="132"/>
      <c r="DO16" s="132"/>
      <c r="DP16" s="132"/>
      <c r="DQ16" s="132"/>
      <c r="DR16" s="132"/>
      <c r="DS16" s="132"/>
      <c r="DT16" s="132"/>
      <c r="DU16" s="132"/>
      <c r="DV16" s="132"/>
      <c r="DW16" s="132"/>
      <c r="DX16" s="132"/>
      <c r="DY16" s="132"/>
      <c r="DZ16" s="132"/>
      <c r="EA16" s="132"/>
      <c r="EB16" s="132"/>
      <c r="EC16" s="132"/>
      <c r="ED16" s="132"/>
      <c r="EE16" s="132"/>
      <c r="EF16" s="132"/>
      <c r="EG16" s="132"/>
      <c r="EH16" s="132"/>
      <c r="EI16" s="132"/>
      <c r="EJ16" s="132"/>
    </row>
    <row r="17" spans="1:140" ht="13.7" customHeight="1" thickBot="1" x14ac:dyDescent="0.3">
      <c r="A17" s="176" t="s">
        <v>172</v>
      </c>
      <c r="B17" s="171"/>
      <c r="C17" s="136"/>
      <c r="D17" s="136"/>
      <c r="E17" s="136"/>
      <c r="F17" s="136"/>
      <c r="G17" s="136"/>
      <c r="H17" s="136"/>
      <c r="I17" s="136"/>
      <c r="J17" s="136"/>
      <c r="K17" s="136"/>
      <c r="L17" s="136"/>
      <c r="M17" s="136"/>
      <c r="N17" s="136"/>
      <c r="O17" s="136"/>
      <c r="P17" s="136"/>
      <c r="Q17" s="136"/>
      <c r="R17" s="136"/>
      <c r="S17" s="136"/>
      <c r="T17" s="136"/>
      <c r="U17" s="136"/>
      <c r="V17" s="136"/>
      <c r="W17" s="136"/>
      <c r="X17" s="136"/>
      <c r="Y17" s="136"/>
      <c r="Z17" s="136"/>
      <c r="AA17" s="136"/>
      <c r="AB17" s="136"/>
      <c r="AC17" s="136"/>
      <c r="AD17" s="163"/>
      <c r="AE17" s="163"/>
      <c r="AF17" s="164"/>
      <c r="AG17" s="132"/>
      <c r="AH17" s="132"/>
      <c r="AI17" s="132"/>
      <c r="AJ17" s="132"/>
      <c r="AK17" s="132"/>
      <c r="AL17" s="132"/>
      <c r="AM17" s="132"/>
      <c r="AN17" s="132"/>
      <c r="AO17" s="132"/>
      <c r="AP17" s="132"/>
      <c r="AQ17" s="132"/>
      <c r="AR17" s="132"/>
      <c r="AS17" s="132"/>
      <c r="AT17" s="132"/>
      <c r="AU17" s="132"/>
      <c r="AV17" s="132"/>
      <c r="AW17" s="132"/>
      <c r="AX17" s="132"/>
      <c r="AY17" s="132"/>
      <c r="AZ17" s="132"/>
      <c r="BA17" s="132"/>
      <c r="BB17" s="132"/>
      <c r="BC17" s="132"/>
      <c r="BD17" s="132"/>
      <c r="BE17" s="132"/>
      <c r="BF17" s="132"/>
      <c r="BG17" s="132"/>
      <c r="BH17" s="132"/>
      <c r="BI17" s="132"/>
      <c r="BJ17" s="132"/>
      <c r="BK17" s="132"/>
      <c r="BL17" s="132"/>
      <c r="BM17" s="132"/>
      <c r="BN17" s="132"/>
      <c r="BO17" s="132"/>
      <c r="BP17" s="132"/>
      <c r="BQ17" s="132"/>
      <c r="BR17" s="132"/>
      <c r="BS17" s="132"/>
      <c r="BT17" s="132"/>
      <c r="BU17" s="132"/>
      <c r="BV17" s="132"/>
      <c r="BW17" s="132"/>
      <c r="BX17" s="132"/>
      <c r="BY17" s="132"/>
      <c r="BZ17" s="132"/>
      <c r="CA17" s="132"/>
      <c r="CB17" s="132"/>
      <c r="CC17" s="132"/>
      <c r="CD17" s="132"/>
      <c r="CE17" s="132"/>
      <c r="CF17" s="132"/>
      <c r="CG17" s="132"/>
      <c r="CH17" s="132"/>
      <c r="CI17" s="132"/>
      <c r="CJ17" s="132"/>
      <c r="CK17" s="132"/>
      <c r="CL17" s="132"/>
      <c r="CM17" s="132"/>
      <c r="CN17" s="132"/>
      <c r="CO17" s="132"/>
      <c r="CP17" s="132"/>
      <c r="CQ17" s="132"/>
      <c r="CR17" s="132"/>
      <c r="CS17" s="132"/>
      <c r="CT17" s="132"/>
      <c r="CU17" s="132"/>
      <c r="CV17" s="132"/>
      <c r="CW17" s="132"/>
      <c r="CX17" s="132"/>
      <c r="CY17" s="132"/>
      <c r="CZ17" s="132"/>
      <c r="DA17" s="132"/>
      <c r="DB17" s="132"/>
      <c r="DC17" s="132"/>
      <c r="DD17" s="132"/>
      <c r="DE17" s="132"/>
      <c r="DF17" s="132"/>
      <c r="DG17" s="132"/>
      <c r="DH17" s="132"/>
      <c r="DI17" s="132"/>
      <c r="DJ17" s="132"/>
      <c r="DK17" s="132"/>
      <c r="DL17" s="132"/>
      <c r="DM17" s="132"/>
      <c r="DN17" s="132"/>
      <c r="DO17" s="132"/>
      <c r="DP17" s="132"/>
      <c r="DQ17" s="132"/>
      <c r="DR17" s="132"/>
      <c r="DS17" s="132"/>
      <c r="DT17" s="132"/>
      <c r="DU17" s="132"/>
      <c r="DV17" s="132"/>
      <c r="DW17" s="132"/>
      <c r="DX17" s="132"/>
      <c r="DY17" s="132"/>
      <c r="DZ17" s="132"/>
      <c r="EA17" s="132"/>
      <c r="EB17" s="132"/>
      <c r="EC17" s="132"/>
      <c r="ED17" s="132"/>
      <c r="EE17" s="132"/>
      <c r="EF17" s="132"/>
      <c r="EG17" s="132"/>
      <c r="EH17" s="132"/>
      <c r="EI17" s="132"/>
      <c r="EJ17" s="132"/>
    </row>
    <row r="18" spans="1:140" ht="13.7" customHeight="1" thickBot="1" x14ac:dyDescent="0.25">
      <c r="A18" s="177" t="s">
        <v>173</v>
      </c>
      <c r="B18" s="178" t="s">
        <v>174</v>
      </c>
      <c r="C18" s="179">
        <f>'[6]Power Desk Daily Price'!$AC18</f>
        <v>31.791666666666668</v>
      </c>
      <c r="D18" s="179">
        <f ca="1">IF(ISERROR((AVERAGE(OFFSET('[6]Curve Summary ALBERTA'!$R$6,21,0,2,1))*2+ 19* '[6]Curve Summary Backup'!$R$38)/21), '[6]Curve Summary Backup'!$R$38,(AVERAGE(OFFSET('[6]Curve Summary ALBERTA'!$R$6,21,0,2,1))*2+ 19* '[6]Curve Summary Backup'!$R$38)/21)</f>
        <v>39.199996948242188</v>
      </c>
      <c r="E18" s="179">
        <f>VLOOKUP(E$7,'[6]Curve Summary ALBERTA'!$A$7:$AG$63,18)</f>
        <v>46.549999237060547</v>
      </c>
      <c r="F18" s="180">
        <f ca="1">(C18*C$5+D18*D$5+E18*E$5)/(SUM(C$5:E$5))</f>
        <v>39.18087301619066</v>
      </c>
      <c r="G18" s="179">
        <f>AVERAGE(H18:I18)</f>
        <v>46.391626510620114</v>
      </c>
      <c r="H18" s="179">
        <f>AG18</f>
        <v>46.738515319824216</v>
      </c>
      <c r="I18" s="179">
        <f>AH18</f>
        <v>46.044737701416018</v>
      </c>
      <c r="J18" s="179">
        <f>AVERAGE(K18:L18)</f>
        <v>43.541668395996098</v>
      </c>
      <c r="K18" s="179">
        <f>AI18</f>
        <v>44.989060668945314</v>
      </c>
      <c r="L18" s="179">
        <f>AJ18</f>
        <v>42.094276123046875</v>
      </c>
      <c r="M18" s="179">
        <f>AK18</f>
        <v>42.559287414550781</v>
      </c>
      <c r="N18" s="179">
        <f>AL18</f>
        <v>43.415684856194005</v>
      </c>
      <c r="O18" s="179">
        <f>AVERAGE(P18:Q18)</f>
        <v>46.377160310298009</v>
      </c>
      <c r="P18" s="179">
        <f>AM18</f>
        <v>46.03385745195893</v>
      </c>
      <c r="Q18" s="179">
        <f>AN18</f>
        <v>46.720463168637096</v>
      </c>
      <c r="R18" s="179">
        <f>AO18</f>
        <v>46.688050112768842</v>
      </c>
      <c r="S18" s="179">
        <f>AVERAGE(T18:V18)</f>
        <v>49.842164944367916</v>
      </c>
      <c r="T18" s="179">
        <f>AP18</f>
        <v>45.363648045943307</v>
      </c>
      <c r="U18" s="179">
        <f>AQ18</f>
        <v>50.122292181478933</v>
      </c>
      <c r="V18" s="179">
        <f>AR18</f>
        <v>54.040554605681521</v>
      </c>
      <c r="W18" s="179">
        <f>SUM(AG37:AR37)/SUM($AG$5:$AR$5)</f>
        <v>46.194595730891805</v>
      </c>
      <c r="X18" s="179">
        <f>SUM(AS37:BD37)/SUM($AS$5:$BD$5)</f>
        <v>44.150735007081352</v>
      </c>
      <c r="Y18" s="179">
        <f>SUM(BE37:BR37)/SUM($BE$5:$BR$5)</f>
        <v>44.169742756281636</v>
      </c>
      <c r="Z18" s="179">
        <f>SUM(BQ37:CB37)/SUM($BQ$5:$CB$5)</f>
        <v>42.987459222374028</v>
      </c>
      <c r="AA18" s="179">
        <f>SUM(CC37:DX37)/SUM($CC$5:$DX$5)</f>
        <v>40.714009319408405</v>
      </c>
      <c r="AB18" s="181">
        <f>SUM(DY37:EJ37)/SUM($DY$5:$EJ$5)</f>
        <v>43.634926400895644</v>
      </c>
      <c r="AC18" s="182">
        <f ca="1">(C18*C$5+D18*D$5+E18*E$5+SUM(AG37:EJ37))/(SUM(C$5:E$5)+SUM($AG$5:$EJ$5))</f>
        <v>42.541410880080115</v>
      </c>
      <c r="AD18" s="163"/>
      <c r="AE18" s="163"/>
      <c r="AF18" s="164"/>
      <c r="AG18" s="132">
        <f>VLOOKUP(AG$7,'[6]Curve Summary ALBERTA'!$A$13:$AG$161,18)</f>
        <v>46.738515319824216</v>
      </c>
      <c r="AH18" s="132">
        <f>VLOOKUP(AH$7,'[6]Curve Summary ALBERTA'!$A$13:$AG$161,18)</f>
        <v>46.044737701416018</v>
      </c>
      <c r="AI18" s="132">
        <f>VLOOKUP(AI$7,'[6]Curve Summary ALBERTA'!$A$13:$AG$161,18)</f>
        <v>44.989060668945314</v>
      </c>
      <c r="AJ18" s="132">
        <f>VLOOKUP(AJ$7,'[6]Curve Summary ALBERTA'!$A$13:$AG$161,18)</f>
        <v>42.094276123046875</v>
      </c>
      <c r="AK18" s="132">
        <f>VLOOKUP(AK$7,'[6]Curve Summary ALBERTA'!$A$13:$AG$161,18)</f>
        <v>42.559287414550781</v>
      </c>
      <c r="AL18" s="132">
        <f>VLOOKUP(AL$7,'[6]Curve Summary ALBERTA'!$A$13:$AG$161,18)</f>
        <v>43.415684856194005</v>
      </c>
      <c r="AM18" s="132">
        <f>VLOOKUP(AM$7,'[6]Curve Summary ALBERTA'!$A$13:$AG$161,18)</f>
        <v>46.03385745195893</v>
      </c>
      <c r="AN18" s="132">
        <f>VLOOKUP(AN$7,'[6]Curve Summary ALBERTA'!$A$13:$AG$161,18)</f>
        <v>46.720463168637096</v>
      </c>
      <c r="AO18" s="132">
        <f>VLOOKUP(AO$7,'[6]Curve Summary ALBERTA'!$A$13:$AG$161,18)</f>
        <v>46.688050112768842</v>
      </c>
      <c r="AP18" s="132">
        <f>VLOOKUP(AP$7,'[6]Curve Summary ALBERTA'!$A$13:$AG$161,18)</f>
        <v>45.363648045943307</v>
      </c>
      <c r="AQ18" s="132">
        <f>VLOOKUP(AQ$7,'[6]Curve Summary ALBERTA'!$A$13:$AG$161,18)</f>
        <v>50.122292181478933</v>
      </c>
      <c r="AR18" s="132">
        <f>VLOOKUP(AR$7,'[6]Curve Summary ALBERTA'!$A$13:$AG$161,18)</f>
        <v>54.040554605681521</v>
      </c>
      <c r="AS18" s="132">
        <f>VLOOKUP(AS$7,'[6]Curve Summary ALBERTA'!$A$13:$AG$161,18)</f>
        <v>47.278262748383035</v>
      </c>
      <c r="AT18" s="132">
        <f>VLOOKUP(AT$7,'[6]Curve Summary ALBERTA'!$A$13:$AG$161,18)</f>
        <v>45.874440960413892</v>
      </c>
      <c r="AU18" s="132">
        <f>VLOOKUP(AU$7,'[6]Curve Summary ALBERTA'!$A$13:$AG$161,18)</f>
        <v>44.155655738014168</v>
      </c>
      <c r="AV18" s="132">
        <f>VLOOKUP(AV$7,'[6]Curve Summary ALBERTA'!$A$13:$AG$161,18)</f>
        <v>41.339262323673609</v>
      </c>
      <c r="AW18" s="132">
        <f>VLOOKUP(AW$7,'[6]Curve Summary ALBERTA'!$A$13:$AG$161,18)</f>
        <v>41.546649754657516</v>
      </c>
      <c r="AX18" s="132">
        <f>VLOOKUP(AX$7,'[6]Curve Summary ALBERTA'!$A$13:$AG$161,18)</f>
        <v>42.051335336045746</v>
      </c>
      <c r="AY18" s="132">
        <f>VLOOKUP(AY$7,'[6]Curve Summary ALBERTA'!$A$13:$AG$161,18)</f>
        <v>42.445530898575761</v>
      </c>
      <c r="AZ18" s="132">
        <f>VLOOKUP(AZ$7,'[6]Curve Summary ALBERTA'!$A$13:$AG$161,18)</f>
        <v>42.791994793972414</v>
      </c>
      <c r="BA18" s="132">
        <f>VLOOKUP(BA$7,'[6]Curve Summary ALBERTA'!$A$13:$AG$161,18)</f>
        <v>42.886975883991887</v>
      </c>
      <c r="BB18" s="132">
        <f>VLOOKUP(BB$7,'[6]Curve Summary ALBERTA'!$A$13:$AG$161,18)</f>
        <v>43.123561390394222</v>
      </c>
      <c r="BC18" s="132">
        <f>VLOOKUP(BC$7,'[6]Curve Summary ALBERTA'!$A$13:$AG$161,18)</f>
        <v>46.945458547079802</v>
      </c>
      <c r="BD18" s="132">
        <f>VLOOKUP(BD$7,'[6]Curve Summary ALBERTA'!$A$13:$AG$161,18)</f>
        <v>49.621405010438885</v>
      </c>
      <c r="BE18" s="132">
        <f>VLOOKUP(BE$7,'[6]Curve Summary ALBERTA'!$A$13:$AG$161,18)</f>
        <v>48.135202527010954</v>
      </c>
      <c r="BF18" s="132">
        <f>VLOOKUP(BF$7,'[6]Curve Summary ALBERTA'!$A$13:$AG$161,18)</f>
        <v>46.370841891385552</v>
      </c>
      <c r="BG18" s="132">
        <f>VLOOKUP(BG$7,'[6]Curve Summary ALBERTA'!$A$13:$AG$161,18)</f>
        <v>44.3226970343838</v>
      </c>
      <c r="BH18" s="132">
        <f>VLOOKUP(BH$7,'[6]Curve Summary ALBERTA'!$A$13:$AG$161,18)</f>
        <v>40.889840327256721</v>
      </c>
      <c r="BI18" s="132">
        <f>VLOOKUP(BI$7,'[6]Curve Summary ALBERTA'!$A$13:$AG$161,18)</f>
        <v>40.818219095192291</v>
      </c>
      <c r="BJ18" s="132">
        <f>VLOOKUP(BJ$7,'[6]Curve Summary ALBERTA'!$A$13:$AG$161,18)</f>
        <v>41.298759129244161</v>
      </c>
      <c r="BK18" s="132">
        <f>VLOOKUP(BK$7,'[6]Curve Summary ALBERTA'!$A$13:$AG$161,18)</f>
        <v>41.990248189769204</v>
      </c>
      <c r="BL18" s="132">
        <f>VLOOKUP(BL$7,'[6]Curve Summary ALBERTA'!$A$13:$AG$161,18)</f>
        <v>42.490438256966911</v>
      </c>
      <c r="BM18" s="132">
        <f>VLOOKUP(BM$7,'[6]Curve Summary ALBERTA'!$A$13:$AG$161,18)</f>
        <v>42.49813993335033</v>
      </c>
      <c r="BN18" s="132">
        <f>VLOOKUP(BN$7,'[6]Curve Summary ALBERTA'!$A$13:$AG$161,18)</f>
        <v>42.58258932870141</v>
      </c>
      <c r="BO18" s="132">
        <f>VLOOKUP(BO$7,'[6]Curve Summary ALBERTA'!$A$13:$AG$161,18)</f>
        <v>46.001272576934689</v>
      </c>
      <c r="BP18" s="132">
        <f>VLOOKUP(BP$7,'[6]Curve Summary ALBERTA'!$A$13:$AG$161,18)</f>
        <v>48.47670969205133</v>
      </c>
      <c r="BQ18" s="132">
        <f>VLOOKUP(BQ$7,'[6]Curve Summary ALBERTA'!$A$13:$AG$161,18)</f>
        <v>47.064408259299327</v>
      </c>
      <c r="BR18" s="132">
        <f>VLOOKUP(BR$7,'[6]Curve Summary ALBERTA'!$A$13:$AG$161,18)</f>
        <v>45.388393005984341</v>
      </c>
      <c r="BS18" s="132">
        <f>VLOOKUP(BS$7,'[6]Curve Summary ALBERTA'!$A$13:$AG$161,18)</f>
        <v>43.442864058775712</v>
      </c>
      <c r="BT18" s="132">
        <f>VLOOKUP(BT$7,'[6]Curve Summary ALBERTA'!$A$13:$AG$161,18)</f>
        <v>40.252279459969259</v>
      </c>
      <c r="BU18" s="132">
        <f>VLOOKUP(BU$7,'[6]Curve Summary ALBERTA'!$A$13:$AG$161,18)</f>
        <v>40.185440830415757</v>
      </c>
      <c r="BV18" s="132">
        <f>VLOOKUP(BV$7,'[6]Curve Summary ALBERTA'!$A$13:$AG$161,18)</f>
        <v>40.643689504623197</v>
      </c>
      <c r="BW18" s="132">
        <f>VLOOKUP(BW$7,'[6]Curve Summary ALBERTA'!$A$13:$AG$161,18)</f>
        <v>41.302362797794132</v>
      </c>
      <c r="BX18" s="132">
        <f>VLOOKUP(BX$7,'[6]Curve Summary ALBERTA'!$A$13:$AG$161,18)</f>
        <v>41.778801328768516</v>
      </c>
      <c r="BY18" s="132">
        <f>VLOOKUP(BY$7,'[6]Curve Summary ALBERTA'!$A$13:$AG$161,18)</f>
        <v>41.787090567883887</v>
      </c>
      <c r="BZ18" s="132">
        <f>VLOOKUP(BZ$7,'[6]Curve Summary ALBERTA'!$A$13:$AG$161,18)</f>
        <v>41.867505455278682</v>
      </c>
      <c r="CA18" s="132">
        <f>VLOOKUP(CA$7,'[6]Curve Summary ALBERTA'!$A$13:$AG$161,18)</f>
        <v>44.990957521006941</v>
      </c>
      <c r="CB18" s="132">
        <f>VLOOKUP(CB$7,'[6]Curve Summary ALBERTA'!$A$13:$AG$161,18)</f>
        <v>47.363151840173764</v>
      </c>
      <c r="CC18" s="132">
        <f>VLOOKUP(CC$7,'[6]Curve Summary ALBERTA'!$A$13:$AG$161,18)</f>
        <v>42.570205750659291</v>
      </c>
      <c r="CD18" s="132">
        <f>VLOOKUP(CD$7,'[6]Curve Summary ALBERTA'!$A$13:$AG$161,18)</f>
        <v>41.117098725657939</v>
      </c>
      <c r="CE18" s="132">
        <f>VLOOKUP(CE$7,'[6]Curve Summary ALBERTA'!$A$13:$AG$161,18)</f>
        <v>39.423420690906411</v>
      </c>
      <c r="CF18" s="132">
        <f>VLOOKUP(CF$7,'[6]Curve Summary ALBERTA'!$A$13:$AG$161,18)</f>
        <v>36.629498868557967</v>
      </c>
      <c r="CG18" s="132">
        <f>VLOOKUP(CG$7,'[6]Curve Summary ALBERTA'!$A$13:$AG$161,18)</f>
        <v>36.586592999333227</v>
      </c>
      <c r="CH18" s="132">
        <f>VLOOKUP(CH$7,'[6]Curve Summary ALBERTA'!$A$13:$AG$161,18)</f>
        <v>37.008278817074974</v>
      </c>
      <c r="CI18" s="132">
        <f>VLOOKUP(CI$7,'[6]Curve Summary ALBERTA'!$A$13:$AG$161,18)</f>
        <v>37.60573392949091</v>
      </c>
      <c r="CJ18" s="132">
        <f>VLOOKUP(CJ$7,'[6]Curve Summary ALBERTA'!$A$13:$AG$161,18)</f>
        <v>38.042097134983969</v>
      </c>
      <c r="CK18" s="132">
        <f>VLOOKUP(CK$7,'[6]Curve Summary ALBERTA'!$A$13:$AG$161,18)</f>
        <v>38.065439359408138</v>
      </c>
      <c r="CL18" s="132">
        <f>VLOOKUP(CL$7,'[6]Curve Summary ALBERTA'!$A$13:$AG$161,18)</f>
        <v>38.151355008343458</v>
      </c>
      <c r="CM18" s="132">
        <f>VLOOKUP(CM$7,'[6]Curve Summary ALBERTA'!$A$13:$AG$161,18)</f>
        <v>40.974020032620508</v>
      </c>
      <c r="CN18" s="132">
        <f>VLOOKUP(CN$7,'[6]Curve Summary ALBERTA'!$A$13:$AG$161,18)</f>
        <v>43.069062767114154</v>
      </c>
      <c r="CO18" s="132">
        <f>VLOOKUP(CO$7,'[6]Curve Summary ALBERTA'!$A$13:$AG$161,18)</f>
        <v>44.040939765212848</v>
      </c>
      <c r="CP18" s="132">
        <f>VLOOKUP(CP$7,'[6]Curve Summary ALBERTA'!$A$13:$AG$161,18)</f>
        <v>42.568827220115146</v>
      </c>
      <c r="CQ18" s="132">
        <f>VLOOKUP(CQ$7,'[6]Curve Summary ALBERTA'!$A$13:$AG$161,18)</f>
        <v>40.856192667508303</v>
      </c>
      <c r="CR18" s="132">
        <f>VLOOKUP(CR$7,'[6]Curve Summary ALBERTA'!$A$13:$AG$161,18)</f>
        <v>37.974375160850002</v>
      </c>
      <c r="CS18" s="132">
        <f>VLOOKUP(CS$7,'[6]Curve Summary ALBERTA'!$A$13:$AG$161,18)</f>
        <v>37.92078025505711</v>
      </c>
      <c r="CT18" s="132">
        <f>VLOOKUP(CT$7,'[6]Curve Summary ALBERTA'!$A$13:$AG$161,18)</f>
        <v>38.33300215108671</v>
      </c>
      <c r="CU18" s="132">
        <f>VLOOKUP(CU$7,'[6]Curve Summary ALBERTA'!$A$13:$AG$161,18)</f>
        <v>38.92133982098143</v>
      </c>
      <c r="CV18" s="132">
        <f>VLOOKUP(CV$7,'[6]Curve Summary ALBERTA'!$A$13:$AG$161,18)</f>
        <v>39.346720039580575</v>
      </c>
      <c r="CW18" s="132">
        <f>VLOOKUP(CW$7,'[6]Curve Summary ALBERTA'!$A$13:$AG$161,18)</f>
        <v>39.356899636338063</v>
      </c>
      <c r="CX18" s="132">
        <f>VLOOKUP(CX$7,'[6]Curve Summary ALBERTA'!$A$13:$AG$161,18)</f>
        <v>39.429775719040371</v>
      </c>
      <c r="CY18" s="132">
        <f>VLOOKUP(CY$7,'[6]Curve Summary ALBERTA'!$A$13:$AG$161,18)</f>
        <v>41.94682405330505</v>
      </c>
      <c r="CZ18" s="132">
        <f>VLOOKUP(CZ$7,'[6]Curve Summary ALBERTA'!$A$13:$AG$161,18)</f>
        <v>44.04907924888726</v>
      </c>
      <c r="DA18" s="132">
        <f>VLOOKUP(DA$7,'[6]Curve Summary ALBERTA'!$A$13:$AG$161,18)</f>
        <v>45.05638413669417</v>
      </c>
      <c r="DB18" s="132">
        <f>VLOOKUP(DB$7,'[6]Curve Summary ALBERTA'!$A$13:$AG$161,18)</f>
        <v>43.580799341961168</v>
      </c>
      <c r="DC18" s="132">
        <f>VLOOKUP(DC$7,'[6]Curve Summary ALBERTA'!$A$13:$AG$161,18)</f>
        <v>41.864176019988577</v>
      </c>
      <c r="DD18" s="132">
        <f>VLOOKUP(DD$7,'[6]Curve Summary ALBERTA'!$A$13:$AG$161,18)</f>
        <v>38.78522827940192</v>
      </c>
      <c r="DE18" s="132">
        <f>VLOOKUP(DE$7,'[6]Curve Summary ALBERTA'!$A$13:$AG$161,18)</f>
        <v>38.732294091865647</v>
      </c>
      <c r="DF18" s="132">
        <f>VLOOKUP(DF$7,'[6]Curve Summary ALBERTA'!$A$13:$AG$161,18)</f>
        <v>39.146656224530396</v>
      </c>
      <c r="DG18" s="132">
        <f>VLOOKUP(DG$7,'[6]Curve Summary ALBERTA'!$A$13:$AG$161,18)</f>
        <v>39.737673766850925</v>
      </c>
      <c r="DH18" s="132">
        <f>VLOOKUP(DH$7,'[6]Curve Summary ALBERTA'!$A$13:$AG$161,18)</f>
        <v>40.165269334226103</v>
      </c>
      <c r="DI18" s="132">
        <f>VLOOKUP(DI$7,'[6]Curve Summary ALBERTA'!$A$13:$AG$161,18)</f>
        <v>40.176363449628816</v>
      </c>
      <c r="DJ18" s="132">
        <f>VLOOKUP(DJ$7,'[6]Curve Summary ALBERTA'!$A$13:$AG$161,18)</f>
        <v>40.2503266988207</v>
      </c>
      <c r="DK18" s="132">
        <f>VLOOKUP(DK$7,'[6]Curve Summary ALBERTA'!$A$13:$AG$161,18)</f>
        <v>42.855736015310477</v>
      </c>
      <c r="DL18" s="132">
        <f>VLOOKUP(DL$7,'[6]Curve Summary ALBERTA'!$A$13:$AG$161,18)</f>
        <v>44.98655282501425</v>
      </c>
      <c r="DM18" s="132">
        <f>VLOOKUP(DM$7,'[6]Curve Summary ALBERTA'!$A$13:$AG$161,18)</f>
        <v>46.052296109670301</v>
      </c>
      <c r="DN18" s="132">
        <f>VLOOKUP(DN$7,'[6]Curve Summary ALBERTA'!$A$13:$AG$161,18)</f>
        <v>44.592507370438639</v>
      </c>
      <c r="DO18" s="132">
        <f>VLOOKUP(DO$7,'[6]Curve Summary ALBERTA'!$A$13:$AG$161,18)</f>
        <v>42.886809731860893</v>
      </c>
      <c r="DP18" s="132">
        <f>VLOOKUP(DP$7,'[6]Curve Summary ALBERTA'!$A$13:$AG$161,18)</f>
        <v>39.304293859460117</v>
      </c>
      <c r="DQ18" s="132">
        <f>VLOOKUP(DQ$7,'[6]Curve Summary ALBERTA'!$A$13:$AG$161,18)</f>
        <v>39.271287417965198</v>
      </c>
      <c r="DR18" s="132">
        <f>VLOOKUP(DR$7,'[6]Curve Summary ALBERTA'!$A$13:$AG$161,18)</f>
        <v>39.70993314697207</v>
      </c>
      <c r="DS18" s="132">
        <f>VLOOKUP(DS$7,'[6]Curve Summary ALBERTA'!$A$13:$AG$161,18)</f>
        <v>40.326751761595077</v>
      </c>
      <c r="DT18" s="132">
        <f>VLOOKUP(DT$7,'[6]Curve Summary ALBERTA'!$A$13:$AG$161,18)</f>
        <v>40.780622794131922</v>
      </c>
      <c r="DU18" s="132">
        <f>VLOOKUP(DU$7,'[6]Curve Summary ALBERTA'!$A$13:$AG$161,18)</f>
        <v>40.815282022161689</v>
      </c>
      <c r="DV18" s="132">
        <f>VLOOKUP(DV$7,'[6]Curve Summary ALBERTA'!$A$13:$AG$161,18)</f>
        <v>40.91308372567196</v>
      </c>
      <c r="DW18" s="132">
        <f>VLOOKUP(DW$7,'[6]Curve Summary ALBERTA'!$A$13:$AG$161,18)</f>
        <v>44.50960842953036</v>
      </c>
      <c r="DX18" s="132">
        <f>VLOOKUP(DX$7,'[6]Curve Summary ALBERTA'!$A$13:$AG$161,18)</f>
        <v>46.668180237780184</v>
      </c>
      <c r="DY18" s="132">
        <f>VLOOKUP(DY$7,'[6]Curve Summary ALBERTA'!$A$13:$AG$161,18)</f>
        <v>47.784030271991391</v>
      </c>
      <c r="DZ18" s="132">
        <f>VLOOKUP(DZ$7,'[6]Curve Summary ALBERTA'!$A$13:$AG$161,18)</f>
        <v>46.317517935307691</v>
      </c>
      <c r="EA18" s="132">
        <f>VLOOKUP(EA$7,'[6]Curve Summary ALBERTA'!$A$13:$AG$161,18)</f>
        <v>44.601479202218208</v>
      </c>
      <c r="EB18" s="132">
        <f>VLOOKUP(EB$7,'[6]Curve Summary ALBERTA'!$A$13:$AG$161,18)</f>
        <v>40.861427877799031</v>
      </c>
      <c r="EC18" s="132">
        <f>VLOOKUP(EC$7,'[6]Curve Summary ALBERTA'!$A$13:$AG$161,18)</f>
        <v>40.834659528486519</v>
      </c>
      <c r="ED18" s="132">
        <f>VLOOKUP(ED$7,'[6]Curve Summary ALBERTA'!$A$13:$AG$161,18)</f>
        <v>41.284743319648832</v>
      </c>
      <c r="EE18" s="132">
        <f>VLOOKUP(EE$7,'[6]Curve Summary ALBERTA'!$A$13:$AG$161,18)</f>
        <v>41.914822395517156</v>
      </c>
      <c r="EF18" s="132">
        <f>VLOOKUP(EF$7,'[6]Curve Summary ALBERTA'!$A$13:$AG$161,18)</f>
        <v>42.380604353367247</v>
      </c>
      <c r="EG18" s="132">
        <f>VLOOKUP(EG$7,'[6]Curve Summary ALBERTA'!$A$13:$AG$161,18)</f>
        <v>42.422718116323594</v>
      </c>
      <c r="EH18" s="132">
        <f>VLOOKUP(EH$7,'[6]Curve Summary ALBERTA'!$A$13:$AG$161,18)</f>
        <v>42.528472325602145</v>
      </c>
      <c r="EI18" s="132">
        <f>VLOOKUP(EI$7,'[6]Curve Summary ALBERTA'!$A$13:$AG$161,18)</f>
        <v>45.269190985930464</v>
      </c>
      <c r="EJ18" s="132">
        <f>VLOOKUP(EJ$7,'[6]Curve Summary ALBERTA'!$A$13:$AG$161,18)</f>
        <v>47.458897384946944</v>
      </c>
    </row>
    <row r="19" spans="1:140" ht="13.7" hidden="1" customHeight="1" x14ac:dyDescent="0.2">
      <c r="A19" s="165"/>
      <c r="C19" s="132"/>
      <c r="D19" s="132"/>
      <c r="E19" s="132"/>
      <c r="F19" s="132"/>
      <c r="G19" s="132"/>
      <c r="H19" s="132"/>
      <c r="I19" s="132"/>
      <c r="J19" s="132"/>
      <c r="K19" s="132"/>
      <c r="L19" s="132"/>
      <c r="M19" s="132"/>
      <c r="N19" s="132"/>
      <c r="O19" s="132"/>
      <c r="P19" s="132"/>
      <c r="Q19" s="132"/>
      <c r="R19" s="132"/>
      <c r="S19" s="132"/>
      <c r="T19" s="132"/>
      <c r="U19" s="132"/>
      <c r="V19" s="132"/>
      <c r="W19" s="132"/>
      <c r="X19" s="132"/>
      <c r="Y19" s="132"/>
      <c r="Z19" s="132"/>
      <c r="AA19" s="132"/>
      <c r="AB19" s="133"/>
      <c r="AC19" s="168"/>
      <c r="AD19" s="163"/>
      <c r="AE19" s="163"/>
      <c r="AF19" s="164"/>
      <c r="AG19" s="132"/>
      <c r="AH19" s="132"/>
      <c r="AI19" s="132"/>
      <c r="AJ19" s="132"/>
      <c r="AK19" s="132"/>
      <c r="AL19" s="132"/>
      <c r="AM19" s="132"/>
      <c r="AN19" s="132"/>
      <c r="AO19" s="132"/>
      <c r="AP19" s="132"/>
      <c r="AQ19" s="132"/>
      <c r="AR19" s="132"/>
      <c r="AS19" s="132"/>
      <c r="AT19" s="132"/>
      <c r="AU19" s="132"/>
      <c r="AV19" s="132"/>
      <c r="AW19" s="132"/>
      <c r="AX19" s="132"/>
      <c r="AY19" s="132"/>
      <c r="AZ19" s="132"/>
      <c r="BA19" s="132"/>
      <c r="BB19" s="132"/>
      <c r="BC19" s="132"/>
      <c r="BD19" s="132"/>
      <c r="BE19" s="132"/>
      <c r="BF19" s="132"/>
      <c r="BG19" s="132"/>
      <c r="BH19" s="132"/>
      <c r="BI19" s="132"/>
      <c r="BJ19" s="132"/>
      <c r="BK19" s="132"/>
      <c r="BL19" s="132"/>
      <c r="BM19" s="132"/>
      <c r="BN19" s="132"/>
      <c r="BO19" s="132"/>
      <c r="BP19" s="132"/>
      <c r="BQ19" s="132"/>
      <c r="BR19" s="132"/>
      <c r="BS19" s="132"/>
      <c r="BT19" s="132"/>
      <c r="BU19" s="132"/>
      <c r="BV19" s="132"/>
      <c r="BW19" s="132"/>
      <c r="BX19" s="132"/>
      <c r="BY19" s="132"/>
      <c r="BZ19" s="132"/>
      <c r="CA19" s="132"/>
      <c r="CB19" s="132"/>
      <c r="CC19" s="132"/>
      <c r="CD19" s="132"/>
      <c r="CE19" s="132"/>
      <c r="CF19" s="132"/>
      <c r="CG19" s="132"/>
      <c r="CH19" s="132"/>
      <c r="CI19" s="132"/>
      <c r="CJ19" s="132"/>
      <c r="CK19" s="132"/>
      <c r="CL19" s="132"/>
      <c r="CM19" s="132"/>
      <c r="CN19" s="132"/>
      <c r="CO19" s="132"/>
      <c r="CP19" s="132"/>
      <c r="CQ19" s="132"/>
      <c r="CR19" s="132"/>
      <c r="CS19" s="132"/>
      <c r="CT19" s="132"/>
      <c r="CU19" s="132"/>
      <c r="CV19" s="132"/>
      <c r="CW19" s="132"/>
      <c r="CX19" s="132"/>
      <c r="CY19" s="132"/>
      <c r="CZ19" s="132"/>
      <c r="DA19" s="132"/>
      <c r="DB19" s="132"/>
      <c r="DC19" s="132"/>
      <c r="DD19" s="132"/>
      <c r="DE19" s="132"/>
      <c r="DF19" s="132"/>
      <c r="DG19" s="132"/>
      <c r="DH19" s="132"/>
      <c r="DI19" s="132"/>
      <c r="DJ19" s="132"/>
      <c r="DK19" s="132"/>
      <c r="DL19" s="132"/>
      <c r="DM19" s="132"/>
      <c r="DN19" s="132"/>
      <c r="DO19" s="132"/>
      <c r="DP19" s="132"/>
      <c r="DQ19" s="132"/>
      <c r="DR19" s="132"/>
      <c r="DS19" s="132"/>
      <c r="DT19" s="132"/>
      <c r="DU19" s="132"/>
      <c r="DV19" s="132"/>
      <c r="DW19" s="132"/>
      <c r="DX19" s="132"/>
      <c r="DY19" s="132"/>
      <c r="DZ19" s="132"/>
      <c r="EA19" s="132"/>
      <c r="EB19" s="132"/>
      <c r="EC19" s="132"/>
      <c r="ED19" s="132"/>
      <c r="EE19" s="132"/>
      <c r="EF19" s="132"/>
      <c r="EG19" s="132"/>
      <c r="EH19" s="132"/>
      <c r="EI19" s="132"/>
      <c r="EJ19" s="132"/>
    </row>
    <row r="20" spans="1:140" ht="13.7" hidden="1" customHeight="1" x14ac:dyDescent="0.2">
      <c r="A20" s="165"/>
      <c r="C20" s="132"/>
      <c r="D20" s="132"/>
      <c r="E20" s="132"/>
      <c r="F20" s="132"/>
      <c r="G20" s="132"/>
      <c r="H20" s="132"/>
      <c r="I20" s="132"/>
      <c r="J20" s="132"/>
      <c r="K20" s="132"/>
      <c r="L20" s="132"/>
      <c r="M20" s="132"/>
      <c r="N20" s="132"/>
      <c r="O20" s="132"/>
      <c r="P20" s="132"/>
      <c r="Q20" s="132"/>
      <c r="R20" s="132"/>
      <c r="S20" s="132"/>
      <c r="T20" s="132"/>
      <c r="U20" s="132"/>
      <c r="V20" s="132"/>
      <c r="W20" s="132"/>
      <c r="X20" s="132"/>
      <c r="Y20" s="132"/>
      <c r="Z20" s="132"/>
      <c r="AA20" s="132"/>
      <c r="AB20" s="133"/>
      <c r="AC20" s="168"/>
      <c r="AD20" s="163"/>
      <c r="AE20" s="163"/>
      <c r="AF20" s="164"/>
      <c r="AG20" s="132"/>
      <c r="AH20" s="132"/>
      <c r="AI20" s="132"/>
      <c r="AJ20" s="132"/>
      <c r="AK20" s="132"/>
      <c r="AL20" s="132"/>
      <c r="AM20" s="132"/>
      <c r="AN20" s="132"/>
      <c r="AO20" s="132"/>
      <c r="AP20" s="132"/>
      <c r="AQ20" s="132"/>
      <c r="AR20" s="132"/>
      <c r="AS20" s="132"/>
      <c r="AT20" s="132"/>
      <c r="AU20" s="132"/>
      <c r="AV20" s="132"/>
      <c r="AW20" s="132"/>
      <c r="AX20" s="132"/>
      <c r="AY20" s="132"/>
      <c r="AZ20" s="132"/>
      <c r="BA20" s="132"/>
      <c r="BB20" s="132"/>
      <c r="BC20" s="132"/>
      <c r="BD20" s="132"/>
      <c r="BE20" s="132"/>
      <c r="BF20" s="132"/>
      <c r="BG20" s="132"/>
      <c r="BH20" s="132"/>
      <c r="BI20" s="132"/>
      <c r="BJ20" s="132"/>
      <c r="BK20" s="132"/>
      <c r="BL20" s="132"/>
      <c r="BM20" s="132"/>
      <c r="BN20" s="132"/>
      <c r="BO20" s="132"/>
      <c r="BP20" s="132"/>
      <c r="BQ20" s="132"/>
      <c r="BR20" s="132"/>
      <c r="BS20" s="132"/>
      <c r="BT20" s="132"/>
      <c r="BU20" s="132"/>
      <c r="BV20" s="132"/>
      <c r="BW20" s="132"/>
      <c r="BX20" s="132"/>
      <c r="BY20" s="132"/>
      <c r="BZ20" s="132"/>
      <c r="CA20" s="132"/>
      <c r="CB20" s="132"/>
      <c r="CC20" s="132"/>
      <c r="CD20" s="132"/>
      <c r="CE20" s="132"/>
      <c r="CF20" s="132"/>
      <c r="CG20" s="132"/>
      <c r="CH20" s="132"/>
      <c r="CI20" s="132"/>
      <c r="CJ20" s="132"/>
      <c r="CK20" s="132"/>
      <c r="CL20" s="132"/>
      <c r="CM20" s="132"/>
      <c r="CN20" s="132"/>
      <c r="CO20" s="132"/>
      <c r="CP20" s="132"/>
      <c r="CQ20" s="132"/>
      <c r="CR20" s="132"/>
      <c r="CS20" s="132"/>
      <c r="CT20" s="132"/>
      <c r="CU20" s="132"/>
      <c r="CV20" s="132"/>
      <c r="CW20" s="132"/>
      <c r="CX20" s="132"/>
      <c r="CY20" s="132"/>
      <c r="CZ20" s="132"/>
      <c r="DA20" s="132"/>
      <c r="DB20" s="132"/>
      <c r="DC20" s="132"/>
      <c r="DD20" s="132"/>
      <c r="DE20" s="132"/>
      <c r="DF20" s="132"/>
      <c r="DG20" s="132"/>
      <c r="DH20" s="132"/>
      <c r="DI20" s="132"/>
      <c r="DJ20" s="132"/>
      <c r="DK20" s="132"/>
      <c r="DL20" s="132"/>
      <c r="DM20" s="132"/>
      <c r="DN20" s="132"/>
      <c r="DO20" s="132"/>
      <c r="DP20" s="132"/>
      <c r="DQ20" s="132"/>
      <c r="DR20" s="132"/>
      <c r="DS20" s="132"/>
      <c r="DT20" s="132"/>
      <c r="DU20" s="132"/>
      <c r="DV20" s="132"/>
      <c r="DW20" s="132"/>
      <c r="DX20" s="132"/>
      <c r="DY20" s="132"/>
      <c r="DZ20" s="132"/>
      <c r="EA20" s="132"/>
      <c r="EB20" s="132"/>
      <c r="EC20" s="132"/>
      <c r="ED20" s="132"/>
      <c r="EE20" s="132"/>
      <c r="EF20" s="132"/>
      <c r="EG20" s="132"/>
      <c r="EH20" s="132"/>
      <c r="EI20" s="132"/>
      <c r="EJ20" s="132"/>
    </row>
    <row r="21" spans="1:140" ht="13.7" hidden="1" customHeight="1" thickBot="1" x14ac:dyDescent="0.25">
      <c r="A21" s="165"/>
      <c r="C21" s="132"/>
      <c r="D21" s="132"/>
      <c r="E21" s="132"/>
      <c r="F21" s="132"/>
      <c r="G21" s="132"/>
      <c r="H21" s="132"/>
      <c r="I21" s="132"/>
      <c r="J21" s="132"/>
      <c r="K21" s="132"/>
      <c r="L21" s="132"/>
      <c r="M21" s="132"/>
      <c r="N21" s="132"/>
      <c r="O21" s="132"/>
      <c r="P21" s="132"/>
      <c r="Q21" s="132"/>
      <c r="R21" s="132"/>
      <c r="S21" s="132"/>
      <c r="T21" s="132"/>
      <c r="U21" s="132"/>
      <c r="V21" s="132"/>
      <c r="W21" s="132"/>
      <c r="X21" s="132"/>
      <c r="Y21" s="132"/>
      <c r="Z21" s="132"/>
      <c r="AA21" s="132"/>
      <c r="AB21" s="133"/>
      <c r="AC21" s="168"/>
      <c r="AD21" s="163"/>
      <c r="AE21" s="163"/>
      <c r="AF21" s="164"/>
      <c r="AG21" s="132"/>
      <c r="AH21" s="132"/>
      <c r="AI21" s="132"/>
      <c r="AJ21" s="132"/>
      <c r="AK21" s="132"/>
      <c r="AL21" s="132"/>
      <c r="AM21" s="132"/>
      <c r="AN21" s="132"/>
      <c r="AO21" s="132"/>
      <c r="AP21" s="132"/>
      <c r="AQ21" s="132"/>
      <c r="AR21" s="132"/>
      <c r="AS21" s="132"/>
      <c r="AT21" s="132"/>
      <c r="AU21" s="132"/>
      <c r="AV21" s="132"/>
      <c r="AW21" s="132"/>
      <c r="AX21" s="132"/>
      <c r="AY21" s="132"/>
      <c r="AZ21" s="132"/>
      <c r="BA21" s="132"/>
      <c r="BB21" s="132"/>
      <c r="BC21" s="132"/>
      <c r="BD21" s="132"/>
      <c r="BE21" s="132"/>
      <c r="BF21" s="132"/>
      <c r="BG21" s="132"/>
      <c r="BH21" s="132"/>
      <c r="BI21" s="132"/>
      <c r="BJ21" s="132"/>
      <c r="BK21" s="132"/>
      <c r="BL21" s="132"/>
      <c r="BM21" s="132"/>
      <c r="BN21" s="132"/>
      <c r="BO21" s="132"/>
      <c r="BP21" s="132"/>
      <c r="BQ21" s="132"/>
      <c r="BR21" s="132"/>
      <c r="BS21" s="132"/>
      <c r="BT21" s="132"/>
      <c r="BU21" s="132"/>
      <c r="BV21" s="132"/>
      <c r="BW21" s="132"/>
      <c r="BX21" s="132"/>
      <c r="BY21" s="132"/>
      <c r="BZ21" s="132"/>
      <c r="CA21" s="132"/>
      <c r="CB21" s="132"/>
      <c r="CC21" s="132"/>
      <c r="CD21" s="132"/>
      <c r="CE21" s="132"/>
      <c r="CF21" s="132"/>
      <c r="CG21" s="132"/>
      <c r="CH21" s="132"/>
      <c r="CI21" s="132"/>
      <c r="CJ21" s="132"/>
      <c r="CK21" s="132"/>
      <c r="CL21" s="132"/>
      <c r="CM21" s="132"/>
      <c r="CN21" s="132"/>
      <c r="CO21" s="132"/>
      <c r="CP21" s="132"/>
      <c r="CQ21" s="132"/>
      <c r="CR21" s="132"/>
      <c r="CS21" s="132"/>
      <c r="CT21" s="132"/>
      <c r="CU21" s="132"/>
      <c r="CV21" s="132"/>
      <c r="CW21" s="132"/>
      <c r="CX21" s="132"/>
      <c r="CY21" s="132"/>
      <c r="CZ21" s="132"/>
      <c r="DA21" s="132"/>
      <c r="DB21" s="132"/>
      <c r="DC21" s="132"/>
      <c r="DD21" s="132"/>
      <c r="DE21" s="132"/>
      <c r="DF21" s="132"/>
      <c r="DG21" s="132"/>
      <c r="DH21" s="132"/>
      <c r="DI21" s="132"/>
      <c r="DJ21" s="132"/>
      <c r="DK21" s="132"/>
      <c r="DL21" s="132"/>
      <c r="DM21" s="132"/>
      <c r="DN21" s="132"/>
      <c r="DO21" s="132"/>
      <c r="DP21" s="132"/>
      <c r="DQ21" s="132"/>
      <c r="DR21" s="132"/>
      <c r="DS21" s="132"/>
      <c r="DT21" s="132"/>
      <c r="DU21" s="132"/>
      <c r="DV21" s="132"/>
      <c r="DW21" s="132"/>
      <c r="DX21" s="132"/>
      <c r="DY21" s="132"/>
      <c r="DZ21" s="132"/>
      <c r="EA21" s="132"/>
      <c r="EB21" s="132"/>
      <c r="EC21" s="132"/>
      <c r="ED21" s="132"/>
      <c r="EE21" s="132"/>
      <c r="EF21" s="132"/>
      <c r="EG21" s="132"/>
      <c r="EH21" s="132"/>
      <c r="EI21" s="132"/>
      <c r="EJ21" s="132"/>
    </row>
    <row r="22" spans="1:140" ht="13.7" hidden="1" customHeight="1" x14ac:dyDescent="0.2">
      <c r="A22" s="165"/>
      <c r="C22" s="132"/>
      <c r="D22" s="132"/>
      <c r="E22" s="132"/>
      <c r="F22" s="132"/>
      <c r="G22" s="132"/>
      <c r="H22" s="132"/>
      <c r="I22" s="132"/>
      <c r="J22" s="132"/>
      <c r="K22" s="132"/>
      <c r="L22" s="132"/>
      <c r="M22" s="132"/>
      <c r="N22" s="132"/>
      <c r="O22" s="132"/>
      <c r="P22" s="132"/>
      <c r="Q22" s="132"/>
      <c r="R22" s="132"/>
      <c r="S22" s="132"/>
      <c r="T22" s="132"/>
      <c r="U22" s="132"/>
      <c r="V22" s="132"/>
      <c r="W22" s="132"/>
      <c r="X22" s="132"/>
      <c r="Y22" s="132"/>
      <c r="Z22" s="132"/>
      <c r="AA22" s="132"/>
      <c r="AB22" s="133"/>
      <c r="AC22" s="168"/>
      <c r="AD22" s="163"/>
      <c r="AE22" s="163"/>
      <c r="AF22" s="164"/>
      <c r="AG22" s="132"/>
      <c r="AH22" s="132"/>
      <c r="AI22" s="132"/>
      <c r="AJ22" s="132"/>
      <c r="AK22" s="132"/>
      <c r="AL22" s="132"/>
      <c r="AM22" s="132"/>
      <c r="AN22" s="132"/>
      <c r="AO22" s="132"/>
      <c r="AP22" s="132"/>
      <c r="AQ22" s="132"/>
      <c r="AR22" s="132"/>
      <c r="AS22" s="132"/>
      <c r="AT22" s="132"/>
      <c r="AU22" s="132"/>
      <c r="AV22" s="132"/>
      <c r="AW22" s="132"/>
      <c r="AX22" s="132"/>
      <c r="AY22" s="132"/>
      <c r="AZ22" s="132"/>
      <c r="BA22" s="132"/>
      <c r="BB22" s="132"/>
      <c r="BC22" s="132"/>
      <c r="BD22" s="132"/>
      <c r="BE22" s="132"/>
      <c r="BF22" s="132"/>
      <c r="BG22" s="132"/>
      <c r="BH22" s="132"/>
      <c r="BI22" s="132"/>
      <c r="BJ22" s="132"/>
      <c r="BK22" s="132"/>
      <c r="BL22" s="132"/>
      <c r="BM22" s="132"/>
      <c r="BN22" s="132"/>
      <c r="BO22" s="132"/>
      <c r="BP22" s="132"/>
      <c r="BQ22" s="132"/>
      <c r="BR22" s="132"/>
      <c r="BS22" s="132"/>
      <c r="BT22" s="132"/>
      <c r="BU22" s="132"/>
      <c r="BV22" s="132"/>
      <c r="BW22" s="132"/>
      <c r="BX22" s="132"/>
      <c r="BY22" s="132"/>
      <c r="BZ22" s="132"/>
      <c r="CA22" s="132"/>
      <c r="CB22" s="132"/>
      <c r="CC22" s="132"/>
      <c r="CD22" s="132"/>
      <c r="CE22" s="132"/>
      <c r="CF22" s="132"/>
      <c r="CG22" s="132"/>
      <c r="CH22" s="132"/>
      <c r="CI22" s="132"/>
      <c r="CJ22" s="132"/>
      <c r="CK22" s="132"/>
      <c r="CL22" s="132"/>
      <c r="CM22" s="132"/>
      <c r="CN22" s="132"/>
      <c r="CO22" s="132"/>
      <c r="CP22" s="132"/>
      <c r="CQ22" s="132"/>
      <c r="CR22" s="132"/>
      <c r="CS22" s="132"/>
      <c r="CT22" s="132"/>
      <c r="CU22" s="132"/>
      <c r="CV22" s="132"/>
      <c r="CW22" s="132"/>
      <c r="CX22" s="132"/>
      <c r="CY22" s="132"/>
      <c r="CZ22" s="132"/>
      <c r="DA22" s="132"/>
      <c r="DB22" s="132"/>
      <c r="DC22" s="132"/>
      <c r="DD22" s="132"/>
      <c r="DE22" s="132"/>
      <c r="DF22" s="132"/>
      <c r="DG22" s="132"/>
      <c r="DH22" s="132"/>
      <c r="DI22" s="132"/>
      <c r="DJ22" s="132"/>
      <c r="DK22" s="132"/>
      <c r="DL22" s="132"/>
      <c r="DM22" s="132"/>
      <c r="DN22" s="132"/>
      <c r="DO22" s="132"/>
      <c r="DP22" s="132"/>
      <c r="DQ22" s="132"/>
      <c r="DR22" s="132"/>
      <c r="DS22" s="132"/>
      <c r="DT22" s="132"/>
      <c r="DU22" s="132"/>
      <c r="DV22" s="132"/>
      <c r="DW22" s="132"/>
      <c r="DX22" s="132"/>
      <c r="DY22" s="132"/>
      <c r="DZ22" s="132"/>
      <c r="EA22" s="132"/>
      <c r="EB22" s="132"/>
      <c r="EC22" s="132"/>
      <c r="ED22" s="132"/>
      <c r="EE22" s="132"/>
      <c r="EF22" s="132"/>
      <c r="EG22" s="132"/>
      <c r="EH22" s="132"/>
      <c r="EI22" s="132"/>
      <c r="EJ22" s="132"/>
    </row>
    <row r="23" spans="1:140" ht="13.7" hidden="1" customHeight="1" x14ac:dyDescent="0.2">
      <c r="A23" s="165"/>
      <c r="C23" s="132"/>
      <c r="D23" s="132"/>
      <c r="E23" s="132"/>
      <c r="F23" s="132"/>
      <c r="G23" s="132"/>
      <c r="H23" s="132"/>
      <c r="I23" s="132"/>
      <c r="J23" s="132"/>
      <c r="K23" s="132"/>
      <c r="L23" s="132"/>
      <c r="M23" s="132"/>
      <c r="N23" s="132"/>
      <c r="O23" s="132"/>
      <c r="P23" s="132"/>
      <c r="Q23" s="132"/>
      <c r="R23" s="132"/>
      <c r="S23" s="132"/>
      <c r="T23" s="132"/>
      <c r="U23" s="132"/>
      <c r="V23" s="132"/>
      <c r="W23" s="132"/>
      <c r="X23" s="132"/>
      <c r="Y23" s="132"/>
      <c r="Z23" s="132"/>
      <c r="AA23" s="132"/>
      <c r="AB23" s="133"/>
      <c r="AC23" s="168"/>
      <c r="AD23" s="163"/>
      <c r="AE23" s="163"/>
      <c r="AF23" s="164"/>
      <c r="AG23" s="132"/>
      <c r="AH23" s="132"/>
      <c r="AI23" s="132"/>
      <c r="AJ23" s="132"/>
      <c r="AK23" s="132"/>
      <c r="AL23" s="132"/>
      <c r="AM23" s="132"/>
      <c r="AN23" s="132"/>
      <c r="AO23" s="132"/>
      <c r="AP23" s="132"/>
      <c r="AQ23" s="132"/>
      <c r="AR23" s="132"/>
      <c r="AS23" s="132"/>
      <c r="AT23" s="132"/>
      <c r="AU23" s="132"/>
      <c r="AV23" s="132"/>
      <c r="AW23" s="132"/>
      <c r="AX23" s="132"/>
      <c r="AY23" s="132"/>
      <c r="AZ23" s="132"/>
      <c r="BA23" s="132"/>
      <c r="BB23" s="132"/>
      <c r="BC23" s="132"/>
      <c r="BD23" s="132"/>
      <c r="BE23" s="132"/>
      <c r="BF23" s="132"/>
      <c r="BG23" s="132"/>
      <c r="BH23" s="132"/>
      <c r="BI23" s="132"/>
      <c r="BJ23" s="132"/>
      <c r="BK23" s="132"/>
      <c r="BL23" s="132"/>
      <c r="BM23" s="132"/>
      <c r="BN23" s="132"/>
      <c r="BO23" s="132"/>
      <c r="BP23" s="132"/>
      <c r="BQ23" s="132"/>
      <c r="BR23" s="132"/>
      <c r="BS23" s="132"/>
      <c r="BT23" s="132"/>
      <c r="BU23" s="132"/>
      <c r="BV23" s="132"/>
      <c r="BW23" s="132"/>
      <c r="BX23" s="132"/>
      <c r="BY23" s="132"/>
      <c r="BZ23" s="132"/>
      <c r="CA23" s="132"/>
      <c r="CB23" s="132"/>
      <c r="CC23" s="132"/>
      <c r="CD23" s="132"/>
      <c r="CE23" s="132"/>
      <c r="CF23" s="132"/>
      <c r="CG23" s="132"/>
      <c r="CH23" s="132"/>
      <c r="CI23" s="132"/>
      <c r="CJ23" s="132"/>
      <c r="CK23" s="132"/>
      <c r="CL23" s="132"/>
      <c r="CM23" s="132"/>
      <c r="CN23" s="132"/>
      <c r="CO23" s="132"/>
      <c r="CP23" s="132"/>
      <c r="CQ23" s="132"/>
      <c r="CR23" s="132"/>
      <c r="CS23" s="132"/>
      <c r="CT23" s="132"/>
      <c r="CU23" s="132"/>
      <c r="CV23" s="132"/>
      <c r="CW23" s="132"/>
      <c r="CX23" s="132"/>
      <c r="CY23" s="132"/>
      <c r="CZ23" s="132"/>
      <c r="DA23" s="132"/>
      <c r="DB23" s="132"/>
      <c r="DC23" s="132"/>
      <c r="DD23" s="132"/>
      <c r="DE23" s="132"/>
      <c r="DF23" s="132"/>
      <c r="DG23" s="132"/>
      <c r="DH23" s="132"/>
      <c r="DI23" s="132"/>
      <c r="DJ23" s="132"/>
      <c r="DK23" s="132"/>
      <c r="DL23" s="132"/>
      <c r="DM23" s="132"/>
      <c r="DN23" s="132"/>
      <c r="DO23" s="132"/>
      <c r="DP23" s="132"/>
      <c r="DQ23" s="132"/>
      <c r="DR23" s="132"/>
      <c r="DS23" s="132"/>
      <c r="DT23" s="132"/>
      <c r="DU23" s="132"/>
      <c r="DV23" s="132"/>
      <c r="DW23" s="132"/>
      <c r="DX23" s="132"/>
      <c r="DY23" s="132"/>
      <c r="DZ23" s="132"/>
      <c r="EA23" s="132"/>
      <c r="EB23" s="132"/>
      <c r="EC23" s="132"/>
      <c r="ED23" s="132"/>
      <c r="EE23" s="132"/>
      <c r="EF23" s="132"/>
      <c r="EG23" s="132"/>
      <c r="EH23" s="132"/>
      <c r="EI23" s="132"/>
      <c r="EJ23" s="132"/>
    </row>
    <row r="24" spans="1:140" ht="13.7" hidden="1" customHeight="1" thickBot="1" x14ac:dyDescent="0.25">
      <c r="A24" s="165"/>
      <c r="C24" s="132"/>
      <c r="D24" s="132"/>
      <c r="E24" s="132"/>
      <c r="F24" s="132"/>
      <c r="G24" s="132"/>
      <c r="H24" s="132"/>
      <c r="I24" s="132"/>
      <c r="J24" s="132"/>
      <c r="K24" s="132"/>
      <c r="L24" s="132"/>
      <c r="M24" s="132"/>
      <c r="N24" s="132"/>
      <c r="O24" s="132"/>
      <c r="P24" s="132"/>
      <c r="Q24" s="132"/>
      <c r="R24" s="132"/>
      <c r="S24" s="132"/>
      <c r="T24" s="132"/>
      <c r="U24" s="132"/>
      <c r="V24" s="132"/>
      <c r="W24" s="132"/>
      <c r="X24" s="132"/>
      <c r="Y24" s="132"/>
      <c r="Z24" s="132"/>
      <c r="AA24" s="132"/>
      <c r="AB24" s="133"/>
      <c r="AC24" s="168"/>
      <c r="AD24" s="163"/>
      <c r="AE24" s="163"/>
      <c r="AF24" s="164"/>
      <c r="AG24" s="132"/>
      <c r="AH24" s="132"/>
      <c r="AI24" s="132"/>
      <c r="AJ24" s="132"/>
      <c r="AK24" s="132"/>
      <c r="AL24" s="132"/>
      <c r="AM24" s="132"/>
      <c r="AN24" s="132"/>
      <c r="AO24" s="132"/>
      <c r="AP24" s="132"/>
      <c r="AQ24" s="132"/>
      <c r="AR24" s="132"/>
      <c r="AS24" s="132"/>
      <c r="AT24" s="132"/>
      <c r="AU24" s="132"/>
      <c r="AV24" s="132"/>
      <c r="AW24" s="132"/>
      <c r="AX24" s="132"/>
      <c r="AY24" s="132"/>
      <c r="AZ24" s="132"/>
      <c r="BA24" s="132"/>
      <c r="BB24" s="132"/>
      <c r="BC24" s="132"/>
      <c r="BD24" s="132"/>
      <c r="BE24" s="132"/>
      <c r="BF24" s="132"/>
      <c r="BG24" s="132"/>
      <c r="BH24" s="132"/>
      <c r="BI24" s="132"/>
      <c r="BJ24" s="132"/>
      <c r="BK24" s="132"/>
      <c r="BL24" s="132"/>
      <c r="BM24" s="132"/>
      <c r="BN24" s="132"/>
      <c r="BO24" s="132"/>
      <c r="BP24" s="132"/>
      <c r="BQ24" s="132"/>
      <c r="BR24" s="132"/>
      <c r="BS24" s="132"/>
      <c r="BT24" s="132"/>
      <c r="BU24" s="132"/>
      <c r="BV24" s="132"/>
      <c r="BW24" s="132"/>
      <c r="BX24" s="132"/>
      <c r="BY24" s="132"/>
      <c r="BZ24" s="132"/>
      <c r="CA24" s="132"/>
      <c r="CB24" s="132"/>
      <c r="CC24" s="132"/>
      <c r="CD24" s="132"/>
      <c r="CE24" s="132"/>
      <c r="CF24" s="132"/>
      <c r="CG24" s="132"/>
      <c r="CH24" s="132"/>
      <c r="CI24" s="132"/>
      <c r="CJ24" s="132"/>
      <c r="CK24" s="132"/>
      <c r="CL24" s="132"/>
      <c r="CM24" s="132"/>
      <c r="CN24" s="132"/>
      <c r="CO24" s="132"/>
      <c r="CP24" s="132"/>
      <c r="CQ24" s="132"/>
      <c r="CR24" s="132"/>
      <c r="CS24" s="132"/>
      <c r="CT24" s="132"/>
      <c r="CU24" s="132"/>
      <c r="CV24" s="132"/>
      <c r="CW24" s="132"/>
      <c r="CX24" s="132"/>
      <c r="CY24" s="132"/>
      <c r="CZ24" s="132"/>
      <c r="DA24" s="132"/>
      <c r="DB24" s="132"/>
      <c r="DC24" s="132"/>
      <c r="DD24" s="132"/>
      <c r="DE24" s="132"/>
      <c r="DF24" s="132"/>
      <c r="DG24" s="132"/>
      <c r="DH24" s="132"/>
      <c r="DI24" s="132"/>
      <c r="DJ24" s="132"/>
      <c r="DK24" s="132"/>
      <c r="DL24" s="132"/>
      <c r="DM24" s="132"/>
      <c r="DN24" s="132"/>
      <c r="DO24" s="132"/>
      <c r="DP24" s="132"/>
      <c r="DQ24" s="132"/>
      <c r="DR24" s="132"/>
      <c r="DS24" s="132"/>
      <c r="DT24" s="132"/>
      <c r="DU24" s="132"/>
      <c r="DV24" s="132"/>
      <c r="DW24" s="132"/>
      <c r="DX24" s="132"/>
      <c r="DY24" s="132"/>
      <c r="DZ24" s="132"/>
      <c r="EA24" s="132"/>
      <c r="EB24" s="132"/>
      <c r="EC24" s="132"/>
      <c r="ED24" s="132"/>
      <c r="EE24" s="132"/>
      <c r="EF24" s="132"/>
      <c r="EG24" s="132"/>
      <c r="EH24" s="132"/>
      <c r="EI24" s="132"/>
      <c r="EJ24" s="132"/>
    </row>
    <row r="25" spans="1:140" ht="13.7" hidden="1" customHeight="1" thickBot="1" x14ac:dyDescent="0.25">
      <c r="A25" s="170"/>
      <c r="B25" s="183"/>
      <c r="C25" s="136"/>
      <c r="D25" s="136"/>
      <c r="E25" s="136"/>
      <c r="F25" s="136"/>
      <c r="G25" s="136"/>
      <c r="H25" s="136"/>
      <c r="I25" s="136"/>
      <c r="J25" s="136"/>
      <c r="K25" s="136"/>
      <c r="L25" s="136"/>
      <c r="M25" s="136"/>
      <c r="N25" s="136"/>
      <c r="O25" s="136"/>
      <c r="P25" s="136"/>
      <c r="Q25" s="136"/>
      <c r="R25" s="136"/>
      <c r="S25" s="136"/>
      <c r="T25" s="136"/>
      <c r="U25" s="136"/>
      <c r="V25" s="136"/>
      <c r="W25" s="136"/>
      <c r="X25" s="136"/>
      <c r="Y25" s="136"/>
      <c r="Z25" s="136"/>
      <c r="AA25" s="136"/>
      <c r="AB25" s="137"/>
      <c r="AC25" s="173"/>
      <c r="AD25" s="184"/>
      <c r="AE25" s="184"/>
      <c r="AF25" s="164"/>
      <c r="AG25" s="136"/>
      <c r="AH25" s="136"/>
      <c r="AI25" s="136"/>
      <c r="AJ25" s="136"/>
      <c r="AK25" s="136"/>
      <c r="AL25" s="136"/>
      <c r="AM25" s="136"/>
      <c r="AN25" s="136"/>
      <c r="AO25" s="136"/>
      <c r="AP25" s="136"/>
      <c r="AQ25" s="136"/>
      <c r="AR25" s="136"/>
      <c r="AS25" s="136"/>
      <c r="AT25" s="136"/>
      <c r="AU25" s="136"/>
      <c r="AV25" s="136"/>
      <c r="AW25" s="136"/>
      <c r="AX25" s="136"/>
      <c r="AY25" s="136"/>
      <c r="AZ25" s="136"/>
      <c r="BA25" s="136"/>
      <c r="BB25" s="136"/>
      <c r="BC25" s="136"/>
      <c r="BD25" s="136"/>
      <c r="BE25" s="136"/>
      <c r="BF25" s="136"/>
      <c r="BG25" s="136"/>
      <c r="BH25" s="136"/>
      <c r="BI25" s="136"/>
      <c r="BJ25" s="136"/>
      <c r="BK25" s="136"/>
      <c r="BL25" s="136"/>
      <c r="BM25" s="136"/>
      <c r="BN25" s="136"/>
      <c r="BO25" s="136"/>
      <c r="BP25" s="136"/>
      <c r="BQ25" s="136"/>
      <c r="BR25" s="136"/>
      <c r="BS25" s="136"/>
      <c r="BT25" s="136"/>
      <c r="BU25" s="136"/>
      <c r="BV25" s="136"/>
      <c r="BW25" s="136"/>
      <c r="BX25" s="136"/>
      <c r="BY25" s="136"/>
      <c r="BZ25" s="136"/>
      <c r="CA25" s="136"/>
      <c r="CB25" s="136"/>
      <c r="CC25" s="136"/>
      <c r="CD25" s="136"/>
      <c r="CE25" s="136"/>
      <c r="CF25" s="136"/>
      <c r="CG25" s="136"/>
      <c r="CH25" s="136"/>
      <c r="CI25" s="136"/>
      <c r="CJ25" s="136"/>
      <c r="CK25" s="136"/>
      <c r="CL25" s="136"/>
      <c r="CM25" s="136"/>
      <c r="CN25" s="136"/>
      <c r="CO25" s="136"/>
      <c r="CP25" s="136"/>
      <c r="CQ25" s="136"/>
      <c r="CR25" s="136"/>
      <c r="CS25" s="136"/>
      <c r="CT25" s="136"/>
      <c r="CU25" s="136"/>
      <c r="CV25" s="136"/>
      <c r="CW25" s="136"/>
      <c r="CX25" s="136"/>
      <c r="CY25" s="136"/>
      <c r="CZ25" s="136"/>
      <c r="DA25" s="136"/>
      <c r="DB25" s="136"/>
      <c r="DC25" s="136"/>
      <c r="DD25" s="136"/>
      <c r="DE25" s="136"/>
      <c r="DF25" s="136"/>
      <c r="DG25" s="136"/>
      <c r="DH25" s="136"/>
      <c r="DI25" s="136"/>
      <c r="DJ25" s="136"/>
      <c r="DK25" s="136"/>
      <c r="DL25" s="136"/>
      <c r="DM25" s="136"/>
      <c r="DN25" s="136"/>
      <c r="DO25" s="136"/>
      <c r="DP25" s="136"/>
      <c r="DQ25" s="136"/>
      <c r="DR25" s="136"/>
      <c r="DS25" s="136"/>
      <c r="DT25" s="136"/>
      <c r="DU25" s="136"/>
      <c r="DV25" s="136"/>
      <c r="DW25" s="136"/>
      <c r="DX25" s="136"/>
      <c r="DY25" s="136"/>
      <c r="DZ25" s="136"/>
      <c r="EA25" s="136"/>
      <c r="EB25" s="136"/>
      <c r="EC25" s="136"/>
      <c r="ED25" s="136"/>
      <c r="EE25" s="136"/>
      <c r="EF25" s="136"/>
      <c r="EG25" s="136"/>
      <c r="EH25" s="136"/>
      <c r="EI25" s="136"/>
      <c r="EJ25" s="136"/>
    </row>
    <row r="26" spans="1:140" ht="27" customHeight="1" x14ac:dyDescent="0.2">
      <c r="A26" s="142"/>
      <c r="C26" s="163"/>
      <c r="D26" s="163"/>
      <c r="E26" s="163"/>
      <c r="F26" s="163"/>
      <c r="G26" s="163"/>
      <c r="H26" s="163"/>
      <c r="I26" s="163"/>
      <c r="J26" s="163"/>
      <c r="K26" s="163"/>
      <c r="L26" s="163"/>
      <c r="M26" s="163"/>
      <c r="N26" s="163"/>
      <c r="O26" s="163"/>
      <c r="P26" s="163"/>
      <c r="Q26" s="163"/>
      <c r="R26" s="163"/>
      <c r="S26" s="163"/>
      <c r="T26" s="163"/>
      <c r="U26" s="163"/>
      <c r="V26" s="163"/>
      <c r="W26" s="163"/>
      <c r="X26" s="163"/>
      <c r="Y26" s="163"/>
      <c r="Z26" s="163"/>
      <c r="AA26" s="163"/>
      <c r="AB26" s="163"/>
      <c r="AC26" s="163"/>
      <c r="AD26" s="163"/>
      <c r="AE26" s="163"/>
    </row>
    <row r="27" spans="1:140" s="142" customFormat="1" ht="13.5" customHeight="1" thickBot="1" x14ac:dyDescent="0.3">
      <c r="A27" s="185" t="s">
        <v>88</v>
      </c>
      <c r="B27" s="186"/>
      <c r="C27" s="187"/>
      <c r="D27" s="187"/>
      <c r="E27" s="187"/>
      <c r="F27" s="187"/>
      <c r="G27" s="187"/>
      <c r="H27" s="187"/>
      <c r="I27" s="187"/>
      <c r="J27" s="187"/>
      <c r="K27" s="187"/>
      <c r="L27" s="187"/>
      <c r="M27" s="187"/>
      <c r="N27" s="187"/>
      <c r="O27" s="187"/>
      <c r="P27" s="187"/>
      <c r="Q27" s="187"/>
      <c r="R27" s="187"/>
      <c r="S27" s="187"/>
      <c r="T27" s="187"/>
      <c r="U27" s="187"/>
      <c r="V27" s="187"/>
      <c r="W27" s="187"/>
      <c r="X27" s="187"/>
      <c r="Y27" s="187"/>
      <c r="Z27" s="187"/>
      <c r="AA27" s="187"/>
      <c r="AB27" s="187"/>
      <c r="AC27" s="187"/>
      <c r="AD27" s="187"/>
      <c r="AE27" s="187"/>
    </row>
    <row r="28" spans="1:140" ht="13.7" customHeight="1" x14ac:dyDescent="0.2">
      <c r="A28" s="160" t="s">
        <v>137</v>
      </c>
      <c r="B28" s="142"/>
      <c r="C28" s="134">
        <f t="shared" ref="C28:AC34" si="16">C9-C47</f>
        <v>-0.38558333333332939</v>
      </c>
      <c r="D28" s="134">
        <f t="shared" ca="1" si="16"/>
        <v>1.75</v>
      </c>
      <c r="E28" s="134">
        <f t="shared" si="16"/>
        <v>1.8500000000000014</v>
      </c>
      <c r="F28" s="161">
        <f t="shared" ca="1" si="16"/>
        <v>1.1467585052000722</v>
      </c>
      <c r="G28" s="134">
        <f t="shared" si="16"/>
        <v>1.125</v>
      </c>
      <c r="H28" s="134">
        <f t="shared" si="16"/>
        <v>1.25</v>
      </c>
      <c r="I28" s="134">
        <f t="shared" si="16"/>
        <v>1</v>
      </c>
      <c r="J28" s="134">
        <f t="shared" si="16"/>
        <v>0</v>
      </c>
      <c r="K28" s="134">
        <f t="shared" si="16"/>
        <v>0</v>
      </c>
      <c r="L28" s="134">
        <f t="shared" si="16"/>
        <v>0</v>
      </c>
      <c r="M28" s="134">
        <f t="shared" si="16"/>
        <v>0</v>
      </c>
      <c r="N28" s="134">
        <f t="shared" si="16"/>
        <v>0</v>
      </c>
      <c r="O28" s="134">
        <f t="shared" si="16"/>
        <v>0.75</v>
      </c>
      <c r="P28" s="134">
        <f t="shared" si="16"/>
        <v>1</v>
      </c>
      <c r="Q28" s="134">
        <f t="shared" si="16"/>
        <v>0.5</v>
      </c>
      <c r="R28" s="134">
        <f t="shared" si="16"/>
        <v>1</v>
      </c>
      <c r="S28" s="134">
        <f t="shared" si="16"/>
        <v>0.1666666666666643</v>
      </c>
      <c r="T28" s="134">
        <f t="shared" si="16"/>
        <v>0.25</v>
      </c>
      <c r="U28" s="134">
        <f t="shared" si="16"/>
        <v>0.25</v>
      </c>
      <c r="V28" s="134">
        <f t="shared" si="16"/>
        <v>0</v>
      </c>
      <c r="W28" s="161">
        <f t="shared" si="16"/>
        <v>0.43627450980392268</v>
      </c>
      <c r="X28" s="134">
        <f t="shared" si="16"/>
        <v>0.4166666666666643</v>
      </c>
      <c r="Y28" s="134">
        <f t="shared" si="16"/>
        <v>0.43912751677851247</v>
      </c>
      <c r="Z28" s="134">
        <f t="shared" si="16"/>
        <v>0.41611764705881882</v>
      </c>
      <c r="AA28" s="134">
        <f t="shared" si="16"/>
        <v>0.41405882352940893</v>
      </c>
      <c r="AB28" s="134">
        <f t="shared" si="16"/>
        <v>0.41582031249999574</v>
      </c>
      <c r="AC28" s="162">
        <f t="shared" ca="1" si="16"/>
        <v>0.4396153574601982</v>
      </c>
      <c r="AD28" s="163"/>
      <c r="AE28" s="163"/>
      <c r="AF28" s="164"/>
      <c r="AG28" s="132">
        <f t="shared" ref="AG28:CR31" si="17">AG9*AG$5</f>
        <v>742.5</v>
      </c>
      <c r="AH28" s="188">
        <f t="shared" si="17"/>
        <v>640</v>
      </c>
      <c r="AI28" s="188">
        <f t="shared" si="17"/>
        <v>588</v>
      </c>
      <c r="AJ28" s="188">
        <f t="shared" si="17"/>
        <v>616</v>
      </c>
      <c r="AK28" s="188">
        <f t="shared" si="17"/>
        <v>588.5</v>
      </c>
      <c r="AL28" s="188">
        <f t="shared" si="17"/>
        <v>560</v>
      </c>
      <c r="AM28" s="188">
        <f t="shared" si="17"/>
        <v>902</v>
      </c>
      <c r="AN28" s="188">
        <f t="shared" si="17"/>
        <v>1089</v>
      </c>
      <c r="AO28" s="188">
        <f t="shared" si="17"/>
        <v>820</v>
      </c>
      <c r="AP28" s="188">
        <f t="shared" si="17"/>
        <v>816.5</v>
      </c>
      <c r="AQ28" s="188">
        <f t="shared" si="17"/>
        <v>660</v>
      </c>
      <c r="AR28" s="188">
        <f t="shared" si="17"/>
        <v>735</v>
      </c>
      <c r="AS28" s="188">
        <f t="shared" si="17"/>
        <v>836</v>
      </c>
      <c r="AT28" s="188">
        <f t="shared" si="17"/>
        <v>710</v>
      </c>
      <c r="AU28" s="188">
        <f t="shared" si="17"/>
        <v>651</v>
      </c>
      <c r="AV28" s="188">
        <f t="shared" si="17"/>
        <v>649</v>
      </c>
      <c r="AW28" s="188">
        <f t="shared" si="17"/>
        <v>525</v>
      </c>
      <c r="AX28" s="188">
        <f t="shared" si="17"/>
        <v>546</v>
      </c>
      <c r="AY28" s="188">
        <f t="shared" si="17"/>
        <v>1012</v>
      </c>
      <c r="AZ28" s="188">
        <f t="shared" si="17"/>
        <v>1134</v>
      </c>
      <c r="BA28" s="188">
        <f t="shared" si="17"/>
        <v>903</v>
      </c>
      <c r="BB28" s="188">
        <f t="shared" si="17"/>
        <v>828</v>
      </c>
      <c r="BC28" s="188">
        <f t="shared" si="17"/>
        <v>646</v>
      </c>
      <c r="BD28" s="188">
        <f t="shared" si="17"/>
        <v>814</v>
      </c>
      <c r="BE28" s="188">
        <f t="shared" si="17"/>
        <v>780.3599999999999</v>
      </c>
      <c r="BF28" s="188">
        <f t="shared" si="17"/>
        <v>701.59999999999991</v>
      </c>
      <c r="BG28" s="188">
        <f t="shared" si="17"/>
        <v>720.36</v>
      </c>
      <c r="BH28" s="188">
        <f t="shared" si="17"/>
        <v>661.54</v>
      </c>
      <c r="BI28" s="188">
        <f t="shared" si="17"/>
        <v>526.19999999999993</v>
      </c>
      <c r="BJ28" s="188">
        <f t="shared" si="17"/>
        <v>597.29999999999995</v>
      </c>
      <c r="BK28" s="188">
        <f t="shared" si="17"/>
        <v>922.53</v>
      </c>
      <c r="BL28" s="188">
        <f t="shared" si="17"/>
        <v>1114.3</v>
      </c>
      <c r="BM28" s="188">
        <f t="shared" si="17"/>
        <v>870.24</v>
      </c>
      <c r="BN28" s="188">
        <f t="shared" si="17"/>
        <v>746.97</v>
      </c>
      <c r="BO28" s="188">
        <f t="shared" si="17"/>
        <v>711.9</v>
      </c>
      <c r="BP28" s="188">
        <f t="shared" si="17"/>
        <v>837.89</v>
      </c>
      <c r="BQ28" s="188">
        <f t="shared" si="17"/>
        <v>781.41</v>
      </c>
      <c r="BR28" s="188">
        <f t="shared" si="17"/>
        <v>708.6</v>
      </c>
      <c r="BS28" s="188">
        <f t="shared" si="17"/>
        <v>740.83</v>
      </c>
      <c r="BT28" s="188">
        <f t="shared" si="17"/>
        <v>653.94000000000005</v>
      </c>
      <c r="BU28" s="188">
        <f t="shared" si="17"/>
        <v>586.32000000000005</v>
      </c>
      <c r="BV28" s="188">
        <f t="shared" si="17"/>
        <v>630.08000000000004</v>
      </c>
      <c r="BW28" s="188">
        <f t="shared" si="17"/>
        <v>860</v>
      </c>
      <c r="BX28" s="188">
        <f t="shared" si="17"/>
        <v>1121.48</v>
      </c>
      <c r="BY28" s="188">
        <f t="shared" si="17"/>
        <v>858.27</v>
      </c>
      <c r="BZ28" s="188">
        <f t="shared" si="17"/>
        <v>752.85</v>
      </c>
      <c r="CA28" s="188">
        <f t="shared" si="17"/>
        <v>722.82</v>
      </c>
      <c r="CB28" s="188">
        <f t="shared" si="17"/>
        <v>768.3900000000001</v>
      </c>
      <c r="CC28" s="188">
        <f t="shared" si="17"/>
        <v>784.1400000000001</v>
      </c>
      <c r="CD28" s="188">
        <f t="shared" si="17"/>
        <v>714.59999999999991</v>
      </c>
      <c r="CE28" s="188">
        <f t="shared" si="17"/>
        <v>754.63000000000011</v>
      </c>
      <c r="CF28" s="188">
        <f t="shared" si="17"/>
        <v>636.79999999999995</v>
      </c>
      <c r="CG28" s="188">
        <f t="shared" si="17"/>
        <v>636.46</v>
      </c>
      <c r="CH28" s="188">
        <f t="shared" si="17"/>
        <v>650.76</v>
      </c>
      <c r="CI28" s="188">
        <f t="shared" si="17"/>
        <v>852</v>
      </c>
      <c r="CJ28" s="188">
        <f t="shared" si="17"/>
        <v>1099.6300000000001</v>
      </c>
      <c r="CK28" s="188">
        <f t="shared" si="17"/>
        <v>813.19999999999993</v>
      </c>
      <c r="CL28" s="188">
        <f t="shared" si="17"/>
        <v>794.64</v>
      </c>
      <c r="CM28" s="188">
        <f t="shared" si="17"/>
        <v>731.22</v>
      </c>
      <c r="CN28" s="188">
        <f t="shared" si="17"/>
        <v>735.6</v>
      </c>
      <c r="CO28" s="188">
        <f t="shared" si="17"/>
        <v>824.33999999999992</v>
      </c>
      <c r="CP28" s="188">
        <f t="shared" si="17"/>
        <v>720.19999999999993</v>
      </c>
      <c r="CQ28" s="188">
        <f t="shared" si="17"/>
        <v>734.14</v>
      </c>
      <c r="CR28" s="188">
        <f t="shared" si="17"/>
        <v>682.5</v>
      </c>
      <c r="CS28" s="188">
        <f t="shared" ref="CS28:EJ32" si="18">CS9*CS$5</f>
        <v>656.92</v>
      </c>
      <c r="CT28" s="188">
        <f t="shared" si="18"/>
        <v>639.66</v>
      </c>
      <c r="CU28" s="188">
        <f t="shared" si="18"/>
        <v>887.25</v>
      </c>
      <c r="CV28" s="188">
        <f t="shared" si="18"/>
        <v>1080.77</v>
      </c>
      <c r="CW28" s="188">
        <f t="shared" si="18"/>
        <v>769.68999999999994</v>
      </c>
      <c r="CX28" s="188">
        <f t="shared" si="18"/>
        <v>836.97</v>
      </c>
      <c r="CY28" s="188">
        <f t="shared" si="18"/>
        <v>739.62</v>
      </c>
      <c r="CZ28" s="188">
        <f t="shared" si="18"/>
        <v>740.19999999999993</v>
      </c>
      <c r="DA28" s="188">
        <f t="shared" si="18"/>
        <v>833.8</v>
      </c>
      <c r="DB28" s="188">
        <f t="shared" si="18"/>
        <v>767.34</v>
      </c>
      <c r="DC28" s="188">
        <f t="shared" si="18"/>
        <v>715.68</v>
      </c>
      <c r="DD28" s="188">
        <f t="shared" si="18"/>
        <v>731.94</v>
      </c>
      <c r="DE28" s="188">
        <f t="shared" si="18"/>
        <v>647.01</v>
      </c>
      <c r="DF28" s="188">
        <f t="shared" si="18"/>
        <v>658.77</v>
      </c>
      <c r="DG28" s="188">
        <f t="shared" si="18"/>
        <v>932.14</v>
      </c>
      <c r="DH28" s="188">
        <f t="shared" si="18"/>
        <v>982.38</v>
      </c>
      <c r="DI28" s="188">
        <f t="shared" si="18"/>
        <v>855.54000000000008</v>
      </c>
      <c r="DJ28" s="188">
        <f t="shared" si="18"/>
        <v>848.69999999999993</v>
      </c>
      <c r="DK28" s="188">
        <f t="shared" si="18"/>
        <v>680.3900000000001</v>
      </c>
      <c r="DL28" s="188">
        <f t="shared" si="18"/>
        <v>824.33999999999992</v>
      </c>
      <c r="DM28" s="188">
        <f t="shared" si="18"/>
        <v>805.1400000000001</v>
      </c>
      <c r="DN28" s="188">
        <f t="shared" si="18"/>
        <v>741.4</v>
      </c>
      <c r="DO28" s="188">
        <f t="shared" si="18"/>
        <v>765.16000000000008</v>
      </c>
      <c r="DP28" s="188">
        <f t="shared" si="18"/>
        <v>748.44</v>
      </c>
      <c r="DQ28" s="188">
        <f t="shared" si="18"/>
        <v>634.6</v>
      </c>
      <c r="DR28" s="188">
        <f t="shared" si="18"/>
        <v>709.5</v>
      </c>
      <c r="DS28" s="188">
        <f t="shared" si="18"/>
        <v>935.21999999999991</v>
      </c>
      <c r="DT28" s="188">
        <f t="shared" si="18"/>
        <v>979.02</v>
      </c>
      <c r="DU28" s="188">
        <f t="shared" si="18"/>
        <v>860.79000000000008</v>
      </c>
      <c r="DV28" s="188">
        <f t="shared" si="18"/>
        <v>823.02</v>
      </c>
      <c r="DW28" s="188">
        <f t="shared" si="18"/>
        <v>728</v>
      </c>
      <c r="DX28" s="188">
        <f t="shared" si="18"/>
        <v>834.90000000000009</v>
      </c>
      <c r="DY28" s="188">
        <f t="shared" si="18"/>
        <v>775.6</v>
      </c>
      <c r="DZ28" s="188">
        <f t="shared" si="18"/>
        <v>752</v>
      </c>
      <c r="EA28" s="188">
        <f t="shared" si="18"/>
        <v>815.58</v>
      </c>
      <c r="EB28" s="188">
        <f t="shared" si="18"/>
        <v>764.71999999999991</v>
      </c>
      <c r="EC28" s="188">
        <f t="shared" si="18"/>
        <v>652.4</v>
      </c>
      <c r="ED28" s="188">
        <f t="shared" si="18"/>
        <v>728.2</v>
      </c>
      <c r="EE28" s="188">
        <f t="shared" si="18"/>
        <v>896.07</v>
      </c>
      <c r="EF28" s="188">
        <f t="shared" si="18"/>
        <v>1023</v>
      </c>
      <c r="EG28" s="188">
        <f t="shared" si="18"/>
        <v>866.45999999999992</v>
      </c>
      <c r="EH28" s="188">
        <f t="shared" si="18"/>
        <v>796.32</v>
      </c>
      <c r="EI28" s="188">
        <f t="shared" si="18"/>
        <v>776.37</v>
      </c>
      <c r="EJ28" s="188">
        <f t="shared" si="18"/>
        <v>883.66000000000008</v>
      </c>
    </row>
    <row r="29" spans="1:140" ht="13.7" customHeight="1" x14ac:dyDescent="0.2">
      <c r="A29" s="165" t="s">
        <v>138</v>
      </c>
      <c r="B29" s="166"/>
      <c r="C29" s="132">
        <f t="shared" si="16"/>
        <v>-0.19708333333333172</v>
      </c>
      <c r="D29" s="132">
        <f t="shared" ca="1" si="16"/>
        <v>1.75</v>
      </c>
      <c r="E29" s="132">
        <f t="shared" si="16"/>
        <v>1.3500000000000014</v>
      </c>
      <c r="F29" s="167">
        <f t="shared" ca="1" si="16"/>
        <v>1.0362365591397875</v>
      </c>
      <c r="G29" s="132">
        <f t="shared" si="16"/>
        <v>0.82500000000000284</v>
      </c>
      <c r="H29" s="132">
        <f t="shared" si="16"/>
        <v>0.5</v>
      </c>
      <c r="I29" s="132">
        <f t="shared" si="16"/>
        <v>1.1499999999999986</v>
      </c>
      <c r="J29" s="132">
        <f t="shared" si="16"/>
        <v>0</v>
      </c>
      <c r="K29" s="132">
        <f t="shared" si="16"/>
        <v>0</v>
      </c>
      <c r="L29" s="132">
        <f t="shared" si="16"/>
        <v>0</v>
      </c>
      <c r="M29" s="132">
        <f t="shared" si="16"/>
        <v>0</v>
      </c>
      <c r="N29" s="132">
        <f t="shared" si="16"/>
        <v>0</v>
      </c>
      <c r="O29" s="132">
        <f t="shared" si="16"/>
        <v>0.75</v>
      </c>
      <c r="P29" s="132">
        <f t="shared" si="16"/>
        <v>1</v>
      </c>
      <c r="Q29" s="132">
        <f t="shared" si="16"/>
        <v>0.5</v>
      </c>
      <c r="R29" s="132">
        <f t="shared" si="16"/>
        <v>1</v>
      </c>
      <c r="S29" s="132">
        <f t="shared" si="16"/>
        <v>8.3333333333328596E-2</v>
      </c>
      <c r="T29" s="132">
        <f t="shared" si="16"/>
        <v>0.25</v>
      </c>
      <c r="U29" s="132">
        <f t="shared" si="16"/>
        <v>0</v>
      </c>
      <c r="V29" s="132">
        <f t="shared" si="16"/>
        <v>0</v>
      </c>
      <c r="W29" s="167">
        <f t="shared" si="16"/>
        <v>0.36372549019608158</v>
      </c>
      <c r="X29" s="132">
        <f t="shared" si="16"/>
        <v>0.39725490196077828</v>
      </c>
      <c r="Y29" s="132">
        <f t="shared" si="16"/>
        <v>0.42020134228187089</v>
      </c>
      <c r="Z29" s="132">
        <f t="shared" si="16"/>
        <v>0.39274509803922086</v>
      </c>
      <c r="AA29" s="132">
        <f t="shared" si="16"/>
        <v>0.3936568627450896</v>
      </c>
      <c r="AB29" s="132">
        <f t="shared" si="16"/>
        <v>0.39351562499999915</v>
      </c>
      <c r="AC29" s="168">
        <f t="shared" ca="1" si="16"/>
        <v>0.41151274898633261</v>
      </c>
      <c r="AD29" s="163"/>
      <c r="AE29" s="163"/>
      <c r="AF29" s="164"/>
      <c r="AG29" s="132">
        <f t="shared" si="17"/>
        <v>737</v>
      </c>
      <c r="AH29" s="188">
        <f t="shared" si="17"/>
        <v>638</v>
      </c>
      <c r="AI29" s="188">
        <f t="shared" si="17"/>
        <v>588</v>
      </c>
      <c r="AJ29" s="188">
        <f t="shared" si="17"/>
        <v>660</v>
      </c>
      <c r="AK29" s="188">
        <f t="shared" si="17"/>
        <v>643.5</v>
      </c>
      <c r="AL29" s="188">
        <f t="shared" si="17"/>
        <v>610</v>
      </c>
      <c r="AM29" s="188">
        <f t="shared" si="17"/>
        <v>968</v>
      </c>
      <c r="AN29" s="188">
        <f t="shared" si="17"/>
        <v>1144</v>
      </c>
      <c r="AO29" s="188">
        <f t="shared" si="17"/>
        <v>890</v>
      </c>
      <c r="AP29" s="188">
        <f t="shared" si="17"/>
        <v>787.75</v>
      </c>
      <c r="AQ29" s="188">
        <f t="shared" si="17"/>
        <v>640</v>
      </c>
      <c r="AR29" s="188">
        <f t="shared" si="17"/>
        <v>714</v>
      </c>
      <c r="AS29" s="188">
        <f t="shared" si="17"/>
        <v>814</v>
      </c>
      <c r="AT29" s="188">
        <f t="shared" si="17"/>
        <v>690</v>
      </c>
      <c r="AU29" s="188">
        <f t="shared" si="17"/>
        <v>651</v>
      </c>
      <c r="AV29" s="188">
        <f t="shared" si="17"/>
        <v>715</v>
      </c>
      <c r="AW29" s="188">
        <f t="shared" si="17"/>
        <v>593.25</v>
      </c>
      <c r="AX29" s="188">
        <f t="shared" si="17"/>
        <v>614.25</v>
      </c>
      <c r="AY29" s="188">
        <f t="shared" si="17"/>
        <v>1111</v>
      </c>
      <c r="AZ29" s="188">
        <f t="shared" si="17"/>
        <v>1207.5</v>
      </c>
      <c r="BA29" s="188">
        <f t="shared" si="17"/>
        <v>976.5</v>
      </c>
      <c r="BB29" s="188">
        <f t="shared" si="17"/>
        <v>816.5</v>
      </c>
      <c r="BC29" s="188">
        <f t="shared" si="17"/>
        <v>636.5</v>
      </c>
      <c r="BD29" s="188">
        <f t="shared" si="17"/>
        <v>803</v>
      </c>
      <c r="BE29" s="188">
        <f t="shared" si="17"/>
        <v>773.43</v>
      </c>
      <c r="BF29" s="188">
        <f t="shared" si="17"/>
        <v>694.4</v>
      </c>
      <c r="BG29" s="188">
        <f t="shared" si="17"/>
        <v>730.94</v>
      </c>
      <c r="BH29" s="188">
        <f t="shared" si="17"/>
        <v>727.09999999999991</v>
      </c>
      <c r="BI29" s="188">
        <f t="shared" si="17"/>
        <v>589.4</v>
      </c>
      <c r="BJ29" s="188">
        <f t="shared" si="17"/>
        <v>666.81999999999994</v>
      </c>
      <c r="BK29" s="188">
        <f t="shared" si="17"/>
        <v>1013.4599999999999</v>
      </c>
      <c r="BL29" s="188">
        <f t="shared" si="17"/>
        <v>1192.1799999999998</v>
      </c>
      <c r="BM29" s="188">
        <f t="shared" si="17"/>
        <v>942.9</v>
      </c>
      <c r="BN29" s="188">
        <f t="shared" si="17"/>
        <v>748.02</v>
      </c>
      <c r="BO29" s="188">
        <f t="shared" si="17"/>
        <v>712.53</v>
      </c>
      <c r="BP29" s="188">
        <f t="shared" si="17"/>
        <v>838.81</v>
      </c>
      <c r="BQ29" s="188">
        <f t="shared" si="17"/>
        <v>779.73</v>
      </c>
      <c r="BR29" s="188">
        <f t="shared" si="17"/>
        <v>706.80000000000007</v>
      </c>
      <c r="BS29" s="188">
        <f t="shared" si="17"/>
        <v>755.08999999999992</v>
      </c>
      <c r="BT29" s="188">
        <f t="shared" si="17"/>
        <v>712.32</v>
      </c>
      <c r="BU29" s="188">
        <f t="shared" si="17"/>
        <v>648.05999999999995</v>
      </c>
      <c r="BV29" s="188">
        <f t="shared" si="17"/>
        <v>695.2</v>
      </c>
      <c r="BW29" s="188">
        <f t="shared" si="17"/>
        <v>939.2</v>
      </c>
      <c r="BX29" s="188">
        <f t="shared" si="17"/>
        <v>1196.92</v>
      </c>
      <c r="BY29" s="188">
        <f t="shared" si="17"/>
        <v>926.1</v>
      </c>
      <c r="BZ29" s="188">
        <f t="shared" si="17"/>
        <v>759.3599999999999</v>
      </c>
      <c r="CA29" s="188">
        <f t="shared" si="17"/>
        <v>729.32999999999993</v>
      </c>
      <c r="CB29" s="188">
        <f t="shared" si="17"/>
        <v>775.1099999999999</v>
      </c>
      <c r="CC29" s="188">
        <f t="shared" si="17"/>
        <v>796.1099999999999</v>
      </c>
      <c r="CD29" s="188">
        <f t="shared" si="17"/>
        <v>725.40000000000009</v>
      </c>
      <c r="CE29" s="188">
        <f t="shared" si="17"/>
        <v>781.31</v>
      </c>
      <c r="CF29" s="188">
        <f t="shared" si="17"/>
        <v>699.4</v>
      </c>
      <c r="CG29" s="188">
        <f t="shared" si="17"/>
        <v>707.74</v>
      </c>
      <c r="CH29" s="188">
        <f t="shared" si="17"/>
        <v>722.7</v>
      </c>
      <c r="CI29" s="188">
        <f t="shared" si="17"/>
        <v>939.2</v>
      </c>
      <c r="CJ29" s="188">
        <f t="shared" si="17"/>
        <v>1187.26</v>
      </c>
      <c r="CK29" s="188">
        <f t="shared" si="17"/>
        <v>886.80000000000007</v>
      </c>
      <c r="CL29" s="188">
        <f t="shared" si="17"/>
        <v>815.09999999999991</v>
      </c>
      <c r="CM29" s="188">
        <f t="shared" si="17"/>
        <v>750.54000000000008</v>
      </c>
      <c r="CN29" s="188">
        <f t="shared" si="17"/>
        <v>755</v>
      </c>
      <c r="CO29" s="188">
        <f t="shared" si="17"/>
        <v>855.8</v>
      </c>
      <c r="CP29" s="188">
        <f t="shared" si="17"/>
        <v>747.8</v>
      </c>
      <c r="CQ29" s="188">
        <f t="shared" si="17"/>
        <v>775.71999999999991</v>
      </c>
      <c r="CR29" s="188">
        <f t="shared" si="17"/>
        <v>759.99</v>
      </c>
      <c r="CS29" s="188">
        <f t="shared" si="18"/>
        <v>739.42</v>
      </c>
      <c r="CT29" s="188">
        <f t="shared" si="18"/>
        <v>718.82999999999993</v>
      </c>
      <c r="CU29" s="188">
        <f t="shared" si="18"/>
        <v>992.25</v>
      </c>
      <c r="CV29" s="188">
        <f t="shared" si="18"/>
        <v>1185.6499999999999</v>
      </c>
      <c r="CW29" s="188">
        <f t="shared" si="18"/>
        <v>851.96</v>
      </c>
      <c r="CX29" s="188">
        <f t="shared" si="18"/>
        <v>876.76</v>
      </c>
      <c r="CY29" s="188">
        <f t="shared" si="18"/>
        <v>774.9</v>
      </c>
      <c r="CZ29" s="188">
        <f t="shared" si="18"/>
        <v>775.19999999999993</v>
      </c>
      <c r="DA29" s="188">
        <f t="shared" si="18"/>
        <v>877.14</v>
      </c>
      <c r="DB29" s="188">
        <f t="shared" si="18"/>
        <v>807.45</v>
      </c>
      <c r="DC29" s="188">
        <f t="shared" si="18"/>
        <v>765.45</v>
      </c>
      <c r="DD29" s="188">
        <f t="shared" si="18"/>
        <v>821.26</v>
      </c>
      <c r="DE29" s="188">
        <f t="shared" si="18"/>
        <v>732.69</v>
      </c>
      <c r="DF29" s="188">
        <f t="shared" si="18"/>
        <v>745.07999999999993</v>
      </c>
      <c r="DG29" s="188">
        <f t="shared" si="18"/>
        <v>1050.5</v>
      </c>
      <c r="DH29" s="188">
        <f t="shared" si="18"/>
        <v>1087.8</v>
      </c>
      <c r="DI29" s="188">
        <f t="shared" si="18"/>
        <v>955.07999999999993</v>
      </c>
      <c r="DJ29" s="188">
        <f t="shared" si="18"/>
        <v>900.44999999999993</v>
      </c>
      <c r="DK29" s="188">
        <f t="shared" si="18"/>
        <v>722.18999999999994</v>
      </c>
      <c r="DL29" s="188">
        <f t="shared" si="18"/>
        <v>874.71999999999991</v>
      </c>
      <c r="DM29" s="188">
        <f t="shared" si="18"/>
        <v>859.74</v>
      </c>
      <c r="DN29" s="188">
        <f t="shared" si="18"/>
        <v>792</v>
      </c>
      <c r="DO29" s="188">
        <f t="shared" si="18"/>
        <v>829.62</v>
      </c>
      <c r="DP29" s="188">
        <f t="shared" si="18"/>
        <v>847.88</v>
      </c>
      <c r="DQ29" s="188">
        <f t="shared" si="18"/>
        <v>725</v>
      </c>
      <c r="DR29" s="188">
        <f t="shared" si="18"/>
        <v>809.82</v>
      </c>
      <c r="DS29" s="188">
        <f t="shared" si="18"/>
        <v>1064.3600000000001</v>
      </c>
      <c r="DT29" s="188">
        <f t="shared" si="18"/>
        <v>1096.4100000000001</v>
      </c>
      <c r="DU29" s="188">
        <f t="shared" si="18"/>
        <v>971.04000000000008</v>
      </c>
      <c r="DV29" s="188">
        <f t="shared" si="18"/>
        <v>885.94</v>
      </c>
      <c r="DW29" s="188">
        <f t="shared" si="18"/>
        <v>784</v>
      </c>
      <c r="DX29" s="188">
        <f t="shared" si="18"/>
        <v>898.7</v>
      </c>
      <c r="DY29" s="188">
        <f t="shared" si="18"/>
        <v>840.19999999999993</v>
      </c>
      <c r="DZ29" s="188">
        <f t="shared" si="18"/>
        <v>815</v>
      </c>
      <c r="EA29" s="188">
        <f t="shared" si="18"/>
        <v>896.31</v>
      </c>
      <c r="EB29" s="188">
        <f t="shared" si="18"/>
        <v>874.5</v>
      </c>
      <c r="EC29" s="188">
        <f t="shared" si="18"/>
        <v>751.80000000000007</v>
      </c>
      <c r="ED29" s="188">
        <f t="shared" si="18"/>
        <v>838.64</v>
      </c>
      <c r="EE29" s="188">
        <f t="shared" si="18"/>
        <v>1029.8399999999999</v>
      </c>
      <c r="EF29" s="188">
        <f t="shared" si="18"/>
        <v>1158.3</v>
      </c>
      <c r="EG29" s="188">
        <f t="shared" si="18"/>
        <v>987.42000000000007</v>
      </c>
      <c r="EH29" s="188">
        <f t="shared" si="18"/>
        <v>869.19</v>
      </c>
      <c r="EI29" s="188">
        <f t="shared" si="18"/>
        <v>847.77</v>
      </c>
      <c r="EJ29" s="188">
        <f t="shared" si="18"/>
        <v>964.39</v>
      </c>
    </row>
    <row r="30" spans="1:140" ht="13.7" customHeight="1" x14ac:dyDescent="0.2">
      <c r="A30" s="165" t="s">
        <v>139</v>
      </c>
      <c r="B30" s="142"/>
      <c r="C30" s="132">
        <f t="shared" si="16"/>
        <v>0.17728333333333524</v>
      </c>
      <c r="D30" s="132">
        <f t="shared" ca="1" si="16"/>
        <v>1.5</v>
      </c>
      <c r="E30" s="132">
        <f t="shared" si="16"/>
        <v>0.79999999999999716</v>
      </c>
      <c r="F30" s="167">
        <f t="shared" ca="1" si="16"/>
        <v>0.88651627005112132</v>
      </c>
      <c r="G30" s="132">
        <f t="shared" si="16"/>
        <v>1.25</v>
      </c>
      <c r="H30" s="132">
        <f t="shared" si="16"/>
        <v>1.25</v>
      </c>
      <c r="I30" s="132">
        <f t="shared" si="16"/>
        <v>1.25</v>
      </c>
      <c r="J30" s="132">
        <f t="shared" si="16"/>
        <v>0.875</v>
      </c>
      <c r="K30" s="132">
        <f t="shared" si="16"/>
        <v>1.25</v>
      </c>
      <c r="L30" s="132">
        <f t="shared" si="16"/>
        <v>0.5</v>
      </c>
      <c r="M30" s="132">
        <f t="shared" si="16"/>
        <v>0.5</v>
      </c>
      <c r="N30" s="132">
        <f t="shared" si="16"/>
        <v>0.5</v>
      </c>
      <c r="O30" s="132">
        <f t="shared" si="16"/>
        <v>1</v>
      </c>
      <c r="P30" s="132">
        <f t="shared" si="16"/>
        <v>1</v>
      </c>
      <c r="Q30" s="132">
        <f t="shared" si="16"/>
        <v>1</v>
      </c>
      <c r="R30" s="132">
        <f t="shared" si="16"/>
        <v>1</v>
      </c>
      <c r="S30" s="132">
        <f t="shared" si="16"/>
        <v>0.75</v>
      </c>
      <c r="T30" s="132">
        <f t="shared" si="16"/>
        <v>0.75</v>
      </c>
      <c r="U30" s="132">
        <f t="shared" si="16"/>
        <v>0.75</v>
      </c>
      <c r="V30" s="132">
        <f t="shared" si="16"/>
        <v>0.75</v>
      </c>
      <c r="W30" s="167">
        <f t="shared" si="16"/>
        <v>0.87352941176470722</v>
      </c>
      <c r="X30" s="132">
        <f t="shared" si="16"/>
        <v>0.79117647058824048</v>
      </c>
      <c r="Y30" s="132">
        <f t="shared" si="16"/>
        <v>0.64999999999999858</v>
      </c>
      <c r="Z30" s="132">
        <f t="shared" si="16"/>
        <v>0.64999999999999147</v>
      </c>
      <c r="AA30" s="132">
        <f t="shared" si="16"/>
        <v>0.64999999999999147</v>
      </c>
      <c r="AB30" s="132">
        <f t="shared" si="16"/>
        <v>0.65000000000000568</v>
      </c>
      <c r="AC30" s="168">
        <f t="shared" ca="1" si="16"/>
        <v>0.70045243354577735</v>
      </c>
      <c r="AD30" s="163"/>
      <c r="AE30" s="163"/>
      <c r="AF30" s="164"/>
      <c r="AG30" s="132">
        <f t="shared" si="17"/>
        <v>753.5</v>
      </c>
      <c r="AH30" s="188">
        <f t="shared" si="17"/>
        <v>675</v>
      </c>
      <c r="AI30" s="188">
        <f t="shared" si="17"/>
        <v>666.75</v>
      </c>
      <c r="AJ30" s="188">
        <f t="shared" si="17"/>
        <v>649</v>
      </c>
      <c r="AK30" s="188">
        <f t="shared" si="17"/>
        <v>649</v>
      </c>
      <c r="AL30" s="188">
        <f t="shared" si="17"/>
        <v>725</v>
      </c>
      <c r="AM30" s="188">
        <f t="shared" si="17"/>
        <v>968</v>
      </c>
      <c r="AN30" s="188">
        <f t="shared" si="17"/>
        <v>1122</v>
      </c>
      <c r="AO30" s="188">
        <f t="shared" si="17"/>
        <v>860</v>
      </c>
      <c r="AP30" s="188">
        <f t="shared" si="17"/>
        <v>845.25</v>
      </c>
      <c r="AQ30" s="188">
        <f t="shared" si="17"/>
        <v>690</v>
      </c>
      <c r="AR30" s="188">
        <f t="shared" si="17"/>
        <v>771.75</v>
      </c>
      <c r="AS30" s="188">
        <f t="shared" si="17"/>
        <v>836</v>
      </c>
      <c r="AT30" s="188">
        <f t="shared" si="17"/>
        <v>740</v>
      </c>
      <c r="AU30" s="188">
        <f t="shared" si="17"/>
        <v>724.5</v>
      </c>
      <c r="AV30" s="188">
        <f t="shared" si="17"/>
        <v>709.5</v>
      </c>
      <c r="AW30" s="188">
        <f t="shared" si="17"/>
        <v>698.25</v>
      </c>
      <c r="AX30" s="188">
        <f t="shared" si="17"/>
        <v>782.25</v>
      </c>
      <c r="AY30" s="188">
        <f t="shared" si="17"/>
        <v>1045</v>
      </c>
      <c r="AZ30" s="188">
        <f t="shared" si="17"/>
        <v>1181.25</v>
      </c>
      <c r="BA30" s="188">
        <f t="shared" si="17"/>
        <v>1081.5</v>
      </c>
      <c r="BB30" s="188">
        <f t="shared" si="17"/>
        <v>862.5</v>
      </c>
      <c r="BC30" s="188">
        <f t="shared" si="17"/>
        <v>693.5</v>
      </c>
      <c r="BD30" s="188">
        <f t="shared" si="17"/>
        <v>847</v>
      </c>
      <c r="BE30" s="188">
        <f t="shared" si="17"/>
        <v>825.09</v>
      </c>
      <c r="BF30" s="188">
        <f t="shared" si="17"/>
        <v>775.19999999999993</v>
      </c>
      <c r="BG30" s="188">
        <f t="shared" si="17"/>
        <v>856.29</v>
      </c>
      <c r="BH30" s="188">
        <f t="shared" si="17"/>
        <v>781.21999999999991</v>
      </c>
      <c r="BI30" s="188">
        <f t="shared" si="17"/>
        <v>743.40000000000009</v>
      </c>
      <c r="BJ30" s="188">
        <f t="shared" si="17"/>
        <v>916.3</v>
      </c>
      <c r="BK30" s="188">
        <f t="shared" si="17"/>
        <v>918.32999999999993</v>
      </c>
      <c r="BL30" s="188">
        <f t="shared" si="17"/>
        <v>1125.52</v>
      </c>
      <c r="BM30" s="188">
        <f t="shared" si="17"/>
        <v>988.68</v>
      </c>
      <c r="BN30" s="188">
        <f t="shared" si="17"/>
        <v>814.38</v>
      </c>
      <c r="BO30" s="188">
        <f t="shared" si="17"/>
        <v>777</v>
      </c>
      <c r="BP30" s="188">
        <f t="shared" si="17"/>
        <v>889.18</v>
      </c>
      <c r="BQ30" s="188">
        <f t="shared" si="17"/>
        <v>829.5</v>
      </c>
      <c r="BR30" s="188">
        <f t="shared" si="17"/>
        <v>785</v>
      </c>
      <c r="BS30" s="188">
        <f t="shared" si="17"/>
        <v>874</v>
      </c>
      <c r="BT30" s="188">
        <f t="shared" si="17"/>
        <v>777</v>
      </c>
      <c r="BU30" s="188">
        <f t="shared" si="17"/>
        <v>808.5</v>
      </c>
      <c r="BV30" s="188">
        <f t="shared" si="17"/>
        <v>940.5</v>
      </c>
      <c r="BW30" s="188">
        <f t="shared" si="17"/>
        <v>845</v>
      </c>
      <c r="BX30" s="188">
        <f t="shared" si="17"/>
        <v>1115.5</v>
      </c>
      <c r="BY30" s="188">
        <f t="shared" si="17"/>
        <v>945</v>
      </c>
      <c r="BZ30" s="188">
        <f t="shared" si="17"/>
        <v>850.5</v>
      </c>
      <c r="CA30" s="188">
        <f t="shared" si="17"/>
        <v>803.25</v>
      </c>
      <c r="CB30" s="188">
        <f t="shared" si="17"/>
        <v>829.5</v>
      </c>
      <c r="CC30" s="188">
        <f t="shared" si="17"/>
        <v>833.91</v>
      </c>
      <c r="CD30" s="188">
        <f t="shared" si="17"/>
        <v>794</v>
      </c>
      <c r="CE30" s="188">
        <f t="shared" si="17"/>
        <v>890.1</v>
      </c>
      <c r="CF30" s="188">
        <f t="shared" si="17"/>
        <v>767.6</v>
      </c>
      <c r="CG30" s="188">
        <f t="shared" si="17"/>
        <v>873.18</v>
      </c>
      <c r="CH30" s="188">
        <f t="shared" si="17"/>
        <v>959.86</v>
      </c>
      <c r="CI30" s="188">
        <f t="shared" si="17"/>
        <v>819.4</v>
      </c>
      <c r="CJ30" s="188">
        <f t="shared" si="17"/>
        <v>1065.5899999999999</v>
      </c>
      <c r="CK30" s="188">
        <f t="shared" si="17"/>
        <v>866.59999999999991</v>
      </c>
      <c r="CL30" s="188">
        <f t="shared" si="17"/>
        <v>923.33999999999992</v>
      </c>
      <c r="CM30" s="188">
        <f t="shared" si="17"/>
        <v>824.88</v>
      </c>
      <c r="CN30" s="188">
        <f t="shared" si="17"/>
        <v>806.59999999999991</v>
      </c>
      <c r="CO30" s="188">
        <f t="shared" si="17"/>
        <v>878.68</v>
      </c>
      <c r="CP30" s="188">
        <f t="shared" si="17"/>
        <v>801.2</v>
      </c>
      <c r="CQ30" s="188">
        <f t="shared" si="17"/>
        <v>862.18</v>
      </c>
      <c r="CR30" s="188">
        <f t="shared" si="17"/>
        <v>824.25</v>
      </c>
      <c r="CS30" s="188">
        <f t="shared" si="18"/>
        <v>889.90000000000009</v>
      </c>
      <c r="CT30" s="188">
        <f t="shared" si="18"/>
        <v>928.82999999999993</v>
      </c>
      <c r="CU30" s="188">
        <f t="shared" si="18"/>
        <v>847.77</v>
      </c>
      <c r="CV30" s="188">
        <f t="shared" si="18"/>
        <v>1040.75</v>
      </c>
      <c r="CW30" s="188">
        <f t="shared" si="18"/>
        <v>807.68999999999994</v>
      </c>
      <c r="CX30" s="188">
        <f t="shared" si="18"/>
        <v>986.47</v>
      </c>
      <c r="CY30" s="188">
        <f t="shared" si="18"/>
        <v>839.16</v>
      </c>
      <c r="CZ30" s="188">
        <f t="shared" si="18"/>
        <v>818</v>
      </c>
      <c r="DA30" s="188">
        <f t="shared" si="18"/>
        <v>883.74</v>
      </c>
      <c r="DB30" s="188">
        <f t="shared" si="18"/>
        <v>848.19</v>
      </c>
      <c r="DC30" s="188">
        <f t="shared" si="18"/>
        <v>831.81</v>
      </c>
      <c r="DD30" s="188">
        <f t="shared" si="18"/>
        <v>878.68</v>
      </c>
      <c r="DE30" s="188">
        <f t="shared" si="18"/>
        <v>862.26</v>
      </c>
      <c r="DF30" s="188">
        <f t="shared" si="18"/>
        <v>939.32999999999993</v>
      </c>
      <c r="DG30" s="188">
        <f t="shared" si="18"/>
        <v>880.66000000000008</v>
      </c>
      <c r="DH30" s="188">
        <f t="shared" si="18"/>
        <v>935.76</v>
      </c>
      <c r="DI30" s="188">
        <f t="shared" si="18"/>
        <v>882.20999999999992</v>
      </c>
      <c r="DJ30" s="188">
        <f t="shared" si="18"/>
        <v>1003.26</v>
      </c>
      <c r="DK30" s="188">
        <f t="shared" si="18"/>
        <v>769.68999999999994</v>
      </c>
      <c r="DL30" s="188">
        <f t="shared" si="18"/>
        <v>910.14</v>
      </c>
      <c r="DM30" s="188">
        <f t="shared" si="18"/>
        <v>848.6099999999999</v>
      </c>
      <c r="DN30" s="188">
        <f t="shared" si="18"/>
        <v>814.4</v>
      </c>
      <c r="DO30" s="188">
        <f t="shared" si="18"/>
        <v>880.66000000000008</v>
      </c>
      <c r="DP30" s="188">
        <f t="shared" si="18"/>
        <v>893.2</v>
      </c>
      <c r="DQ30" s="188">
        <f t="shared" si="18"/>
        <v>833</v>
      </c>
      <c r="DR30" s="188">
        <f t="shared" si="18"/>
        <v>994.62</v>
      </c>
      <c r="DS30" s="188">
        <f t="shared" si="18"/>
        <v>874.06</v>
      </c>
      <c r="DT30" s="188">
        <f t="shared" si="18"/>
        <v>922.53</v>
      </c>
      <c r="DU30" s="188">
        <f t="shared" si="18"/>
        <v>872.97</v>
      </c>
      <c r="DV30" s="188">
        <f t="shared" si="18"/>
        <v>974.82</v>
      </c>
      <c r="DW30" s="188">
        <f t="shared" si="18"/>
        <v>820.8</v>
      </c>
      <c r="DX30" s="188">
        <f t="shared" si="18"/>
        <v>920.26</v>
      </c>
      <c r="DY30" s="188">
        <f t="shared" si="18"/>
        <v>817.8</v>
      </c>
      <c r="DZ30" s="188">
        <f t="shared" si="18"/>
        <v>825.6</v>
      </c>
      <c r="EA30" s="188">
        <f t="shared" si="18"/>
        <v>935.64</v>
      </c>
      <c r="EB30" s="188">
        <f t="shared" si="18"/>
        <v>912.56</v>
      </c>
      <c r="EC30" s="188">
        <f t="shared" si="18"/>
        <v>849.2</v>
      </c>
      <c r="ED30" s="188">
        <f t="shared" si="18"/>
        <v>1010.24</v>
      </c>
      <c r="EE30" s="188">
        <f t="shared" si="18"/>
        <v>833.91</v>
      </c>
      <c r="EF30" s="188">
        <f t="shared" si="18"/>
        <v>959.64</v>
      </c>
      <c r="EG30" s="188">
        <f t="shared" si="18"/>
        <v>869.82</v>
      </c>
      <c r="EH30" s="188">
        <f t="shared" si="18"/>
        <v>949.62</v>
      </c>
      <c r="EI30" s="188">
        <f t="shared" si="18"/>
        <v>877.8</v>
      </c>
      <c r="EJ30" s="188">
        <f t="shared" si="18"/>
        <v>977.96</v>
      </c>
    </row>
    <row r="31" spans="1:140" ht="13.7" customHeight="1" x14ac:dyDescent="0.2">
      <c r="A31" s="165" t="s">
        <v>140</v>
      </c>
      <c r="B31" s="142"/>
      <c r="C31" s="132">
        <f t="shared" si="16"/>
        <v>-0.18492499809265439</v>
      </c>
      <c r="D31" s="132">
        <f t="shared" ca="1" si="16"/>
        <v>1.2000000000000028</v>
      </c>
      <c r="E31" s="132">
        <f t="shared" si="16"/>
        <v>0.80000000000000071</v>
      </c>
      <c r="F31" s="167">
        <f t="shared" ca="1" si="16"/>
        <v>0.6035931254596214</v>
      </c>
      <c r="G31" s="132">
        <f t="shared" si="16"/>
        <v>0.75</v>
      </c>
      <c r="H31" s="132">
        <f t="shared" si="16"/>
        <v>0.75</v>
      </c>
      <c r="I31" s="132">
        <f t="shared" si="16"/>
        <v>0.75</v>
      </c>
      <c r="J31" s="132">
        <f t="shared" si="16"/>
        <v>0.625</v>
      </c>
      <c r="K31" s="132">
        <f t="shared" si="16"/>
        <v>0.75</v>
      </c>
      <c r="L31" s="132">
        <f t="shared" si="16"/>
        <v>0.5</v>
      </c>
      <c r="M31" s="132">
        <f t="shared" si="16"/>
        <v>0.5</v>
      </c>
      <c r="N31" s="132">
        <f t="shared" si="16"/>
        <v>0.5</v>
      </c>
      <c r="O31" s="132">
        <f t="shared" si="16"/>
        <v>1</v>
      </c>
      <c r="P31" s="132">
        <f t="shared" si="16"/>
        <v>1</v>
      </c>
      <c r="Q31" s="132">
        <f t="shared" si="16"/>
        <v>1</v>
      </c>
      <c r="R31" s="132">
        <f t="shared" si="16"/>
        <v>1</v>
      </c>
      <c r="S31" s="132">
        <f t="shared" si="16"/>
        <v>0.6666666666666643</v>
      </c>
      <c r="T31" s="132">
        <f t="shared" si="16"/>
        <v>0.5</v>
      </c>
      <c r="U31" s="132">
        <f t="shared" si="16"/>
        <v>0.75</v>
      </c>
      <c r="V31" s="132">
        <f t="shared" si="16"/>
        <v>0.75</v>
      </c>
      <c r="W31" s="167">
        <f t="shared" si="16"/>
        <v>0.72745098039215605</v>
      </c>
      <c r="X31" s="132">
        <f t="shared" si="16"/>
        <v>0.52745098039215677</v>
      </c>
      <c r="Y31" s="132">
        <f t="shared" si="16"/>
        <v>0.25</v>
      </c>
      <c r="Z31" s="132">
        <f t="shared" si="16"/>
        <v>0.25</v>
      </c>
      <c r="AA31" s="132">
        <f t="shared" si="16"/>
        <v>0.25</v>
      </c>
      <c r="AB31" s="132">
        <f t="shared" si="16"/>
        <v>0.25</v>
      </c>
      <c r="AC31" s="168">
        <f t="shared" ca="1" si="16"/>
        <v>0.34279045986575341</v>
      </c>
      <c r="AD31" s="163"/>
      <c r="AE31" s="163"/>
      <c r="AF31" s="164"/>
      <c r="AG31" s="132">
        <f t="shared" si="17"/>
        <v>687.5</v>
      </c>
      <c r="AH31" s="188">
        <f t="shared" si="17"/>
        <v>625</v>
      </c>
      <c r="AI31" s="188">
        <f t="shared" si="17"/>
        <v>640.5</v>
      </c>
      <c r="AJ31" s="188">
        <f t="shared" si="17"/>
        <v>649</v>
      </c>
      <c r="AK31" s="188">
        <f t="shared" si="17"/>
        <v>649</v>
      </c>
      <c r="AL31" s="188">
        <f t="shared" si="17"/>
        <v>725</v>
      </c>
      <c r="AM31" s="188">
        <f t="shared" si="17"/>
        <v>968</v>
      </c>
      <c r="AN31" s="188">
        <f t="shared" si="17"/>
        <v>1122</v>
      </c>
      <c r="AO31" s="188">
        <f t="shared" si="17"/>
        <v>785</v>
      </c>
      <c r="AP31" s="188">
        <f t="shared" si="17"/>
        <v>810.75</v>
      </c>
      <c r="AQ31" s="188">
        <f t="shared" si="17"/>
        <v>690</v>
      </c>
      <c r="AR31" s="188">
        <f t="shared" si="17"/>
        <v>771.75</v>
      </c>
      <c r="AS31" s="188">
        <f t="shared" si="17"/>
        <v>605</v>
      </c>
      <c r="AT31" s="188">
        <f t="shared" si="17"/>
        <v>530</v>
      </c>
      <c r="AU31" s="188">
        <f t="shared" si="17"/>
        <v>504</v>
      </c>
      <c r="AV31" s="188">
        <f t="shared" si="17"/>
        <v>489.5</v>
      </c>
      <c r="AW31" s="188">
        <f t="shared" si="17"/>
        <v>488.25</v>
      </c>
      <c r="AX31" s="188">
        <f t="shared" si="17"/>
        <v>572.25</v>
      </c>
      <c r="AY31" s="188">
        <f t="shared" si="17"/>
        <v>825</v>
      </c>
      <c r="AZ31" s="188">
        <f t="shared" si="17"/>
        <v>971.25</v>
      </c>
      <c r="BA31" s="188">
        <f t="shared" si="17"/>
        <v>766.5</v>
      </c>
      <c r="BB31" s="188">
        <f t="shared" si="17"/>
        <v>598</v>
      </c>
      <c r="BC31" s="188">
        <f t="shared" si="17"/>
        <v>465.5</v>
      </c>
      <c r="BD31" s="188">
        <f t="shared" si="17"/>
        <v>627</v>
      </c>
      <c r="BE31" s="188">
        <f t="shared" si="17"/>
        <v>383.25</v>
      </c>
      <c r="BF31" s="188">
        <f t="shared" si="17"/>
        <v>410</v>
      </c>
      <c r="BG31" s="188">
        <f t="shared" si="17"/>
        <v>402.5</v>
      </c>
      <c r="BH31" s="188">
        <f t="shared" si="17"/>
        <v>555.5</v>
      </c>
      <c r="BI31" s="188">
        <f t="shared" si="17"/>
        <v>505</v>
      </c>
      <c r="BJ31" s="188">
        <f t="shared" si="17"/>
        <v>687.5</v>
      </c>
      <c r="BK31" s="188">
        <f t="shared" si="17"/>
        <v>740.25</v>
      </c>
      <c r="BL31" s="188">
        <f t="shared" si="17"/>
        <v>973.5</v>
      </c>
      <c r="BM31" s="188">
        <f t="shared" si="17"/>
        <v>593.25</v>
      </c>
      <c r="BN31" s="188">
        <f t="shared" si="17"/>
        <v>598.5</v>
      </c>
      <c r="BO31" s="188">
        <f t="shared" si="17"/>
        <v>525</v>
      </c>
      <c r="BP31" s="188">
        <f t="shared" si="17"/>
        <v>649.75</v>
      </c>
      <c r="BQ31" s="188">
        <f t="shared" si="17"/>
        <v>383.25</v>
      </c>
      <c r="BR31" s="188">
        <f t="shared" si="17"/>
        <v>410</v>
      </c>
      <c r="BS31" s="188">
        <f t="shared" si="17"/>
        <v>402.5</v>
      </c>
      <c r="BT31" s="188">
        <f t="shared" si="17"/>
        <v>509.25</v>
      </c>
      <c r="BU31" s="188">
        <f t="shared" si="17"/>
        <v>509.25</v>
      </c>
      <c r="BV31" s="188">
        <f t="shared" si="17"/>
        <v>643.5</v>
      </c>
      <c r="BW31" s="188">
        <f t="shared" si="17"/>
        <v>525</v>
      </c>
      <c r="BX31" s="188">
        <f t="shared" si="17"/>
        <v>810.75</v>
      </c>
      <c r="BY31" s="188">
        <f t="shared" si="17"/>
        <v>467.25</v>
      </c>
      <c r="BZ31" s="188">
        <f t="shared" si="17"/>
        <v>535.5</v>
      </c>
      <c r="CA31" s="188">
        <f t="shared" si="17"/>
        <v>472.5</v>
      </c>
      <c r="CB31" s="188">
        <f t="shared" si="17"/>
        <v>540.75</v>
      </c>
      <c r="CC31" s="188">
        <f t="shared" si="17"/>
        <v>388.5</v>
      </c>
      <c r="CD31" s="188">
        <f t="shared" si="17"/>
        <v>415</v>
      </c>
      <c r="CE31" s="188">
        <f t="shared" si="17"/>
        <v>408.25</v>
      </c>
      <c r="CF31" s="188">
        <f t="shared" si="17"/>
        <v>490</v>
      </c>
      <c r="CG31" s="188">
        <f t="shared" si="17"/>
        <v>539</v>
      </c>
      <c r="CH31" s="188">
        <f t="shared" si="17"/>
        <v>649</v>
      </c>
      <c r="CI31" s="188">
        <f t="shared" si="17"/>
        <v>530</v>
      </c>
      <c r="CJ31" s="188">
        <f t="shared" si="17"/>
        <v>816.5</v>
      </c>
      <c r="CK31" s="188">
        <f t="shared" si="17"/>
        <v>450</v>
      </c>
      <c r="CL31" s="188">
        <f t="shared" si="17"/>
        <v>566.5</v>
      </c>
      <c r="CM31" s="188">
        <f t="shared" si="17"/>
        <v>477.75</v>
      </c>
      <c r="CN31" s="188">
        <f t="shared" si="17"/>
        <v>520</v>
      </c>
      <c r="CO31" s="188">
        <f t="shared" si="17"/>
        <v>612.70000000000005</v>
      </c>
      <c r="CP31" s="188">
        <f t="shared" si="17"/>
        <v>602</v>
      </c>
      <c r="CQ31" s="188">
        <f t="shared" si="17"/>
        <v>596.20000000000005</v>
      </c>
      <c r="CR31" s="188">
        <f>CR12*CR$5</f>
        <v>710.85</v>
      </c>
      <c r="CS31" s="188">
        <f>CS12*CS$5</f>
        <v>744.7</v>
      </c>
      <c r="CT31" s="188">
        <f t="shared" si="18"/>
        <v>836.85</v>
      </c>
      <c r="CU31" s="188">
        <f t="shared" si="18"/>
        <v>983.85</v>
      </c>
      <c r="CV31" s="188">
        <f t="shared" si="18"/>
        <v>1284.55</v>
      </c>
      <c r="CW31" s="188">
        <f t="shared" si="18"/>
        <v>738.15</v>
      </c>
      <c r="CX31" s="188">
        <f t="shared" si="18"/>
        <v>876.30000000000007</v>
      </c>
      <c r="CY31" s="188">
        <f t="shared" si="18"/>
        <v>737.1</v>
      </c>
      <c r="CZ31" s="188">
        <f t="shared" si="18"/>
        <v>767</v>
      </c>
      <c r="DA31" s="188">
        <f t="shared" si="18"/>
        <v>620.4</v>
      </c>
      <c r="DB31" s="188">
        <f t="shared" si="18"/>
        <v>639.44999999999993</v>
      </c>
      <c r="DC31" s="188">
        <f t="shared" si="18"/>
        <v>576.44999999999993</v>
      </c>
      <c r="DD31" s="188">
        <f t="shared" si="18"/>
        <v>752.40000000000009</v>
      </c>
      <c r="DE31" s="188">
        <f t="shared" si="18"/>
        <v>718.2</v>
      </c>
      <c r="DF31" s="188">
        <f t="shared" si="18"/>
        <v>844.2</v>
      </c>
      <c r="DG31" s="188">
        <f t="shared" si="18"/>
        <v>1038.4000000000001</v>
      </c>
      <c r="DH31" s="188">
        <f t="shared" si="18"/>
        <v>1180.2</v>
      </c>
      <c r="DI31" s="188">
        <f t="shared" si="18"/>
        <v>823.2</v>
      </c>
      <c r="DJ31" s="188">
        <f t="shared" si="18"/>
        <v>884.35</v>
      </c>
      <c r="DK31" s="188">
        <f t="shared" si="18"/>
        <v>673.55000000000007</v>
      </c>
      <c r="DL31" s="188">
        <f t="shared" si="18"/>
        <v>851.40000000000009</v>
      </c>
      <c r="DM31" s="188">
        <f t="shared" si="18"/>
        <v>602.69999999999993</v>
      </c>
      <c r="DN31" s="188">
        <f t="shared" si="18"/>
        <v>619</v>
      </c>
      <c r="DO31" s="188">
        <f t="shared" si="18"/>
        <v>614.9</v>
      </c>
      <c r="DP31" s="188">
        <f t="shared" si="18"/>
        <v>764.5</v>
      </c>
      <c r="DQ31" s="188">
        <f t="shared" si="18"/>
        <v>695</v>
      </c>
      <c r="DR31" s="188">
        <f t="shared" si="18"/>
        <v>896.5</v>
      </c>
      <c r="DS31" s="188">
        <f t="shared" si="18"/>
        <v>1050.5</v>
      </c>
      <c r="DT31" s="188">
        <f t="shared" si="18"/>
        <v>1191.75</v>
      </c>
      <c r="DU31" s="188">
        <f t="shared" si="18"/>
        <v>833.7</v>
      </c>
      <c r="DV31" s="188">
        <f t="shared" si="18"/>
        <v>858</v>
      </c>
      <c r="DW31" s="188">
        <f t="shared" si="18"/>
        <v>720</v>
      </c>
      <c r="DX31" s="188">
        <f t="shared" si="18"/>
        <v>862.40000000000009</v>
      </c>
      <c r="DY31" s="188">
        <f t="shared" si="18"/>
        <v>584</v>
      </c>
      <c r="DZ31" s="188">
        <f t="shared" si="18"/>
        <v>629</v>
      </c>
      <c r="EA31" s="188">
        <f t="shared" si="18"/>
        <v>654.35</v>
      </c>
      <c r="EB31" s="188">
        <f t="shared" si="18"/>
        <v>781</v>
      </c>
      <c r="EC31" s="188">
        <f t="shared" si="18"/>
        <v>710</v>
      </c>
      <c r="ED31" s="188">
        <f t="shared" si="18"/>
        <v>913</v>
      </c>
      <c r="EE31" s="188">
        <f t="shared" si="18"/>
        <v>1018.5</v>
      </c>
      <c r="EF31" s="188">
        <f t="shared" si="18"/>
        <v>1265</v>
      </c>
      <c r="EG31" s="188">
        <f t="shared" si="18"/>
        <v>844.2</v>
      </c>
      <c r="EH31" s="188">
        <f t="shared" si="18"/>
        <v>834.75</v>
      </c>
      <c r="EI31" s="188">
        <f t="shared" si="18"/>
        <v>771.75</v>
      </c>
      <c r="EJ31" s="188">
        <f t="shared" si="18"/>
        <v>913.1</v>
      </c>
    </row>
    <row r="32" spans="1:140" ht="13.7" customHeight="1" x14ac:dyDescent="0.2">
      <c r="A32" s="165" t="s">
        <v>141</v>
      </c>
      <c r="B32" s="166"/>
      <c r="C32" s="132">
        <f t="shared" si="16"/>
        <v>-7.3000000000007503E-3</v>
      </c>
      <c r="D32" s="132">
        <f t="shared" ca="1" si="16"/>
        <v>1.2000000000000028</v>
      </c>
      <c r="E32" s="132">
        <f t="shared" si="16"/>
        <v>0.80000000000000071</v>
      </c>
      <c r="F32" s="167">
        <f t="shared" ca="1" si="16"/>
        <v>0.69638053939714695</v>
      </c>
      <c r="G32" s="132">
        <f t="shared" si="16"/>
        <v>0.75</v>
      </c>
      <c r="H32" s="132">
        <f t="shared" si="16"/>
        <v>0.75</v>
      </c>
      <c r="I32" s="132">
        <f t="shared" si="16"/>
        <v>0.75</v>
      </c>
      <c r="J32" s="132">
        <f t="shared" si="16"/>
        <v>0.5</v>
      </c>
      <c r="K32" s="132">
        <f t="shared" si="16"/>
        <v>0.75</v>
      </c>
      <c r="L32" s="132">
        <f t="shared" si="16"/>
        <v>0.25</v>
      </c>
      <c r="M32" s="132">
        <f t="shared" si="16"/>
        <v>0.25</v>
      </c>
      <c r="N32" s="132">
        <f t="shared" si="16"/>
        <v>0.25</v>
      </c>
      <c r="O32" s="132">
        <f t="shared" si="16"/>
        <v>1</v>
      </c>
      <c r="P32" s="132">
        <f t="shared" si="16"/>
        <v>1</v>
      </c>
      <c r="Q32" s="132">
        <f t="shared" si="16"/>
        <v>1</v>
      </c>
      <c r="R32" s="132">
        <f t="shared" si="16"/>
        <v>1</v>
      </c>
      <c r="S32" s="132">
        <f t="shared" si="16"/>
        <v>0.5</v>
      </c>
      <c r="T32" s="132">
        <f t="shared" si="16"/>
        <v>0.5</v>
      </c>
      <c r="U32" s="132">
        <f t="shared" si="16"/>
        <v>0.5</v>
      </c>
      <c r="V32" s="132">
        <f t="shared" si="16"/>
        <v>0.5</v>
      </c>
      <c r="W32" s="167">
        <f t="shared" si="16"/>
        <v>0.62450980392156907</v>
      </c>
      <c r="X32" s="132">
        <f t="shared" si="16"/>
        <v>0.67254901960784252</v>
      </c>
      <c r="Y32" s="132">
        <f t="shared" si="16"/>
        <v>0.60000000000000853</v>
      </c>
      <c r="Z32" s="132">
        <f t="shared" si="16"/>
        <v>0.60000000000000142</v>
      </c>
      <c r="AA32" s="132">
        <f t="shared" si="16"/>
        <v>0.60000000000001563</v>
      </c>
      <c r="AB32" s="132">
        <f t="shared" si="16"/>
        <v>0.59999999999999432</v>
      </c>
      <c r="AC32" s="168">
        <f t="shared" ca="1" si="16"/>
        <v>0.61880680782578423</v>
      </c>
      <c r="AD32" s="163"/>
      <c r="AE32" s="163"/>
      <c r="AF32" s="164"/>
      <c r="AG32" s="132">
        <f t="shared" ref="AG32:CR34" si="19">AG13*AG$5</f>
        <v>687.5</v>
      </c>
      <c r="AH32" s="188">
        <f t="shared" si="19"/>
        <v>625</v>
      </c>
      <c r="AI32" s="188">
        <f t="shared" si="19"/>
        <v>640.5</v>
      </c>
      <c r="AJ32" s="188">
        <f t="shared" si="19"/>
        <v>649</v>
      </c>
      <c r="AK32" s="188">
        <f t="shared" si="19"/>
        <v>720.5</v>
      </c>
      <c r="AL32" s="188">
        <f t="shared" si="19"/>
        <v>750</v>
      </c>
      <c r="AM32" s="188">
        <f t="shared" si="19"/>
        <v>1028.5</v>
      </c>
      <c r="AN32" s="188">
        <f t="shared" si="19"/>
        <v>1160.5</v>
      </c>
      <c r="AO32" s="188">
        <f t="shared" si="19"/>
        <v>785</v>
      </c>
      <c r="AP32" s="188">
        <f t="shared" si="19"/>
        <v>810.75</v>
      </c>
      <c r="AQ32" s="188">
        <f t="shared" si="19"/>
        <v>690</v>
      </c>
      <c r="AR32" s="188">
        <f t="shared" si="19"/>
        <v>771.75</v>
      </c>
      <c r="AS32" s="188">
        <f t="shared" si="19"/>
        <v>825</v>
      </c>
      <c r="AT32" s="188">
        <f t="shared" si="19"/>
        <v>730</v>
      </c>
      <c r="AU32" s="188">
        <f t="shared" si="19"/>
        <v>714</v>
      </c>
      <c r="AV32" s="188">
        <f t="shared" si="19"/>
        <v>737</v>
      </c>
      <c r="AW32" s="188">
        <f t="shared" si="19"/>
        <v>719.25</v>
      </c>
      <c r="AX32" s="188">
        <f t="shared" si="19"/>
        <v>908.25</v>
      </c>
      <c r="AY32" s="188">
        <f t="shared" si="19"/>
        <v>1177</v>
      </c>
      <c r="AZ32" s="188">
        <f t="shared" si="19"/>
        <v>1207.5</v>
      </c>
      <c r="BA32" s="188">
        <f t="shared" si="19"/>
        <v>976.5</v>
      </c>
      <c r="BB32" s="188">
        <f t="shared" si="19"/>
        <v>828</v>
      </c>
      <c r="BC32" s="188">
        <f t="shared" si="19"/>
        <v>655.5</v>
      </c>
      <c r="BD32" s="188">
        <f t="shared" si="19"/>
        <v>858</v>
      </c>
      <c r="BE32" s="188">
        <f t="shared" si="19"/>
        <v>833.7</v>
      </c>
      <c r="BF32" s="188">
        <f t="shared" si="19"/>
        <v>754</v>
      </c>
      <c r="BG32" s="188">
        <f t="shared" si="19"/>
        <v>815.35</v>
      </c>
      <c r="BH32" s="188">
        <f t="shared" si="19"/>
        <v>763.40000000000009</v>
      </c>
      <c r="BI32" s="188">
        <f t="shared" si="19"/>
        <v>709</v>
      </c>
      <c r="BJ32" s="188">
        <f t="shared" si="19"/>
        <v>966.90000000000009</v>
      </c>
      <c r="BK32" s="188">
        <f t="shared" si="19"/>
        <v>1048.95</v>
      </c>
      <c r="BL32" s="188">
        <f t="shared" si="19"/>
        <v>1153.9000000000001</v>
      </c>
      <c r="BM32" s="188">
        <f t="shared" si="19"/>
        <v>912.45</v>
      </c>
      <c r="BN32" s="188">
        <f t="shared" si="19"/>
        <v>791.7</v>
      </c>
      <c r="BO32" s="188">
        <f t="shared" si="19"/>
        <v>786.45</v>
      </c>
      <c r="BP32" s="188">
        <f t="shared" si="19"/>
        <v>953.35</v>
      </c>
      <c r="BQ32" s="188">
        <f t="shared" si="19"/>
        <v>849.45</v>
      </c>
      <c r="BR32" s="188">
        <f t="shared" si="19"/>
        <v>769</v>
      </c>
      <c r="BS32" s="188">
        <f t="shared" si="19"/>
        <v>838.35</v>
      </c>
      <c r="BT32" s="188">
        <f t="shared" si="19"/>
        <v>760.2</v>
      </c>
      <c r="BU32" s="188">
        <f t="shared" si="19"/>
        <v>770.7</v>
      </c>
      <c r="BV32" s="188">
        <f t="shared" si="19"/>
        <v>972.40000000000009</v>
      </c>
      <c r="BW32" s="188">
        <f t="shared" si="19"/>
        <v>959</v>
      </c>
      <c r="BX32" s="188">
        <f t="shared" si="19"/>
        <v>1137.3500000000001</v>
      </c>
      <c r="BY32" s="188">
        <f t="shared" si="19"/>
        <v>880.95</v>
      </c>
      <c r="BZ32" s="188">
        <f t="shared" si="19"/>
        <v>823.2</v>
      </c>
      <c r="CA32" s="188">
        <f t="shared" si="19"/>
        <v>812.7</v>
      </c>
      <c r="CB32" s="188">
        <f t="shared" si="19"/>
        <v>896.7</v>
      </c>
      <c r="CC32" s="188">
        <f t="shared" si="19"/>
        <v>859.95</v>
      </c>
      <c r="CD32" s="188">
        <f t="shared" si="19"/>
        <v>780.8</v>
      </c>
      <c r="CE32" s="188">
        <f t="shared" si="19"/>
        <v>860.66000000000008</v>
      </c>
      <c r="CF32" s="188">
        <f t="shared" si="19"/>
        <v>748</v>
      </c>
      <c r="CG32" s="188">
        <f t="shared" si="19"/>
        <v>833.8</v>
      </c>
      <c r="CH32" s="188">
        <f t="shared" si="19"/>
        <v>980.09999999999991</v>
      </c>
      <c r="CI32" s="188">
        <f t="shared" si="19"/>
        <v>928</v>
      </c>
      <c r="CJ32" s="188">
        <f t="shared" si="19"/>
        <v>1079.8500000000001</v>
      </c>
      <c r="CK32" s="188">
        <f t="shared" si="19"/>
        <v>817.2</v>
      </c>
      <c r="CL32" s="188">
        <f t="shared" si="19"/>
        <v>888.36</v>
      </c>
      <c r="CM32" s="188">
        <f t="shared" si="19"/>
        <v>836.43</v>
      </c>
      <c r="CN32" s="188">
        <f t="shared" si="19"/>
        <v>874.59999999999991</v>
      </c>
      <c r="CO32" s="188">
        <f t="shared" si="19"/>
        <v>909.7</v>
      </c>
      <c r="CP32" s="188">
        <f t="shared" si="19"/>
        <v>789.59999999999991</v>
      </c>
      <c r="CQ32" s="188">
        <f t="shared" si="19"/>
        <v>837.54</v>
      </c>
      <c r="CR32" s="188">
        <f t="shared" si="19"/>
        <v>801.57</v>
      </c>
      <c r="CS32" s="188">
        <f>CS13*CS$5</f>
        <v>850.74</v>
      </c>
      <c r="CT32" s="188">
        <f t="shared" si="18"/>
        <v>941.85</v>
      </c>
      <c r="CU32" s="188">
        <f t="shared" si="18"/>
        <v>958.8599999999999</v>
      </c>
      <c r="CV32" s="188">
        <f t="shared" si="18"/>
        <v>1050.8699999999999</v>
      </c>
      <c r="CW32" s="188">
        <f t="shared" si="18"/>
        <v>767.03</v>
      </c>
      <c r="CX32" s="188">
        <f t="shared" si="18"/>
        <v>946.22</v>
      </c>
      <c r="CY32" s="188">
        <f t="shared" si="18"/>
        <v>851.76</v>
      </c>
      <c r="CZ32" s="188">
        <f t="shared" si="18"/>
        <v>888.19999999999993</v>
      </c>
      <c r="DA32" s="188">
        <f t="shared" si="18"/>
        <v>914.76</v>
      </c>
      <c r="DB32" s="188">
        <f t="shared" si="18"/>
        <v>833.91</v>
      </c>
      <c r="DC32" s="188">
        <f t="shared" si="18"/>
        <v>803.88</v>
      </c>
      <c r="DD32" s="188">
        <f t="shared" si="18"/>
        <v>844.14</v>
      </c>
      <c r="DE32" s="188">
        <f t="shared" si="18"/>
        <v>816.27</v>
      </c>
      <c r="DF32" s="188">
        <f t="shared" si="18"/>
        <v>947.52</v>
      </c>
      <c r="DG32" s="188">
        <f t="shared" si="18"/>
        <v>1011.7800000000001</v>
      </c>
      <c r="DH32" s="188">
        <f t="shared" si="18"/>
        <v>967.05</v>
      </c>
      <c r="DI32" s="188">
        <f t="shared" si="18"/>
        <v>853.8599999999999</v>
      </c>
      <c r="DJ32" s="188">
        <f t="shared" si="18"/>
        <v>951.28</v>
      </c>
      <c r="DK32" s="188">
        <f t="shared" si="18"/>
        <v>774.82</v>
      </c>
      <c r="DL32" s="188">
        <f t="shared" si="18"/>
        <v>982.3</v>
      </c>
      <c r="DM32" s="188">
        <f t="shared" si="18"/>
        <v>878.22</v>
      </c>
      <c r="DN32" s="188">
        <f t="shared" si="18"/>
        <v>798.6</v>
      </c>
      <c r="DO32" s="188">
        <f t="shared" si="18"/>
        <v>847</v>
      </c>
      <c r="DP32" s="188">
        <f t="shared" si="18"/>
        <v>848.54</v>
      </c>
      <c r="DQ32" s="188">
        <f t="shared" si="18"/>
        <v>781.59999999999991</v>
      </c>
      <c r="DR32" s="188">
        <f t="shared" si="18"/>
        <v>998.58</v>
      </c>
      <c r="DS32" s="188">
        <f t="shared" si="18"/>
        <v>1019.04</v>
      </c>
      <c r="DT32" s="188">
        <f t="shared" si="18"/>
        <v>974.82</v>
      </c>
      <c r="DU32" s="188">
        <f t="shared" si="18"/>
        <v>860.16</v>
      </c>
      <c r="DV32" s="188">
        <f t="shared" si="18"/>
        <v>914.76</v>
      </c>
      <c r="DW32" s="188">
        <f t="shared" si="18"/>
        <v>819.80000000000007</v>
      </c>
      <c r="DX32" s="188">
        <f t="shared" si="18"/>
        <v>987.58</v>
      </c>
      <c r="DY32" s="188">
        <f t="shared" si="18"/>
        <v>841</v>
      </c>
      <c r="DZ32" s="188">
        <f t="shared" si="18"/>
        <v>803.19999999999993</v>
      </c>
      <c r="EA32" s="188">
        <f t="shared" si="18"/>
        <v>890.33</v>
      </c>
      <c r="EB32" s="188">
        <f t="shared" si="18"/>
        <v>852.71999999999991</v>
      </c>
      <c r="EC32" s="188">
        <f t="shared" si="18"/>
        <v>785.6</v>
      </c>
      <c r="ED32" s="188">
        <f t="shared" si="18"/>
        <v>1004.3</v>
      </c>
      <c r="EE32" s="188">
        <f t="shared" si="18"/>
        <v>979.65</v>
      </c>
      <c r="EF32" s="188">
        <f t="shared" si="18"/>
        <v>1029.1600000000001</v>
      </c>
      <c r="EG32" s="188">
        <f t="shared" si="18"/>
        <v>866.45999999999992</v>
      </c>
      <c r="EH32" s="188">
        <f t="shared" si="18"/>
        <v>877.59</v>
      </c>
      <c r="EI32" s="188">
        <f t="shared" si="18"/>
        <v>865.2</v>
      </c>
      <c r="EJ32" s="188">
        <f t="shared" si="18"/>
        <v>1037.99</v>
      </c>
    </row>
    <row r="33" spans="1:140" ht="13.7" customHeight="1" x14ac:dyDescent="0.2">
      <c r="A33" s="165" t="s">
        <v>142</v>
      </c>
      <c r="B33" s="142"/>
      <c r="C33" s="132">
        <f t="shared" si="16"/>
        <v>1.3333333333314101E-3</v>
      </c>
      <c r="D33" s="132">
        <f t="shared" ca="1" si="16"/>
        <v>0.76999999999999957</v>
      </c>
      <c r="E33" s="132">
        <f t="shared" si="16"/>
        <v>0.5</v>
      </c>
      <c r="F33" s="167">
        <f t="shared" ca="1" si="16"/>
        <v>0.45170844350431949</v>
      </c>
      <c r="G33" s="132">
        <f t="shared" si="16"/>
        <v>0.625</v>
      </c>
      <c r="H33" s="132">
        <f t="shared" si="16"/>
        <v>0.5</v>
      </c>
      <c r="I33" s="132">
        <f t="shared" si="16"/>
        <v>0.75</v>
      </c>
      <c r="J33" s="132">
        <f t="shared" si="16"/>
        <v>0.375</v>
      </c>
      <c r="K33" s="132">
        <f t="shared" si="16"/>
        <v>0.75</v>
      </c>
      <c r="L33" s="132">
        <f t="shared" si="16"/>
        <v>0</v>
      </c>
      <c r="M33" s="132">
        <f t="shared" si="16"/>
        <v>1.5</v>
      </c>
      <c r="N33" s="132">
        <f t="shared" si="16"/>
        <v>1.5</v>
      </c>
      <c r="O33" s="132">
        <f t="shared" si="16"/>
        <v>1</v>
      </c>
      <c r="P33" s="132">
        <f t="shared" si="16"/>
        <v>1</v>
      </c>
      <c r="Q33" s="132">
        <f t="shared" si="16"/>
        <v>1</v>
      </c>
      <c r="R33" s="132">
        <f t="shared" si="16"/>
        <v>1</v>
      </c>
      <c r="S33" s="132">
        <f t="shared" si="16"/>
        <v>0</v>
      </c>
      <c r="T33" s="132">
        <f t="shared" si="16"/>
        <v>0</v>
      </c>
      <c r="U33" s="132">
        <f t="shared" si="16"/>
        <v>0</v>
      </c>
      <c r="V33" s="132">
        <f t="shared" si="16"/>
        <v>0</v>
      </c>
      <c r="W33" s="167">
        <f t="shared" si="16"/>
        <v>0.66176470588235503</v>
      </c>
      <c r="X33" s="132">
        <f t="shared" si="16"/>
        <v>0.27058823529411313</v>
      </c>
      <c r="Y33" s="132">
        <f t="shared" si="16"/>
        <v>0.39429530201341834</v>
      </c>
      <c r="Z33" s="132">
        <f t="shared" si="16"/>
        <v>0.42207843137254031</v>
      </c>
      <c r="AA33" s="132">
        <f t="shared" si="16"/>
        <v>0.41935294117649136</v>
      </c>
      <c r="AB33" s="132">
        <f t="shared" si="16"/>
        <v>0.42160156249999403</v>
      </c>
      <c r="AC33" s="168">
        <f t="shared" ca="1" si="16"/>
        <v>0.4361981332461653</v>
      </c>
      <c r="AD33" s="163"/>
      <c r="AE33" s="163"/>
      <c r="AF33" s="164"/>
      <c r="AG33" s="132">
        <f t="shared" si="19"/>
        <v>649</v>
      </c>
      <c r="AH33" s="188">
        <f t="shared" si="19"/>
        <v>575</v>
      </c>
      <c r="AI33" s="188">
        <f t="shared" si="19"/>
        <v>603.75</v>
      </c>
      <c r="AJ33" s="188">
        <f t="shared" si="19"/>
        <v>649</v>
      </c>
      <c r="AK33" s="188">
        <f t="shared" si="19"/>
        <v>715</v>
      </c>
      <c r="AL33" s="188">
        <f t="shared" si="19"/>
        <v>830</v>
      </c>
      <c r="AM33" s="188">
        <f t="shared" si="19"/>
        <v>1078</v>
      </c>
      <c r="AN33" s="188">
        <f t="shared" si="19"/>
        <v>1232</v>
      </c>
      <c r="AO33" s="188">
        <f t="shared" si="19"/>
        <v>930</v>
      </c>
      <c r="AP33" s="188">
        <f t="shared" si="19"/>
        <v>770.5</v>
      </c>
      <c r="AQ33" s="188">
        <f t="shared" si="19"/>
        <v>630</v>
      </c>
      <c r="AR33" s="188">
        <f t="shared" si="19"/>
        <v>682.5</v>
      </c>
      <c r="AS33" s="188">
        <f t="shared" si="19"/>
        <v>742.5</v>
      </c>
      <c r="AT33" s="188">
        <f t="shared" si="19"/>
        <v>665</v>
      </c>
      <c r="AU33" s="188">
        <f t="shared" si="19"/>
        <v>698.25</v>
      </c>
      <c r="AV33" s="188">
        <f t="shared" si="19"/>
        <v>720.5</v>
      </c>
      <c r="AW33" s="188">
        <f t="shared" si="19"/>
        <v>687.75</v>
      </c>
      <c r="AX33" s="188">
        <f t="shared" si="19"/>
        <v>782.25</v>
      </c>
      <c r="AY33" s="188">
        <f t="shared" si="19"/>
        <v>1133</v>
      </c>
      <c r="AZ33" s="188">
        <f t="shared" si="19"/>
        <v>1197</v>
      </c>
      <c r="BA33" s="188">
        <f t="shared" si="19"/>
        <v>955.5</v>
      </c>
      <c r="BB33" s="188">
        <f t="shared" si="19"/>
        <v>782</v>
      </c>
      <c r="BC33" s="188">
        <f t="shared" si="19"/>
        <v>617.5</v>
      </c>
      <c r="BD33" s="188">
        <f t="shared" si="19"/>
        <v>715</v>
      </c>
      <c r="BE33" s="188">
        <f t="shared" si="19"/>
        <v>726.81</v>
      </c>
      <c r="BF33" s="188">
        <f t="shared" si="19"/>
        <v>683.8</v>
      </c>
      <c r="BG33" s="188">
        <f t="shared" si="19"/>
        <v>786.36999999999989</v>
      </c>
      <c r="BH33" s="188">
        <f t="shared" si="19"/>
        <v>742.71999999999991</v>
      </c>
      <c r="BI33" s="188">
        <f t="shared" si="19"/>
        <v>675.19999999999993</v>
      </c>
      <c r="BJ33" s="188">
        <f t="shared" si="19"/>
        <v>827.42</v>
      </c>
      <c r="BK33" s="188">
        <f t="shared" si="19"/>
        <v>1045.8</v>
      </c>
      <c r="BL33" s="188">
        <f t="shared" si="19"/>
        <v>1199.22</v>
      </c>
      <c r="BM33" s="188">
        <f t="shared" si="19"/>
        <v>938.07</v>
      </c>
      <c r="BN33" s="188">
        <f t="shared" si="19"/>
        <v>731.43</v>
      </c>
      <c r="BO33" s="188">
        <f t="shared" si="19"/>
        <v>704.55</v>
      </c>
      <c r="BP33" s="188">
        <f t="shared" si="19"/>
        <v>771.65</v>
      </c>
      <c r="BQ33" s="188">
        <f t="shared" si="19"/>
        <v>743.19</v>
      </c>
      <c r="BR33" s="188">
        <f t="shared" si="19"/>
        <v>700.40000000000009</v>
      </c>
      <c r="BS33" s="188">
        <f t="shared" si="19"/>
        <v>805.46</v>
      </c>
      <c r="BT33" s="188">
        <f t="shared" si="19"/>
        <v>727.8599999999999</v>
      </c>
      <c r="BU33" s="188">
        <f t="shared" si="19"/>
        <v>727.8599999999999</v>
      </c>
      <c r="BV33" s="188">
        <f t="shared" si="19"/>
        <v>834.90000000000009</v>
      </c>
      <c r="BW33" s="188">
        <f t="shared" si="19"/>
        <v>967.8</v>
      </c>
      <c r="BX33" s="188">
        <f t="shared" si="19"/>
        <v>1205.4299999999998</v>
      </c>
      <c r="BY33" s="188">
        <f t="shared" si="19"/>
        <v>923.79000000000008</v>
      </c>
      <c r="BZ33" s="188">
        <f t="shared" si="19"/>
        <v>747.18</v>
      </c>
      <c r="CA33" s="188">
        <f t="shared" si="19"/>
        <v>724.07999999999993</v>
      </c>
      <c r="CB33" s="188">
        <f t="shared" si="19"/>
        <v>724.07999999999993</v>
      </c>
      <c r="CC33" s="188">
        <f t="shared" si="19"/>
        <v>757.68</v>
      </c>
      <c r="CD33" s="188">
        <f t="shared" si="19"/>
        <v>715.40000000000009</v>
      </c>
      <c r="CE33" s="188">
        <f t="shared" si="19"/>
        <v>822.71</v>
      </c>
      <c r="CF33" s="188">
        <f t="shared" si="19"/>
        <v>709.2</v>
      </c>
      <c r="CG33" s="188">
        <f t="shared" si="19"/>
        <v>780.12</v>
      </c>
      <c r="CH33" s="188">
        <f t="shared" si="19"/>
        <v>842.16000000000008</v>
      </c>
      <c r="CI33" s="188">
        <f t="shared" si="19"/>
        <v>944.2</v>
      </c>
      <c r="CJ33" s="188">
        <f t="shared" si="19"/>
        <v>1164.95</v>
      </c>
      <c r="CK33" s="188">
        <f t="shared" si="19"/>
        <v>869</v>
      </c>
      <c r="CL33" s="188">
        <f t="shared" si="19"/>
        <v>797.5</v>
      </c>
      <c r="CM33" s="188">
        <f t="shared" si="19"/>
        <v>741.51</v>
      </c>
      <c r="CN33" s="188">
        <f t="shared" si="19"/>
        <v>706.2</v>
      </c>
      <c r="CO33" s="188">
        <f t="shared" si="19"/>
        <v>804.76</v>
      </c>
      <c r="CP33" s="188">
        <f t="shared" si="19"/>
        <v>726</v>
      </c>
      <c r="CQ33" s="188">
        <f t="shared" si="19"/>
        <v>798.59999999999991</v>
      </c>
      <c r="CR33" s="188">
        <f t="shared" si="19"/>
        <v>756.42000000000007</v>
      </c>
      <c r="CS33" s="188">
        <f>CS14*CS$5</f>
        <v>792.44</v>
      </c>
      <c r="CT33" s="188">
        <f t="shared" ref="CT33:EJ33" si="20">CT14*CT$5</f>
        <v>810.18</v>
      </c>
      <c r="CU33" s="188">
        <f t="shared" si="20"/>
        <v>979.8599999999999</v>
      </c>
      <c r="CV33" s="188">
        <f t="shared" si="20"/>
        <v>1144.94</v>
      </c>
      <c r="CW33" s="188">
        <f t="shared" si="20"/>
        <v>821.93999999999994</v>
      </c>
      <c r="CX33" s="188">
        <f t="shared" si="20"/>
        <v>845.0200000000001</v>
      </c>
      <c r="CY33" s="188">
        <f t="shared" si="20"/>
        <v>753.69</v>
      </c>
      <c r="CZ33" s="188">
        <f t="shared" si="20"/>
        <v>717.8</v>
      </c>
      <c r="DA33" s="188">
        <f t="shared" si="20"/>
        <v>814.21999999999991</v>
      </c>
      <c r="DB33" s="188">
        <f t="shared" si="20"/>
        <v>771.75</v>
      </c>
      <c r="DC33" s="188">
        <f t="shared" si="20"/>
        <v>771.75</v>
      </c>
      <c r="DD33" s="188">
        <f t="shared" si="20"/>
        <v>802.78000000000009</v>
      </c>
      <c r="DE33" s="188">
        <f t="shared" si="20"/>
        <v>766.29000000000008</v>
      </c>
      <c r="DF33" s="188">
        <f t="shared" si="20"/>
        <v>816.06</v>
      </c>
      <c r="DG33" s="188">
        <f t="shared" si="20"/>
        <v>1019.48</v>
      </c>
      <c r="DH33" s="188">
        <f t="shared" si="20"/>
        <v>1033.83</v>
      </c>
      <c r="DI33" s="188">
        <f t="shared" si="20"/>
        <v>907.2</v>
      </c>
      <c r="DJ33" s="188">
        <f t="shared" si="20"/>
        <v>854.68</v>
      </c>
      <c r="DK33" s="188">
        <f t="shared" si="20"/>
        <v>691.03</v>
      </c>
      <c r="DL33" s="188">
        <f t="shared" si="20"/>
        <v>800.14</v>
      </c>
      <c r="DM33" s="188">
        <f t="shared" si="20"/>
        <v>786.03</v>
      </c>
      <c r="DN33" s="188">
        <f t="shared" si="20"/>
        <v>743.6</v>
      </c>
      <c r="DO33" s="188">
        <f t="shared" si="20"/>
        <v>818.18</v>
      </c>
      <c r="DP33" s="188">
        <f t="shared" si="20"/>
        <v>812.68</v>
      </c>
      <c r="DQ33" s="188">
        <f t="shared" si="20"/>
        <v>739</v>
      </c>
      <c r="DR33" s="188">
        <f t="shared" si="20"/>
        <v>861.08</v>
      </c>
      <c r="DS33" s="188">
        <f t="shared" si="20"/>
        <v>1013.54</v>
      </c>
      <c r="DT33" s="188">
        <f t="shared" si="20"/>
        <v>1023.5400000000001</v>
      </c>
      <c r="DU33" s="188">
        <f t="shared" si="20"/>
        <v>906.15</v>
      </c>
      <c r="DV33" s="188">
        <f t="shared" si="20"/>
        <v>826.32</v>
      </c>
      <c r="DW33" s="188">
        <f t="shared" si="20"/>
        <v>736.80000000000007</v>
      </c>
      <c r="DX33" s="188">
        <f t="shared" si="20"/>
        <v>810.48</v>
      </c>
      <c r="DY33" s="188">
        <f t="shared" si="20"/>
        <v>756.59999999999991</v>
      </c>
      <c r="DZ33" s="188">
        <f t="shared" si="20"/>
        <v>752</v>
      </c>
      <c r="EA33" s="188">
        <f t="shared" si="20"/>
        <v>865.03</v>
      </c>
      <c r="EB33" s="188">
        <f t="shared" si="20"/>
        <v>822.36</v>
      </c>
      <c r="EC33" s="188">
        <f t="shared" si="20"/>
        <v>747.8</v>
      </c>
      <c r="ED33" s="188">
        <f t="shared" si="20"/>
        <v>867.02</v>
      </c>
      <c r="EE33" s="188">
        <f t="shared" si="20"/>
        <v>962.43</v>
      </c>
      <c r="EF33" s="188">
        <f t="shared" si="20"/>
        <v>1062.8200000000002</v>
      </c>
      <c r="EG33" s="188">
        <f t="shared" si="20"/>
        <v>905.73</v>
      </c>
      <c r="EH33" s="188">
        <f t="shared" si="20"/>
        <v>797.16</v>
      </c>
      <c r="EI33" s="188">
        <f t="shared" si="20"/>
        <v>782.88</v>
      </c>
      <c r="EJ33" s="188">
        <f t="shared" si="20"/>
        <v>857.67</v>
      </c>
    </row>
    <row r="34" spans="1:140" ht="13.7" customHeight="1" thickBot="1" x14ac:dyDescent="0.25">
      <c r="A34" s="170" t="s">
        <v>143</v>
      </c>
      <c r="B34" s="171"/>
      <c r="C34" s="136">
        <f t="shared" si="16"/>
        <v>1.3333333333314101E-3</v>
      </c>
      <c r="D34" s="136">
        <f t="shared" ca="1" si="16"/>
        <v>0.76999999999999957</v>
      </c>
      <c r="E34" s="136">
        <f t="shared" si="16"/>
        <v>0.5</v>
      </c>
      <c r="F34" s="172">
        <f t="shared" ca="1" si="16"/>
        <v>0.45699665080204355</v>
      </c>
      <c r="G34" s="136">
        <f t="shared" si="16"/>
        <v>0.625</v>
      </c>
      <c r="H34" s="136">
        <f t="shared" si="16"/>
        <v>0.5</v>
      </c>
      <c r="I34" s="136">
        <f t="shared" si="16"/>
        <v>0.75</v>
      </c>
      <c r="J34" s="136">
        <f t="shared" si="16"/>
        <v>0.375</v>
      </c>
      <c r="K34" s="136">
        <f t="shared" si="16"/>
        <v>0.75</v>
      </c>
      <c r="L34" s="136">
        <f t="shared" si="16"/>
        <v>0</v>
      </c>
      <c r="M34" s="136">
        <f t="shared" si="16"/>
        <v>1.5</v>
      </c>
      <c r="N34" s="136">
        <f t="shared" si="16"/>
        <v>1.5</v>
      </c>
      <c r="O34" s="136">
        <f t="shared" si="16"/>
        <v>1</v>
      </c>
      <c r="P34" s="136">
        <f t="shared" si="16"/>
        <v>1</v>
      </c>
      <c r="Q34" s="136">
        <f t="shared" si="16"/>
        <v>1</v>
      </c>
      <c r="R34" s="136">
        <f t="shared" si="16"/>
        <v>1</v>
      </c>
      <c r="S34" s="136">
        <f t="shared" si="16"/>
        <v>0</v>
      </c>
      <c r="T34" s="136">
        <f t="shared" si="16"/>
        <v>0</v>
      </c>
      <c r="U34" s="136">
        <f t="shared" si="16"/>
        <v>0</v>
      </c>
      <c r="V34" s="136">
        <f t="shared" si="16"/>
        <v>0</v>
      </c>
      <c r="W34" s="172">
        <f t="shared" si="16"/>
        <v>0.66176470588234793</v>
      </c>
      <c r="X34" s="136">
        <f t="shared" si="16"/>
        <v>0.27058823529412024</v>
      </c>
      <c r="Y34" s="136">
        <f t="shared" si="16"/>
        <v>0.39429530201343255</v>
      </c>
      <c r="Z34" s="136">
        <f t="shared" si="16"/>
        <v>0.42207843137254741</v>
      </c>
      <c r="AA34" s="136">
        <f t="shared" si="16"/>
        <v>0.41935294117647004</v>
      </c>
      <c r="AB34" s="136">
        <f t="shared" si="16"/>
        <v>0.42160156249999403</v>
      </c>
      <c r="AC34" s="173">
        <f t="shared" ca="1" si="16"/>
        <v>0.43713349259837031</v>
      </c>
      <c r="AD34" s="163"/>
      <c r="AE34" s="163"/>
      <c r="AF34" s="164"/>
      <c r="AG34" s="132">
        <f t="shared" si="19"/>
        <v>682</v>
      </c>
      <c r="AH34" s="188">
        <f t="shared" si="19"/>
        <v>600</v>
      </c>
      <c r="AI34" s="188">
        <f t="shared" si="19"/>
        <v>630</v>
      </c>
      <c r="AJ34" s="188">
        <f t="shared" si="19"/>
        <v>693</v>
      </c>
      <c r="AK34" s="188">
        <f t="shared" si="19"/>
        <v>781</v>
      </c>
      <c r="AL34" s="188">
        <f t="shared" si="19"/>
        <v>930</v>
      </c>
      <c r="AM34" s="188">
        <f t="shared" si="19"/>
        <v>1232</v>
      </c>
      <c r="AN34" s="188">
        <f t="shared" si="19"/>
        <v>1452</v>
      </c>
      <c r="AO34" s="188">
        <f t="shared" si="19"/>
        <v>1070</v>
      </c>
      <c r="AP34" s="188">
        <f t="shared" si="19"/>
        <v>828</v>
      </c>
      <c r="AQ34" s="188">
        <f t="shared" si="19"/>
        <v>670</v>
      </c>
      <c r="AR34" s="188">
        <f t="shared" si="19"/>
        <v>724.5</v>
      </c>
      <c r="AS34" s="188">
        <f t="shared" si="19"/>
        <v>786.5</v>
      </c>
      <c r="AT34" s="188">
        <f t="shared" si="19"/>
        <v>705</v>
      </c>
      <c r="AU34" s="188">
        <f t="shared" si="19"/>
        <v>740.25</v>
      </c>
      <c r="AV34" s="188">
        <f t="shared" si="19"/>
        <v>764.5</v>
      </c>
      <c r="AW34" s="188">
        <f t="shared" si="19"/>
        <v>729.75</v>
      </c>
      <c r="AX34" s="188">
        <f t="shared" si="19"/>
        <v>876.75</v>
      </c>
      <c r="AY34" s="188">
        <f t="shared" si="19"/>
        <v>1265</v>
      </c>
      <c r="AZ34" s="188">
        <f t="shared" si="19"/>
        <v>1365</v>
      </c>
      <c r="BA34" s="188">
        <f t="shared" si="19"/>
        <v>1081.5</v>
      </c>
      <c r="BB34" s="188">
        <f t="shared" si="19"/>
        <v>833.75</v>
      </c>
      <c r="BC34" s="188">
        <f t="shared" si="19"/>
        <v>650.75</v>
      </c>
      <c r="BD34" s="188">
        <f t="shared" si="19"/>
        <v>748</v>
      </c>
      <c r="BE34" s="188">
        <f t="shared" si="19"/>
        <v>773.01</v>
      </c>
      <c r="BF34" s="188">
        <f t="shared" si="19"/>
        <v>727.8</v>
      </c>
      <c r="BG34" s="188">
        <f t="shared" si="19"/>
        <v>836.97</v>
      </c>
      <c r="BH34" s="188">
        <f t="shared" si="19"/>
        <v>791.12</v>
      </c>
      <c r="BI34" s="188">
        <f t="shared" si="19"/>
        <v>719.2</v>
      </c>
      <c r="BJ34" s="188">
        <f t="shared" si="19"/>
        <v>922.68</v>
      </c>
      <c r="BK34" s="188">
        <f t="shared" si="19"/>
        <v>1163.3999999999999</v>
      </c>
      <c r="BL34" s="188">
        <f t="shared" si="19"/>
        <v>1359.8200000000002</v>
      </c>
      <c r="BM34" s="188">
        <f t="shared" si="19"/>
        <v>1055.67</v>
      </c>
      <c r="BN34" s="188">
        <f t="shared" si="19"/>
        <v>782.04000000000008</v>
      </c>
      <c r="BO34" s="188">
        <f t="shared" si="19"/>
        <v>746.13</v>
      </c>
      <c r="BP34" s="188">
        <f t="shared" si="19"/>
        <v>812.36</v>
      </c>
      <c r="BQ34" s="188">
        <f t="shared" si="19"/>
        <v>791.91</v>
      </c>
      <c r="BR34" s="188">
        <f t="shared" si="19"/>
        <v>746.80000000000007</v>
      </c>
      <c r="BS34" s="188">
        <f t="shared" si="19"/>
        <v>858.82</v>
      </c>
      <c r="BT34" s="188">
        <f t="shared" si="19"/>
        <v>776.57999999999993</v>
      </c>
      <c r="BU34" s="188">
        <f t="shared" si="19"/>
        <v>776.57999999999993</v>
      </c>
      <c r="BV34" s="188">
        <f t="shared" si="19"/>
        <v>925.76</v>
      </c>
      <c r="BW34" s="188">
        <f t="shared" si="19"/>
        <v>1071.8000000000002</v>
      </c>
      <c r="BX34" s="188">
        <f t="shared" si="19"/>
        <v>1358.1499999999999</v>
      </c>
      <c r="BY34" s="188">
        <f t="shared" si="19"/>
        <v>1032.99</v>
      </c>
      <c r="BZ34" s="188">
        <f t="shared" si="19"/>
        <v>799.68</v>
      </c>
      <c r="CA34" s="188">
        <f t="shared" si="19"/>
        <v>769.02</v>
      </c>
      <c r="CB34" s="188">
        <f t="shared" si="19"/>
        <v>765.24</v>
      </c>
      <c r="CC34" s="188">
        <f t="shared" si="19"/>
        <v>808.5</v>
      </c>
      <c r="CD34" s="188">
        <f t="shared" si="19"/>
        <v>763.8</v>
      </c>
      <c r="CE34" s="188">
        <f t="shared" si="19"/>
        <v>878.36999999999989</v>
      </c>
      <c r="CF34" s="188">
        <f t="shared" si="19"/>
        <v>757.6</v>
      </c>
      <c r="CG34" s="188">
        <f t="shared" si="19"/>
        <v>833.36</v>
      </c>
      <c r="CH34" s="188">
        <f t="shared" si="19"/>
        <v>929.28000000000009</v>
      </c>
      <c r="CI34" s="188">
        <f t="shared" si="19"/>
        <v>1041.4000000000001</v>
      </c>
      <c r="CJ34" s="188">
        <f t="shared" si="19"/>
        <v>1304.79</v>
      </c>
      <c r="CK34" s="188">
        <f t="shared" si="19"/>
        <v>966.2</v>
      </c>
      <c r="CL34" s="188">
        <f t="shared" si="19"/>
        <v>854.04</v>
      </c>
      <c r="CM34" s="188">
        <f t="shared" si="19"/>
        <v>788.97</v>
      </c>
      <c r="CN34" s="188">
        <f t="shared" si="19"/>
        <v>748.40000000000009</v>
      </c>
      <c r="CO34" s="188">
        <f t="shared" si="19"/>
        <v>858.66000000000008</v>
      </c>
      <c r="CP34" s="188">
        <f t="shared" si="19"/>
        <v>775</v>
      </c>
      <c r="CQ34" s="188">
        <f t="shared" si="19"/>
        <v>852.5</v>
      </c>
      <c r="CR34" s="188">
        <f t="shared" si="19"/>
        <v>808.07999999999993</v>
      </c>
      <c r="CS34" s="188">
        <f>CS15*CS$5</f>
        <v>846.33999999999992</v>
      </c>
      <c r="CT34" s="188">
        <f t="shared" ref="CT34:EJ34" si="21">CT15*CT$5</f>
        <v>890.82</v>
      </c>
      <c r="CU34" s="188">
        <f t="shared" si="21"/>
        <v>1077.3</v>
      </c>
      <c r="CV34" s="188">
        <f t="shared" si="21"/>
        <v>1276.96</v>
      </c>
      <c r="CW34" s="188">
        <f t="shared" si="21"/>
        <v>910.1</v>
      </c>
      <c r="CX34" s="188">
        <f t="shared" si="21"/>
        <v>904.36</v>
      </c>
      <c r="CY34" s="188">
        <f t="shared" si="21"/>
        <v>802.2</v>
      </c>
      <c r="CZ34" s="188">
        <f t="shared" si="21"/>
        <v>761.2</v>
      </c>
      <c r="DA34" s="188">
        <f t="shared" si="21"/>
        <v>868.33999999999992</v>
      </c>
      <c r="DB34" s="188">
        <f t="shared" si="21"/>
        <v>823.41</v>
      </c>
      <c r="DC34" s="188">
        <f t="shared" si="21"/>
        <v>823.41</v>
      </c>
      <c r="DD34" s="188">
        <f t="shared" si="21"/>
        <v>857.12</v>
      </c>
      <c r="DE34" s="188">
        <f t="shared" si="21"/>
        <v>818.16</v>
      </c>
      <c r="DF34" s="188">
        <f t="shared" si="21"/>
        <v>894.6</v>
      </c>
      <c r="DG34" s="188">
        <f t="shared" si="21"/>
        <v>1117.8200000000002</v>
      </c>
      <c r="DH34" s="188">
        <f t="shared" si="21"/>
        <v>1148.9100000000001</v>
      </c>
      <c r="DI34" s="188">
        <f t="shared" si="21"/>
        <v>1001.07</v>
      </c>
      <c r="DJ34" s="188">
        <f t="shared" si="21"/>
        <v>914.0200000000001</v>
      </c>
      <c r="DK34" s="188">
        <f t="shared" si="21"/>
        <v>735.30000000000007</v>
      </c>
      <c r="DL34" s="188">
        <f t="shared" si="21"/>
        <v>848.54</v>
      </c>
      <c r="DM34" s="188">
        <f t="shared" si="21"/>
        <v>837.9</v>
      </c>
      <c r="DN34" s="188">
        <f t="shared" si="21"/>
        <v>793</v>
      </c>
      <c r="DO34" s="188">
        <f t="shared" si="21"/>
        <v>872.52</v>
      </c>
      <c r="DP34" s="188">
        <f t="shared" si="21"/>
        <v>867.02</v>
      </c>
      <c r="DQ34" s="188">
        <f t="shared" si="21"/>
        <v>788.40000000000009</v>
      </c>
      <c r="DR34" s="188">
        <f t="shared" si="21"/>
        <v>941.38</v>
      </c>
      <c r="DS34" s="188">
        <f t="shared" si="21"/>
        <v>1108.1399999999999</v>
      </c>
      <c r="DT34" s="188">
        <f t="shared" si="21"/>
        <v>1133.3699999999999</v>
      </c>
      <c r="DU34" s="188">
        <f t="shared" si="21"/>
        <v>996.66</v>
      </c>
      <c r="DV34" s="188">
        <f t="shared" si="21"/>
        <v>882.86</v>
      </c>
      <c r="DW34" s="188">
        <f t="shared" si="21"/>
        <v>783.6</v>
      </c>
      <c r="DX34" s="188">
        <f t="shared" si="21"/>
        <v>859.32</v>
      </c>
      <c r="DY34" s="188">
        <f t="shared" si="21"/>
        <v>805</v>
      </c>
      <c r="DZ34" s="188">
        <f t="shared" si="21"/>
        <v>800.40000000000009</v>
      </c>
      <c r="EA34" s="188">
        <f t="shared" si="21"/>
        <v>920.92</v>
      </c>
      <c r="EB34" s="188">
        <f t="shared" si="21"/>
        <v>875.82</v>
      </c>
      <c r="EC34" s="188">
        <f t="shared" si="21"/>
        <v>796.4</v>
      </c>
      <c r="ED34" s="188">
        <f t="shared" si="21"/>
        <v>944.02</v>
      </c>
      <c r="EE34" s="188">
        <f t="shared" si="21"/>
        <v>1048.32</v>
      </c>
      <c r="EF34" s="188">
        <f t="shared" si="21"/>
        <v>1171.5</v>
      </c>
      <c r="EG34" s="188">
        <f t="shared" si="21"/>
        <v>991.82999999999993</v>
      </c>
      <c r="EH34" s="188">
        <f t="shared" si="21"/>
        <v>850.07999999999993</v>
      </c>
      <c r="EI34" s="188">
        <f t="shared" si="21"/>
        <v>831.3900000000001</v>
      </c>
      <c r="EJ34" s="188">
        <f t="shared" si="21"/>
        <v>908.2700000000001</v>
      </c>
    </row>
    <row r="35" spans="1:140" ht="13.7" customHeight="1" thickBot="1" x14ac:dyDescent="0.25">
      <c r="A35" s="189"/>
      <c r="C35" s="132"/>
      <c r="D35" s="132"/>
      <c r="E35" s="132"/>
      <c r="F35" s="132"/>
      <c r="G35" s="132"/>
      <c r="H35" s="132"/>
      <c r="I35" s="132"/>
      <c r="J35" s="132"/>
      <c r="K35" s="132"/>
      <c r="L35" s="132"/>
      <c r="M35" s="132"/>
      <c r="N35" s="132"/>
      <c r="O35" s="132"/>
      <c r="P35" s="132"/>
      <c r="Q35" s="132"/>
      <c r="R35" s="132"/>
      <c r="S35" s="132"/>
      <c r="T35" s="132"/>
      <c r="U35" s="132"/>
      <c r="V35" s="132"/>
      <c r="W35" s="132"/>
      <c r="X35" s="132"/>
      <c r="Y35" s="132"/>
      <c r="Z35" s="132"/>
      <c r="AA35" s="132"/>
      <c r="AB35" s="132"/>
      <c r="AC35" s="134"/>
      <c r="AD35" s="163"/>
      <c r="AE35" s="163"/>
      <c r="AF35" s="164"/>
      <c r="AG35" s="132"/>
      <c r="AH35" s="188"/>
      <c r="AI35" s="188"/>
      <c r="AJ35" s="188"/>
      <c r="AK35" s="188"/>
      <c r="AL35" s="188"/>
      <c r="AM35" s="188"/>
      <c r="AN35" s="188"/>
      <c r="AO35" s="188"/>
      <c r="AP35" s="188"/>
      <c r="AQ35" s="188"/>
      <c r="AR35" s="188"/>
      <c r="AS35" s="188"/>
      <c r="AT35" s="188"/>
      <c r="AU35" s="188"/>
      <c r="AV35" s="188"/>
      <c r="AW35" s="188"/>
      <c r="AX35" s="188"/>
      <c r="AY35" s="188"/>
      <c r="AZ35" s="188"/>
      <c r="BA35" s="188"/>
      <c r="BB35" s="188"/>
      <c r="BC35" s="188"/>
      <c r="BD35" s="188"/>
      <c r="BE35" s="188"/>
      <c r="BF35" s="188"/>
      <c r="BG35" s="188"/>
      <c r="BH35" s="188"/>
      <c r="BI35" s="188"/>
      <c r="BJ35" s="188"/>
      <c r="BK35" s="188"/>
      <c r="BL35" s="188"/>
      <c r="BM35" s="188"/>
      <c r="BN35" s="188"/>
      <c r="BO35" s="188"/>
      <c r="BP35" s="188"/>
      <c r="BQ35" s="188"/>
      <c r="BR35" s="188"/>
      <c r="BS35" s="188"/>
      <c r="BT35" s="188"/>
      <c r="BU35" s="188"/>
      <c r="BV35" s="188"/>
      <c r="BW35" s="188"/>
      <c r="BX35" s="188"/>
      <c r="BY35" s="188"/>
      <c r="BZ35" s="188"/>
      <c r="CA35" s="188"/>
      <c r="CB35" s="188"/>
      <c r="CC35" s="188"/>
      <c r="CD35" s="188"/>
      <c r="CE35" s="188"/>
      <c r="CF35" s="188"/>
      <c r="CG35" s="188"/>
      <c r="CH35" s="188"/>
      <c r="CI35" s="188"/>
      <c r="CJ35" s="188"/>
      <c r="CK35" s="188"/>
      <c r="CL35" s="188"/>
      <c r="CM35" s="188"/>
      <c r="CN35" s="188"/>
      <c r="CO35" s="188"/>
      <c r="CP35" s="188"/>
      <c r="CQ35" s="188"/>
      <c r="CR35" s="188"/>
      <c r="CS35" s="188"/>
      <c r="CT35" s="188"/>
      <c r="CU35" s="188"/>
      <c r="CV35" s="188"/>
      <c r="CW35" s="188"/>
      <c r="CX35" s="188"/>
      <c r="CY35" s="188"/>
      <c r="CZ35" s="188"/>
      <c r="DA35" s="188"/>
      <c r="DB35" s="188"/>
      <c r="DC35" s="188"/>
      <c r="DD35" s="188"/>
      <c r="DE35" s="188"/>
      <c r="DF35" s="188"/>
      <c r="DG35" s="188"/>
      <c r="DH35" s="188"/>
      <c r="DI35" s="188"/>
      <c r="DJ35" s="188"/>
      <c r="DK35" s="188"/>
      <c r="DL35" s="188"/>
      <c r="DM35" s="188"/>
      <c r="DN35" s="188"/>
      <c r="DO35" s="188"/>
      <c r="DP35" s="188"/>
      <c r="DQ35" s="188"/>
      <c r="DR35" s="188"/>
      <c r="DS35" s="188"/>
      <c r="DT35" s="188"/>
      <c r="DU35" s="188"/>
      <c r="DV35" s="188"/>
      <c r="DW35" s="188"/>
      <c r="DX35" s="188"/>
      <c r="DY35" s="188"/>
      <c r="DZ35" s="188"/>
      <c r="EA35" s="188"/>
      <c r="EB35" s="188"/>
      <c r="EC35" s="188"/>
      <c r="ED35" s="188"/>
      <c r="EE35" s="188"/>
      <c r="EF35" s="188"/>
      <c r="EG35" s="188"/>
      <c r="EH35" s="188"/>
      <c r="EI35" s="188"/>
      <c r="EJ35" s="188"/>
    </row>
    <row r="36" spans="1:140" ht="13.7" hidden="1" customHeight="1" x14ac:dyDescent="0.2">
      <c r="A36" s="160" t="s">
        <v>173</v>
      </c>
      <c r="B36" s="175"/>
      <c r="C36" s="134"/>
      <c r="D36" s="134"/>
      <c r="E36" s="134"/>
      <c r="F36" s="134"/>
      <c r="G36" s="134"/>
      <c r="H36" s="134"/>
      <c r="I36" s="134"/>
      <c r="J36" s="134"/>
      <c r="K36" s="134"/>
      <c r="L36" s="134"/>
      <c r="M36" s="134"/>
      <c r="N36" s="134"/>
      <c r="O36" s="134"/>
      <c r="P36" s="134"/>
      <c r="Q36" s="134"/>
      <c r="R36" s="134"/>
      <c r="S36" s="134"/>
      <c r="T36" s="134"/>
      <c r="U36" s="134"/>
      <c r="V36" s="134"/>
      <c r="W36" s="134"/>
      <c r="X36" s="134"/>
      <c r="Y36" s="134"/>
      <c r="Z36" s="134"/>
      <c r="AA36" s="134"/>
      <c r="AB36" s="134"/>
      <c r="AC36" s="162"/>
      <c r="AD36" s="163"/>
      <c r="AE36" s="163"/>
      <c r="AF36" s="164"/>
      <c r="AG36" s="132"/>
      <c r="AH36" s="188"/>
      <c r="AI36" s="188"/>
      <c r="AJ36" s="188"/>
      <c r="AK36" s="188"/>
      <c r="AL36" s="188"/>
      <c r="AM36" s="188"/>
      <c r="AN36" s="188"/>
      <c r="AO36" s="188"/>
      <c r="AP36" s="188"/>
      <c r="AQ36" s="188"/>
      <c r="AR36" s="188"/>
      <c r="AS36" s="188"/>
      <c r="AT36" s="188"/>
      <c r="AU36" s="188"/>
      <c r="AV36" s="188"/>
      <c r="AW36" s="188"/>
      <c r="AX36" s="188"/>
      <c r="AY36" s="188"/>
      <c r="AZ36" s="188"/>
      <c r="BA36" s="188"/>
      <c r="BB36" s="188"/>
      <c r="BC36" s="188"/>
      <c r="BD36" s="188"/>
      <c r="BE36" s="188"/>
      <c r="BF36" s="188"/>
      <c r="BG36" s="188"/>
      <c r="BH36" s="188"/>
      <c r="BI36" s="188"/>
      <c r="BJ36" s="188"/>
      <c r="BK36" s="188"/>
      <c r="BL36" s="188"/>
      <c r="BM36" s="188"/>
      <c r="BN36" s="188"/>
      <c r="BO36" s="188"/>
      <c r="BP36" s="188"/>
      <c r="BQ36" s="188"/>
      <c r="BR36" s="188"/>
      <c r="BS36" s="188"/>
      <c r="BT36" s="188"/>
      <c r="BU36" s="188"/>
      <c r="BV36" s="188"/>
      <c r="BW36" s="188"/>
      <c r="BX36" s="188"/>
      <c r="BY36" s="188"/>
      <c r="BZ36" s="188"/>
      <c r="CA36" s="188"/>
      <c r="CB36" s="188"/>
      <c r="CC36" s="188"/>
      <c r="CD36" s="188"/>
      <c r="CE36" s="188"/>
      <c r="CF36" s="188"/>
      <c r="CG36" s="188"/>
      <c r="CH36" s="188"/>
      <c r="CI36" s="188"/>
      <c r="CJ36" s="188"/>
      <c r="CK36" s="188"/>
      <c r="CL36" s="188"/>
      <c r="CM36" s="188"/>
      <c r="CN36" s="188"/>
      <c r="CO36" s="188"/>
      <c r="CP36" s="188"/>
      <c r="CQ36" s="188"/>
      <c r="CR36" s="188"/>
      <c r="CS36" s="188"/>
      <c r="CT36" s="188"/>
      <c r="CU36" s="188"/>
      <c r="CV36" s="188"/>
      <c r="CW36" s="188"/>
      <c r="CX36" s="188"/>
      <c r="CY36" s="188"/>
      <c r="CZ36" s="188"/>
      <c r="DA36" s="188"/>
      <c r="DB36" s="188"/>
      <c r="DC36" s="188"/>
      <c r="DD36" s="188"/>
      <c r="DE36" s="188"/>
      <c r="DF36" s="188"/>
      <c r="DG36" s="188"/>
      <c r="DH36" s="188"/>
      <c r="DI36" s="188"/>
      <c r="DJ36" s="188"/>
      <c r="DK36" s="188"/>
      <c r="DL36" s="188"/>
      <c r="DM36" s="188"/>
      <c r="DN36" s="188"/>
      <c r="DO36" s="188"/>
      <c r="DP36" s="188"/>
      <c r="DQ36" s="188"/>
      <c r="DR36" s="188"/>
      <c r="DS36" s="188"/>
      <c r="DT36" s="188"/>
      <c r="DU36" s="188"/>
      <c r="DV36" s="188"/>
      <c r="DW36" s="188"/>
      <c r="DX36" s="188"/>
      <c r="DY36" s="188"/>
      <c r="DZ36" s="188"/>
      <c r="EA36" s="188"/>
      <c r="EB36" s="188"/>
      <c r="EC36" s="188"/>
      <c r="ED36" s="188"/>
      <c r="EE36" s="188"/>
      <c r="EF36" s="188"/>
      <c r="EG36" s="188"/>
      <c r="EH36" s="188"/>
      <c r="EI36" s="188"/>
      <c r="EJ36" s="188"/>
    </row>
    <row r="37" spans="1:140" ht="13.7" customHeight="1" thickBot="1" x14ac:dyDescent="0.25">
      <c r="A37" s="177" t="s">
        <v>173</v>
      </c>
      <c r="B37" s="178"/>
      <c r="C37" s="179">
        <f t="shared" ref="C37:AC37" si="22">C18-C56</f>
        <v>2.1916666666666664</v>
      </c>
      <c r="D37" s="179">
        <f t="shared" ca="1" si="22"/>
        <v>1</v>
      </c>
      <c r="E37" s="179">
        <f t="shared" si="22"/>
        <v>0</v>
      </c>
      <c r="F37" s="180">
        <f t="shared" ca="1" si="22"/>
        <v>1.2002291346697405</v>
      </c>
      <c r="G37" s="179">
        <f t="shared" si="22"/>
        <v>3.4999923706052982E-2</v>
      </c>
      <c r="H37" s="179">
        <f t="shared" si="22"/>
        <v>0.1900015258789054</v>
      </c>
      <c r="I37" s="179">
        <f t="shared" si="22"/>
        <v>-0.12000167846679233</v>
      </c>
      <c r="J37" s="179">
        <f t="shared" si="22"/>
        <v>-2.0000534057615482E-2</v>
      </c>
      <c r="K37" s="179">
        <f t="shared" si="22"/>
        <v>2.9999084472656534E-2</v>
      </c>
      <c r="L37" s="179">
        <f t="shared" si="22"/>
        <v>-7.0000152587887499E-2</v>
      </c>
      <c r="M37" s="179">
        <f t="shared" si="22"/>
        <v>-0.13999923706055029</v>
      </c>
      <c r="N37" s="179">
        <f t="shared" si="22"/>
        <v>-0.18764067101108139</v>
      </c>
      <c r="O37" s="179">
        <f t="shared" si="22"/>
        <v>-0.21551815189047119</v>
      </c>
      <c r="P37" s="179">
        <f t="shared" si="22"/>
        <v>-0.19578742870921673</v>
      </c>
      <c r="Q37" s="179">
        <f t="shared" si="22"/>
        <v>-0.23524887507171854</v>
      </c>
      <c r="R37" s="179">
        <f t="shared" si="22"/>
        <v>-0.25560222586835835</v>
      </c>
      <c r="S37" s="179">
        <f t="shared" si="22"/>
        <v>-0.24773429032315164</v>
      </c>
      <c r="T37" s="179">
        <f t="shared" si="22"/>
        <v>-0.24666588590870475</v>
      </c>
      <c r="U37" s="179">
        <f t="shared" si="22"/>
        <v>-0.24768540376714299</v>
      </c>
      <c r="V37" s="179">
        <f t="shared" si="22"/>
        <v>-0.24885158129358587</v>
      </c>
      <c r="W37" s="180">
        <f t="shared" si="22"/>
        <v>-0.14278654540201785</v>
      </c>
      <c r="X37" s="179">
        <f t="shared" si="22"/>
        <v>-5.7006528967185943E-2</v>
      </c>
      <c r="Y37" s="179">
        <f t="shared" si="22"/>
        <v>-2.7560232582573008E-3</v>
      </c>
      <c r="Z37" s="179">
        <f t="shared" si="22"/>
        <v>4.0654552992904769E-3</v>
      </c>
      <c r="AA37" s="179">
        <f t="shared" si="22"/>
        <v>-6.8918765308133345E-2</v>
      </c>
      <c r="AB37" s="179">
        <f t="shared" si="22"/>
        <v>-0.19596095146581405</v>
      </c>
      <c r="AC37" s="182">
        <f t="shared" ca="1" si="22"/>
        <v>-4.1249216856428461E-2</v>
      </c>
      <c r="AD37" s="163"/>
      <c r="AE37" s="163"/>
      <c r="AF37" s="164"/>
      <c r="AG37" s="132">
        <f>AG18*AG$5</f>
        <v>1028.2473370361326</v>
      </c>
      <c r="AH37" s="188">
        <f t="shared" ref="AH37:CS37" si="23">AH18*AH$5</f>
        <v>920.89475402832034</v>
      </c>
      <c r="AI37" s="188">
        <f t="shared" si="23"/>
        <v>944.77027404785156</v>
      </c>
      <c r="AJ37" s="188">
        <f t="shared" si="23"/>
        <v>926.07407470703129</v>
      </c>
      <c r="AK37" s="188">
        <f t="shared" si="23"/>
        <v>936.30432312011715</v>
      </c>
      <c r="AL37" s="188">
        <f t="shared" si="23"/>
        <v>868.31369712388005</v>
      </c>
      <c r="AM37" s="188">
        <f t="shared" si="23"/>
        <v>1012.7448639430964</v>
      </c>
      <c r="AN37" s="188">
        <f t="shared" si="23"/>
        <v>1027.8501897100161</v>
      </c>
      <c r="AO37" s="188">
        <f t="shared" si="23"/>
        <v>933.76100225537687</v>
      </c>
      <c r="AP37" s="188">
        <f t="shared" si="23"/>
        <v>1043.363905056696</v>
      </c>
      <c r="AQ37" s="188">
        <f t="shared" si="23"/>
        <v>1002.4458436295787</v>
      </c>
      <c r="AR37" s="188">
        <f t="shared" si="23"/>
        <v>1134.8516467193119</v>
      </c>
      <c r="AS37" s="188">
        <f t="shared" si="23"/>
        <v>1040.1217804644268</v>
      </c>
      <c r="AT37" s="188">
        <f t="shared" si="23"/>
        <v>917.48881920827785</v>
      </c>
      <c r="AU37" s="188">
        <f t="shared" si="23"/>
        <v>927.2687704982975</v>
      </c>
      <c r="AV37" s="188">
        <f t="shared" si="23"/>
        <v>909.46377112081939</v>
      </c>
      <c r="AW37" s="188">
        <f t="shared" si="23"/>
        <v>872.47964484780778</v>
      </c>
      <c r="AX37" s="188">
        <f t="shared" si="23"/>
        <v>883.07804205696061</v>
      </c>
      <c r="AY37" s="188">
        <f t="shared" si="23"/>
        <v>933.80167976866676</v>
      </c>
      <c r="AZ37" s="188">
        <f t="shared" si="23"/>
        <v>898.63189067342068</v>
      </c>
      <c r="BA37" s="188">
        <f t="shared" si="23"/>
        <v>900.62649356382963</v>
      </c>
      <c r="BB37" s="188">
        <f t="shared" si="23"/>
        <v>991.84191197906716</v>
      </c>
      <c r="BC37" s="188">
        <f t="shared" si="23"/>
        <v>891.96371239451628</v>
      </c>
      <c r="BD37" s="188">
        <f t="shared" si="23"/>
        <v>1091.6709102296554</v>
      </c>
      <c r="BE37" s="188">
        <f t="shared" si="23"/>
        <v>1010.8392530672301</v>
      </c>
      <c r="BF37" s="188">
        <f t="shared" si="23"/>
        <v>927.41683782771111</v>
      </c>
      <c r="BG37" s="188">
        <f t="shared" si="23"/>
        <v>1019.4220317908274</v>
      </c>
      <c r="BH37" s="188">
        <f t="shared" si="23"/>
        <v>899.57648719964789</v>
      </c>
      <c r="BI37" s="188">
        <f t="shared" si="23"/>
        <v>816.36438190384581</v>
      </c>
      <c r="BJ37" s="188">
        <f t="shared" si="23"/>
        <v>908.57270084337154</v>
      </c>
      <c r="BK37" s="188">
        <f t="shared" si="23"/>
        <v>881.79521198515329</v>
      </c>
      <c r="BL37" s="188">
        <f t="shared" si="23"/>
        <v>934.78964165327204</v>
      </c>
      <c r="BM37" s="188">
        <f t="shared" si="23"/>
        <v>892.46093860035694</v>
      </c>
      <c r="BN37" s="188">
        <f t="shared" si="23"/>
        <v>894.23437590272965</v>
      </c>
      <c r="BO37" s="188">
        <f t="shared" si="23"/>
        <v>966.02672411562844</v>
      </c>
      <c r="BP37" s="188">
        <f t="shared" si="23"/>
        <v>1114.9643229171807</v>
      </c>
      <c r="BQ37" s="188">
        <f t="shared" si="23"/>
        <v>988.35257344528588</v>
      </c>
      <c r="BR37" s="188">
        <f t="shared" si="23"/>
        <v>907.76786011968682</v>
      </c>
      <c r="BS37" s="188">
        <f t="shared" si="23"/>
        <v>999.18587335184134</v>
      </c>
      <c r="BT37" s="188">
        <f t="shared" si="23"/>
        <v>845.29786865935444</v>
      </c>
      <c r="BU37" s="188">
        <f t="shared" si="23"/>
        <v>843.89425743873085</v>
      </c>
      <c r="BV37" s="188">
        <f t="shared" si="23"/>
        <v>894.16116910171036</v>
      </c>
      <c r="BW37" s="188">
        <f t="shared" si="23"/>
        <v>826.04725595588263</v>
      </c>
      <c r="BX37" s="188">
        <f t="shared" si="23"/>
        <v>960.91243056167582</v>
      </c>
      <c r="BY37" s="188">
        <f t="shared" si="23"/>
        <v>877.52890192556163</v>
      </c>
      <c r="BZ37" s="188">
        <f t="shared" si="23"/>
        <v>879.21761456085233</v>
      </c>
      <c r="CA37" s="188">
        <f t="shared" si="23"/>
        <v>944.8101079411457</v>
      </c>
      <c r="CB37" s="188">
        <f t="shared" si="23"/>
        <v>994.62618864364902</v>
      </c>
      <c r="CC37" s="188">
        <f t="shared" si="23"/>
        <v>893.97432076384507</v>
      </c>
      <c r="CD37" s="188">
        <f t="shared" si="23"/>
        <v>822.34197451315879</v>
      </c>
      <c r="CE37" s="188">
        <f t="shared" si="23"/>
        <v>906.7386758908475</v>
      </c>
      <c r="CF37" s="188">
        <f t="shared" si="23"/>
        <v>732.58997737115931</v>
      </c>
      <c r="CG37" s="188">
        <f t="shared" si="23"/>
        <v>804.90504598533096</v>
      </c>
      <c r="CH37" s="188">
        <f t="shared" si="23"/>
        <v>814.18213397564944</v>
      </c>
      <c r="CI37" s="188">
        <f t="shared" si="23"/>
        <v>752.11467858981814</v>
      </c>
      <c r="CJ37" s="188">
        <f t="shared" si="23"/>
        <v>874.96823410463128</v>
      </c>
      <c r="CK37" s="188">
        <f t="shared" si="23"/>
        <v>761.3087871881628</v>
      </c>
      <c r="CL37" s="188">
        <f t="shared" si="23"/>
        <v>839.32981018355611</v>
      </c>
      <c r="CM37" s="188">
        <f t="shared" si="23"/>
        <v>860.45442068503064</v>
      </c>
      <c r="CN37" s="188">
        <f t="shared" si="23"/>
        <v>861.38125534228311</v>
      </c>
      <c r="CO37" s="188">
        <f t="shared" si="23"/>
        <v>968.9006748346826</v>
      </c>
      <c r="CP37" s="188">
        <f t="shared" si="23"/>
        <v>851.3765444023029</v>
      </c>
      <c r="CQ37" s="188">
        <f t="shared" si="23"/>
        <v>898.83623868518271</v>
      </c>
      <c r="CR37" s="188">
        <f t="shared" si="23"/>
        <v>797.4618783778501</v>
      </c>
      <c r="CS37" s="188">
        <f t="shared" si="23"/>
        <v>834.25716561125637</v>
      </c>
      <c r="CT37" s="188">
        <f t="shared" ref="CT37:EJ37" si="24">CT18*CT$5</f>
        <v>804.99304517282087</v>
      </c>
      <c r="CU37" s="188">
        <f t="shared" si="24"/>
        <v>817.34813624061007</v>
      </c>
      <c r="CV37" s="188">
        <f t="shared" si="24"/>
        <v>904.97456091035326</v>
      </c>
      <c r="CW37" s="188">
        <f t="shared" si="24"/>
        <v>747.78109309042316</v>
      </c>
      <c r="CX37" s="188">
        <f t="shared" si="24"/>
        <v>906.88484153792854</v>
      </c>
      <c r="CY37" s="188">
        <f t="shared" si="24"/>
        <v>880.88330511940603</v>
      </c>
      <c r="CZ37" s="188">
        <f t="shared" si="24"/>
        <v>880.98158497774523</v>
      </c>
      <c r="DA37" s="188">
        <f t="shared" si="24"/>
        <v>991.24045100727176</v>
      </c>
      <c r="DB37" s="188">
        <f t="shared" si="24"/>
        <v>915.19678618118451</v>
      </c>
      <c r="DC37" s="188">
        <f t="shared" si="24"/>
        <v>879.14769641976011</v>
      </c>
      <c r="DD37" s="188">
        <f t="shared" si="24"/>
        <v>853.27502214684228</v>
      </c>
      <c r="DE37" s="188">
        <f t="shared" si="24"/>
        <v>813.37817592917861</v>
      </c>
      <c r="DF37" s="188">
        <f t="shared" si="24"/>
        <v>822.07978071513833</v>
      </c>
      <c r="DG37" s="188">
        <f t="shared" si="24"/>
        <v>874.22882287072036</v>
      </c>
      <c r="DH37" s="188">
        <f t="shared" si="24"/>
        <v>843.47065601874817</v>
      </c>
      <c r="DI37" s="188">
        <f t="shared" si="24"/>
        <v>843.70363244220516</v>
      </c>
      <c r="DJ37" s="188">
        <f t="shared" si="24"/>
        <v>925.75751407287612</v>
      </c>
      <c r="DK37" s="188">
        <f t="shared" si="24"/>
        <v>814.25898429089909</v>
      </c>
      <c r="DL37" s="188">
        <f t="shared" si="24"/>
        <v>989.70416215031355</v>
      </c>
      <c r="DM37" s="188">
        <f t="shared" si="24"/>
        <v>967.09821830307635</v>
      </c>
      <c r="DN37" s="188">
        <f t="shared" si="24"/>
        <v>891.85014740877273</v>
      </c>
      <c r="DO37" s="188">
        <f t="shared" si="24"/>
        <v>943.50981410093959</v>
      </c>
      <c r="DP37" s="188">
        <f t="shared" si="24"/>
        <v>864.69446490812254</v>
      </c>
      <c r="DQ37" s="188">
        <f t="shared" si="24"/>
        <v>785.42574835930395</v>
      </c>
      <c r="DR37" s="188">
        <f t="shared" si="24"/>
        <v>873.61852923338552</v>
      </c>
      <c r="DS37" s="188">
        <f t="shared" si="24"/>
        <v>887.18853875509171</v>
      </c>
      <c r="DT37" s="188">
        <f t="shared" si="24"/>
        <v>856.39307867677041</v>
      </c>
      <c r="DU37" s="188">
        <f t="shared" si="24"/>
        <v>857.12092246539544</v>
      </c>
      <c r="DV37" s="188">
        <f t="shared" si="24"/>
        <v>900.08784196478314</v>
      </c>
      <c r="DW37" s="188">
        <f t="shared" si="24"/>
        <v>890.19216859060725</v>
      </c>
      <c r="DX37" s="188">
        <f t="shared" si="24"/>
        <v>1026.699965231164</v>
      </c>
      <c r="DY37" s="188">
        <f t="shared" si="24"/>
        <v>955.68060543982779</v>
      </c>
      <c r="DZ37" s="188">
        <f t="shared" si="24"/>
        <v>926.35035870615388</v>
      </c>
      <c r="EA37" s="188">
        <f t="shared" si="24"/>
        <v>1025.8340216510187</v>
      </c>
      <c r="EB37" s="188">
        <f t="shared" si="24"/>
        <v>898.95141331157868</v>
      </c>
      <c r="EC37" s="188">
        <f t="shared" si="24"/>
        <v>816.6931905697304</v>
      </c>
      <c r="ED37" s="188">
        <f t="shared" si="24"/>
        <v>908.26435303227436</v>
      </c>
      <c r="EE37" s="188">
        <f t="shared" si="24"/>
        <v>880.21127030586024</v>
      </c>
      <c r="EF37" s="188">
        <f t="shared" si="24"/>
        <v>932.37329577407945</v>
      </c>
      <c r="EG37" s="188">
        <f t="shared" si="24"/>
        <v>890.87708044279543</v>
      </c>
      <c r="EH37" s="188">
        <f t="shared" si="24"/>
        <v>893.09791883764501</v>
      </c>
      <c r="EI37" s="188">
        <f t="shared" si="24"/>
        <v>950.65301070453972</v>
      </c>
      <c r="EJ37" s="188">
        <f t="shared" si="24"/>
        <v>1091.5546398537797</v>
      </c>
    </row>
    <row r="38" spans="1:140" ht="36" customHeight="1" x14ac:dyDescent="0.2">
      <c r="A38" s="174"/>
      <c r="B38" s="142"/>
      <c r="C38" s="132"/>
      <c r="D38" s="132"/>
      <c r="E38" s="132"/>
      <c r="F38" s="132"/>
      <c r="G38" s="132"/>
      <c r="H38" s="132"/>
      <c r="I38" s="132"/>
      <c r="J38" s="132"/>
      <c r="K38" s="132"/>
      <c r="L38" s="132"/>
      <c r="M38" s="132"/>
      <c r="N38" s="132"/>
      <c r="O38" s="132"/>
      <c r="P38" s="132"/>
      <c r="Q38" s="132"/>
      <c r="R38" s="132"/>
      <c r="S38" s="132"/>
      <c r="T38" s="132"/>
      <c r="U38" s="134"/>
      <c r="V38" s="134"/>
      <c r="W38" s="134"/>
      <c r="X38" s="134"/>
      <c r="Y38" s="134"/>
      <c r="Z38" s="134"/>
      <c r="AA38" s="134"/>
      <c r="AB38" s="134"/>
      <c r="AC38" s="134"/>
      <c r="AD38" s="163"/>
      <c r="AE38" s="163"/>
      <c r="AF38" s="164"/>
      <c r="AG38" s="132">
        <f t="shared" ref="AG38:AG43" si="25">AG19*AG$5</f>
        <v>0</v>
      </c>
      <c r="AH38" s="132"/>
      <c r="AI38" s="132"/>
      <c r="AJ38" s="132"/>
      <c r="AK38" s="132"/>
      <c r="AL38" s="132"/>
      <c r="AM38" s="132"/>
      <c r="AN38" s="132"/>
      <c r="AO38" s="132"/>
      <c r="AP38" s="132"/>
      <c r="AQ38" s="132"/>
      <c r="AR38" s="132"/>
      <c r="AS38" s="132"/>
      <c r="AT38" s="132"/>
      <c r="AU38" s="132"/>
      <c r="AV38" s="132"/>
      <c r="AW38" s="132"/>
      <c r="AX38" s="132"/>
      <c r="AY38" s="132"/>
      <c r="AZ38" s="132"/>
      <c r="BA38" s="132"/>
      <c r="BB38" s="132"/>
      <c r="BC38" s="132"/>
      <c r="BD38" s="132"/>
      <c r="BE38" s="132"/>
      <c r="BF38" s="132"/>
      <c r="BG38" s="132"/>
      <c r="BH38" s="132"/>
      <c r="BI38" s="132"/>
      <c r="BJ38" s="132"/>
      <c r="BK38" s="132"/>
      <c r="BL38" s="132"/>
      <c r="BM38" s="132"/>
      <c r="BN38" s="132"/>
      <c r="BO38" s="132"/>
      <c r="BP38" s="132"/>
      <c r="BQ38" s="132"/>
      <c r="BR38" s="132"/>
      <c r="BS38" s="132"/>
      <c r="BT38" s="132"/>
      <c r="BU38" s="132"/>
      <c r="BV38" s="132"/>
      <c r="BW38" s="132"/>
      <c r="BX38" s="132"/>
      <c r="BY38" s="132"/>
      <c r="BZ38" s="132"/>
      <c r="CA38" s="132"/>
      <c r="CB38" s="132"/>
      <c r="CC38" s="132"/>
      <c r="CD38" s="132"/>
      <c r="CE38" s="132"/>
      <c r="CF38" s="132"/>
      <c r="CG38" s="132"/>
      <c r="CH38" s="132"/>
      <c r="CI38" s="132"/>
      <c r="CJ38" s="132"/>
      <c r="CK38" s="132"/>
      <c r="CL38" s="132"/>
      <c r="CM38" s="132"/>
      <c r="CN38" s="132"/>
      <c r="CO38" s="132"/>
      <c r="CP38" s="132"/>
      <c r="CQ38" s="132"/>
      <c r="CR38" s="132"/>
      <c r="CS38" s="132"/>
      <c r="CT38" s="132"/>
      <c r="CU38" s="132"/>
      <c r="CV38" s="132"/>
      <c r="CW38" s="132"/>
      <c r="CX38" s="132"/>
      <c r="CY38" s="132"/>
      <c r="CZ38" s="132"/>
      <c r="DA38" s="132"/>
      <c r="DB38" s="132"/>
      <c r="DC38" s="132"/>
      <c r="DD38" s="132"/>
      <c r="DE38" s="132"/>
      <c r="DF38" s="132"/>
      <c r="DG38" s="132"/>
      <c r="DH38" s="132"/>
      <c r="DI38" s="132"/>
      <c r="DJ38" s="132"/>
      <c r="DK38" s="132"/>
      <c r="DL38" s="132"/>
      <c r="DM38" s="132"/>
      <c r="DN38" s="132"/>
      <c r="DO38" s="132"/>
      <c r="DP38" s="132"/>
      <c r="DQ38" s="132"/>
      <c r="DR38" s="132"/>
      <c r="DS38" s="132"/>
      <c r="DT38" s="132"/>
      <c r="DU38" s="132"/>
      <c r="DV38" s="132"/>
      <c r="DW38" s="132"/>
      <c r="DX38" s="132"/>
      <c r="DY38" s="132"/>
      <c r="DZ38" s="132"/>
      <c r="EA38" s="132"/>
      <c r="EB38" s="132"/>
      <c r="EC38" s="132"/>
      <c r="ED38" s="132"/>
      <c r="EE38" s="132"/>
      <c r="EF38" s="132"/>
      <c r="EG38" s="132"/>
      <c r="EH38" s="132"/>
      <c r="EI38" s="132"/>
      <c r="EJ38" s="132"/>
    </row>
    <row r="39" spans="1:140" ht="11.25" hidden="1" customHeight="1" x14ac:dyDescent="0.2">
      <c r="A39" s="165"/>
      <c r="C39" s="132"/>
      <c r="D39" s="132"/>
      <c r="E39" s="132"/>
      <c r="F39" s="132"/>
      <c r="G39" s="132"/>
      <c r="H39" s="132"/>
      <c r="I39" s="132"/>
      <c r="J39" s="132"/>
      <c r="K39" s="132"/>
      <c r="L39" s="132"/>
      <c r="M39" s="132"/>
      <c r="N39" s="132"/>
      <c r="O39" s="132"/>
      <c r="P39" s="132"/>
      <c r="Q39" s="132"/>
      <c r="R39" s="132"/>
      <c r="S39" s="132"/>
      <c r="T39" s="132"/>
      <c r="U39" s="132"/>
      <c r="V39" s="132"/>
      <c r="W39" s="132"/>
      <c r="X39" s="132"/>
      <c r="Y39" s="132"/>
      <c r="Z39" s="132"/>
      <c r="AA39" s="132"/>
      <c r="AB39" s="132"/>
      <c r="AC39" s="168"/>
      <c r="AD39" s="163"/>
      <c r="AE39" s="163"/>
      <c r="AF39" s="164"/>
      <c r="AG39" s="132">
        <f t="shared" si="25"/>
        <v>0</v>
      </c>
      <c r="AH39" s="132"/>
      <c r="AI39" s="132"/>
      <c r="AJ39" s="132"/>
      <c r="AK39" s="132"/>
      <c r="AL39" s="132"/>
      <c r="AM39" s="132"/>
      <c r="AN39" s="132"/>
      <c r="AO39" s="132"/>
      <c r="AP39" s="132"/>
      <c r="AQ39" s="132"/>
      <c r="AR39" s="132"/>
      <c r="AS39" s="132"/>
      <c r="AT39" s="132"/>
      <c r="AU39" s="132"/>
      <c r="AV39" s="132"/>
      <c r="AW39" s="132"/>
      <c r="AX39" s="132"/>
      <c r="AY39" s="132"/>
      <c r="AZ39" s="132"/>
      <c r="BA39" s="132"/>
      <c r="BB39" s="132"/>
      <c r="BC39" s="132"/>
      <c r="BD39" s="132"/>
      <c r="BE39" s="132"/>
      <c r="BF39" s="132"/>
      <c r="BG39" s="132"/>
      <c r="BH39" s="132"/>
      <c r="BI39" s="132"/>
      <c r="BJ39" s="132"/>
      <c r="BK39" s="132"/>
      <c r="BL39" s="132"/>
      <c r="BM39" s="132"/>
      <c r="BN39" s="132"/>
      <c r="BO39" s="132"/>
      <c r="BP39" s="132"/>
      <c r="BQ39" s="132"/>
      <c r="BR39" s="132"/>
      <c r="BS39" s="132"/>
      <c r="BT39" s="132"/>
      <c r="BU39" s="132"/>
      <c r="BV39" s="132"/>
      <c r="BW39" s="132"/>
      <c r="BX39" s="132"/>
      <c r="BY39" s="132"/>
      <c r="BZ39" s="132"/>
      <c r="CA39" s="132"/>
      <c r="CB39" s="132"/>
      <c r="CC39" s="132"/>
      <c r="CD39" s="132"/>
      <c r="CE39" s="132"/>
      <c r="CF39" s="132"/>
      <c r="CG39" s="132"/>
      <c r="CH39" s="132"/>
      <c r="CI39" s="132"/>
      <c r="CJ39" s="132"/>
      <c r="CK39" s="132"/>
      <c r="CL39" s="132"/>
      <c r="CM39" s="132"/>
      <c r="CN39" s="132"/>
      <c r="CO39" s="132"/>
      <c r="CP39" s="132"/>
      <c r="CQ39" s="132"/>
      <c r="CR39" s="132"/>
      <c r="CS39" s="132"/>
      <c r="CT39" s="132"/>
      <c r="CU39" s="132"/>
      <c r="CV39" s="132"/>
      <c r="CW39" s="132"/>
      <c r="CX39" s="132"/>
      <c r="CY39" s="132"/>
      <c r="CZ39" s="132"/>
      <c r="DA39" s="132"/>
      <c r="DB39" s="132"/>
      <c r="DC39" s="132"/>
      <c r="DD39" s="132"/>
      <c r="DE39" s="132"/>
      <c r="DF39" s="132"/>
      <c r="DG39" s="132"/>
      <c r="DH39" s="132"/>
      <c r="DI39" s="132"/>
      <c r="DJ39" s="132"/>
      <c r="DK39" s="132"/>
      <c r="DL39" s="132"/>
      <c r="DM39" s="132"/>
      <c r="DN39" s="132"/>
      <c r="DO39" s="132"/>
      <c r="DP39" s="132"/>
      <c r="DQ39" s="132"/>
      <c r="DR39" s="132"/>
      <c r="DS39" s="132"/>
      <c r="DT39" s="132"/>
      <c r="DU39" s="132"/>
      <c r="DV39" s="132"/>
      <c r="DW39" s="132"/>
      <c r="DX39" s="132"/>
      <c r="DY39" s="132"/>
      <c r="DZ39" s="132"/>
      <c r="EA39" s="132"/>
      <c r="EB39" s="132"/>
      <c r="EC39" s="132"/>
      <c r="ED39" s="132"/>
      <c r="EE39" s="132"/>
      <c r="EF39" s="132"/>
      <c r="EG39" s="132"/>
      <c r="EH39" s="132"/>
      <c r="EI39" s="132"/>
      <c r="EJ39" s="132"/>
    </row>
    <row r="40" spans="1:140" ht="11.25" hidden="1" customHeight="1" x14ac:dyDescent="0.2">
      <c r="A40" s="165"/>
      <c r="C40" s="132"/>
      <c r="D40" s="132"/>
      <c r="E40" s="132"/>
      <c r="F40" s="132"/>
      <c r="G40" s="132"/>
      <c r="H40" s="132"/>
      <c r="I40" s="132"/>
      <c r="J40" s="132"/>
      <c r="K40" s="132"/>
      <c r="L40" s="132"/>
      <c r="M40" s="132"/>
      <c r="N40" s="132"/>
      <c r="O40" s="132"/>
      <c r="P40" s="132"/>
      <c r="Q40" s="132"/>
      <c r="R40" s="132"/>
      <c r="S40" s="132"/>
      <c r="T40" s="132"/>
      <c r="U40" s="132"/>
      <c r="V40" s="132"/>
      <c r="W40" s="132"/>
      <c r="X40" s="132"/>
      <c r="Y40" s="132"/>
      <c r="Z40" s="132"/>
      <c r="AA40" s="132"/>
      <c r="AB40" s="132"/>
      <c r="AC40" s="168"/>
      <c r="AD40" s="163"/>
      <c r="AE40" s="163"/>
      <c r="AF40" s="164"/>
      <c r="AG40" s="132">
        <f t="shared" si="25"/>
        <v>0</v>
      </c>
      <c r="AH40" s="132"/>
      <c r="AI40" s="132"/>
      <c r="AJ40" s="132"/>
      <c r="AK40" s="132"/>
      <c r="AL40" s="132"/>
      <c r="AM40" s="132"/>
      <c r="AN40" s="132"/>
      <c r="AO40" s="132"/>
      <c r="AP40" s="132"/>
      <c r="AQ40" s="132"/>
      <c r="AR40" s="132"/>
      <c r="AS40" s="132"/>
      <c r="AT40" s="132"/>
      <c r="AU40" s="132"/>
      <c r="AV40" s="132"/>
      <c r="AW40" s="132"/>
      <c r="AX40" s="132"/>
      <c r="AY40" s="132"/>
      <c r="AZ40" s="132"/>
      <c r="BA40" s="132"/>
      <c r="BB40" s="132"/>
      <c r="BC40" s="132"/>
      <c r="BD40" s="132"/>
      <c r="BE40" s="132"/>
      <c r="BF40" s="132"/>
      <c r="BG40" s="132"/>
      <c r="BH40" s="132"/>
      <c r="BI40" s="132"/>
      <c r="BJ40" s="132"/>
      <c r="BK40" s="132"/>
      <c r="BL40" s="132"/>
      <c r="BM40" s="132"/>
      <c r="BN40" s="132"/>
      <c r="BO40" s="132"/>
      <c r="BP40" s="132"/>
      <c r="BQ40" s="132"/>
      <c r="BR40" s="132"/>
      <c r="BS40" s="132"/>
      <c r="BT40" s="132"/>
      <c r="BU40" s="132"/>
      <c r="BV40" s="132"/>
      <c r="BW40" s="132"/>
      <c r="BX40" s="132"/>
      <c r="BY40" s="132"/>
      <c r="BZ40" s="132"/>
      <c r="CA40" s="132"/>
      <c r="CB40" s="132"/>
      <c r="CC40" s="132"/>
      <c r="CD40" s="132"/>
      <c r="CE40" s="132"/>
      <c r="CF40" s="132"/>
      <c r="CG40" s="132"/>
      <c r="CH40" s="132"/>
      <c r="CI40" s="132"/>
      <c r="CJ40" s="132"/>
      <c r="CK40" s="132"/>
      <c r="CL40" s="132"/>
      <c r="CM40" s="132"/>
      <c r="CN40" s="132"/>
      <c r="CO40" s="132"/>
      <c r="CP40" s="132"/>
      <c r="CQ40" s="132"/>
      <c r="CR40" s="132"/>
      <c r="CS40" s="132"/>
      <c r="CT40" s="132"/>
      <c r="CU40" s="132"/>
      <c r="CV40" s="132"/>
      <c r="CW40" s="132"/>
      <c r="CX40" s="132"/>
      <c r="CY40" s="132"/>
      <c r="CZ40" s="132"/>
      <c r="DA40" s="132"/>
      <c r="DB40" s="132"/>
      <c r="DC40" s="132"/>
      <c r="DD40" s="132"/>
      <c r="DE40" s="132"/>
      <c r="DF40" s="132"/>
      <c r="DG40" s="132"/>
      <c r="DH40" s="132"/>
      <c r="DI40" s="132"/>
      <c r="DJ40" s="132"/>
      <c r="DK40" s="132"/>
      <c r="DL40" s="132"/>
      <c r="DM40" s="132"/>
      <c r="DN40" s="132"/>
      <c r="DO40" s="132"/>
      <c r="DP40" s="132"/>
      <c r="DQ40" s="132"/>
      <c r="DR40" s="132"/>
      <c r="DS40" s="132"/>
      <c r="DT40" s="132"/>
      <c r="DU40" s="132"/>
      <c r="DV40" s="132"/>
      <c r="DW40" s="132"/>
      <c r="DX40" s="132"/>
      <c r="DY40" s="132"/>
      <c r="DZ40" s="132"/>
      <c r="EA40" s="132"/>
      <c r="EB40" s="132"/>
      <c r="EC40" s="132"/>
      <c r="ED40" s="132"/>
      <c r="EE40" s="132"/>
      <c r="EF40" s="132"/>
      <c r="EG40" s="132"/>
      <c r="EH40" s="132"/>
      <c r="EI40" s="132"/>
      <c r="EJ40" s="132"/>
    </row>
    <row r="41" spans="1:140" ht="11.25" hidden="1" customHeight="1" x14ac:dyDescent="0.2">
      <c r="A41" s="165"/>
      <c r="C41" s="132"/>
      <c r="D41" s="132"/>
      <c r="E41" s="132"/>
      <c r="F41" s="132"/>
      <c r="G41" s="132"/>
      <c r="H41" s="132"/>
      <c r="I41" s="132"/>
      <c r="J41" s="132"/>
      <c r="K41" s="132"/>
      <c r="L41" s="132"/>
      <c r="M41" s="132"/>
      <c r="N41" s="132"/>
      <c r="O41" s="132"/>
      <c r="P41" s="132"/>
      <c r="Q41" s="132"/>
      <c r="R41" s="132"/>
      <c r="S41" s="132"/>
      <c r="T41" s="132"/>
      <c r="U41" s="132"/>
      <c r="V41" s="132"/>
      <c r="W41" s="132"/>
      <c r="X41" s="132"/>
      <c r="Y41" s="132"/>
      <c r="Z41" s="132"/>
      <c r="AA41" s="132"/>
      <c r="AB41" s="132"/>
      <c r="AC41" s="168"/>
      <c r="AD41" s="163"/>
      <c r="AE41" s="163"/>
      <c r="AF41" s="164"/>
      <c r="AG41" s="132">
        <f t="shared" si="25"/>
        <v>0</v>
      </c>
      <c r="AH41" s="132"/>
      <c r="AI41" s="132"/>
      <c r="AJ41" s="132"/>
      <c r="AK41" s="132"/>
      <c r="AL41" s="132"/>
      <c r="AM41" s="132"/>
      <c r="AN41" s="132"/>
      <c r="AO41" s="132"/>
      <c r="AP41" s="132"/>
      <c r="AQ41" s="132"/>
      <c r="AR41" s="132"/>
      <c r="AS41" s="132"/>
      <c r="AT41" s="132"/>
      <c r="AU41" s="132"/>
      <c r="AV41" s="132"/>
      <c r="AW41" s="132"/>
      <c r="AX41" s="132"/>
      <c r="AY41" s="132"/>
      <c r="AZ41" s="132"/>
      <c r="BA41" s="132"/>
      <c r="BB41" s="132"/>
      <c r="BC41" s="132"/>
      <c r="BD41" s="132"/>
      <c r="BE41" s="132"/>
      <c r="BF41" s="132"/>
      <c r="BG41" s="132"/>
      <c r="BH41" s="132"/>
      <c r="BI41" s="132"/>
      <c r="BJ41" s="132"/>
      <c r="BK41" s="132"/>
      <c r="BL41" s="132"/>
      <c r="BM41" s="132"/>
      <c r="BN41" s="132"/>
      <c r="BO41" s="132"/>
      <c r="BP41" s="132"/>
      <c r="BQ41" s="132"/>
      <c r="BR41" s="132"/>
      <c r="BS41" s="132"/>
      <c r="BT41" s="132"/>
      <c r="BU41" s="132"/>
      <c r="BV41" s="132"/>
      <c r="BW41" s="132"/>
      <c r="BX41" s="132"/>
      <c r="BY41" s="132"/>
      <c r="BZ41" s="132"/>
      <c r="CA41" s="132"/>
      <c r="CB41" s="132"/>
      <c r="CC41" s="132"/>
      <c r="CD41" s="132"/>
      <c r="CE41" s="132"/>
      <c r="CF41" s="132"/>
      <c r="CG41" s="132"/>
      <c r="CH41" s="132"/>
      <c r="CI41" s="132"/>
      <c r="CJ41" s="132"/>
      <c r="CK41" s="132"/>
      <c r="CL41" s="132"/>
      <c r="CM41" s="132"/>
      <c r="CN41" s="132"/>
      <c r="CO41" s="132"/>
      <c r="CP41" s="132"/>
      <c r="CQ41" s="132"/>
      <c r="CR41" s="132"/>
      <c r="CS41" s="132"/>
      <c r="CT41" s="132"/>
      <c r="CU41" s="132"/>
      <c r="CV41" s="132"/>
      <c r="CW41" s="132"/>
      <c r="CX41" s="132"/>
      <c r="CY41" s="132"/>
      <c r="CZ41" s="132"/>
      <c r="DA41" s="132"/>
      <c r="DB41" s="132"/>
      <c r="DC41" s="132"/>
      <c r="DD41" s="132"/>
      <c r="DE41" s="132"/>
      <c r="DF41" s="132"/>
      <c r="DG41" s="132"/>
      <c r="DH41" s="132"/>
      <c r="DI41" s="132"/>
      <c r="DJ41" s="132"/>
      <c r="DK41" s="132"/>
      <c r="DL41" s="132"/>
      <c r="DM41" s="132"/>
      <c r="DN41" s="132"/>
      <c r="DO41" s="132"/>
      <c r="DP41" s="132"/>
      <c r="DQ41" s="132"/>
      <c r="DR41" s="132"/>
      <c r="DS41" s="132"/>
      <c r="DT41" s="132"/>
      <c r="DU41" s="132"/>
      <c r="DV41" s="132"/>
      <c r="DW41" s="132"/>
      <c r="DX41" s="132"/>
      <c r="DY41" s="132"/>
      <c r="DZ41" s="132"/>
      <c r="EA41" s="132"/>
      <c r="EB41" s="132"/>
      <c r="EC41" s="132"/>
      <c r="ED41" s="132"/>
      <c r="EE41" s="132"/>
      <c r="EF41" s="132"/>
      <c r="EG41" s="132"/>
      <c r="EH41" s="132"/>
      <c r="EI41" s="132"/>
      <c r="EJ41" s="132"/>
    </row>
    <row r="42" spans="1:140" ht="11.25" hidden="1" customHeight="1" x14ac:dyDescent="0.2">
      <c r="A42" s="165"/>
      <c r="C42" s="132"/>
      <c r="D42" s="132"/>
      <c r="E42" s="132"/>
      <c r="F42" s="132"/>
      <c r="G42" s="132"/>
      <c r="H42" s="132"/>
      <c r="I42" s="132"/>
      <c r="J42" s="132"/>
      <c r="K42" s="132"/>
      <c r="L42" s="132"/>
      <c r="M42" s="132"/>
      <c r="N42" s="132"/>
      <c r="O42" s="132"/>
      <c r="P42" s="132"/>
      <c r="Q42" s="132"/>
      <c r="R42" s="132"/>
      <c r="S42" s="132"/>
      <c r="T42" s="132"/>
      <c r="U42" s="132"/>
      <c r="V42" s="132"/>
      <c r="W42" s="132"/>
      <c r="X42" s="132"/>
      <c r="Y42" s="132"/>
      <c r="Z42" s="132"/>
      <c r="AA42" s="132"/>
      <c r="AB42" s="132"/>
      <c r="AC42" s="168"/>
      <c r="AD42" s="163"/>
      <c r="AE42" s="163"/>
      <c r="AF42" s="164"/>
      <c r="AG42" s="132">
        <f t="shared" si="25"/>
        <v>0</v>
      </c>
      <c r="AH42" s="132"/>
      <c r="AI42" s="132"/>
      <c r="AJ42" s="132"/>
      <c r="AK42" s="132"/>
      <c r="AL42" s="132"/>
      <c r="AM42" s="132"/>
      <c r="AN42" s="132"/>
      <c r="AO42" s="132"/>
      <c r="AP42" s="132"/>
      <c r="AQ42" s="132"/>
      <c r="AR42" s="132"/>
      <c r="AS42" s="132"/>
      <c r="AT42" s="132"/>
      <c r="AU42" s="132"/>
      <c r="AV42" s="132"/>
      <c r="AW42" s="132"/>
      <c r="AX42" s="132"/>
      <c r="AY42" s="132"/>
      <c r="AZ42" s="132"/>
      <c r="BA42" s="132"/>
      <c r="BB42" s="132"/>
      <c r="BC42" s="132"/>
      <c r="BD42" s="132"/>
      <c r="BE42" s="132"/>
      <c r="BF42" s="132"/>
      <c r="BG42" s="132"/>
      <c r="BH42" s="132"/>
      <c r="BI42" s="132"/>
      <c r="BJ42" s="132"/>
      <c r="BK42" s="132"/>
      <c r="BL42" s="132"/>
      <c r="BM42" s="132"/>
      <c r="BN42" s="132"/>
      <c r="BO42" s="132"/>
      <c r="BP42" s="132"/>
      <c r="BQ42" s="132"/>
      <c r="BR42" s="132"/>
      <c r="BS42" s="132"/>
      <c r="BT42" s="132"/>
      <c r="BU42" s="132"/>
      <c r="BV42" s="132"/>
      <c r="BW42" s="132"/>
      <c r="BX42" s="132"/>
      <c r="BY42" s="132"/>
      <c r="BZ42" s="132"/>
      <c r="CA42" s="132"/>
      <c r="CB42" s="132"/>
      <c r="CC42" s="132"/>
      <c r="CD42" s="132"/>
      <c r="CE42" s="132"/>
      <c r="CF42" s="132"/>
      <c r="CG42" s="132"/>
      <c r="CH42" s="132"/>
      <c r="CI42" s="132"/>
      <c r="CJ42" s="132"/>
      <c r="CK42" s="132"/>
      <c r="CL42" s="132"/>
      <c r="CM42" s="132"/>
      <c r="CN42" s="132"/>
      <c r="CO42" s="132"/>
      <c r="CP42" s="132"/>
      <c r="CQ42" s="132"/>
      <c r="CR42" s="132"/>
      <c r="CS42" s="132"/>
      <c r="CT42" s="132"/>
      <c r="CU42" s="132"/>
      <c r="CV42" s="132"/>
      <c r="CW42" s="132"/>
      <c r="CX42" s="132"/>
      <c r="CY42" s="132"/>
      <c r="CZ42" s="132"/>
      <c r="DA42" s="132"/>
      <c r="DB42" s="132"/>
      <c r="DC42" s="132"/>
      <c r="DD42" s="132"/>
      <c r="DE42" s="132"/>
      <c r="DF42" s="132"/>
      <c r="DG42" s="132"/>
      <c r="DH42" s="132"/>
      <c r="DI42" s="132"/>
      <c r="DJ42" s="132"/>
      <c r="DK42" s="132"/>
      <c r="DL42" s="132"/>
      <c r="DM42" s="132"/>
      <c r="DN42" s="132"/>
      <c r="DO42" s="132"/>
      <c r="DP42" s="132"/>
      <c r="DQ42" s="132"/>
      <c r="DR42" s="132"/>
      <c r="DS42" s="132"/>
      <c r="DT42" s="132"/>
      <c r="DU42" s="132"/>
      <c r="DV42" s="132"/>
      <c r="DW42" s="132"/>
      <c r="DX42" s="132"/>
      <c r="DY42" s="132"/>
      <c r="DZ42" s="132"/>
      <c r="EA42" s="132"/>
      <c r="EB42" s="132"/>
      <c r="EC42" s="132"/>
      <c r="ED42" s="132"/>
      <c r="EE42" s="132"/>
      <c r="EF42" s="132"/>
      <c r="EG42" s="132"/>
      <c r="EH42" s="132"/>
      <c r="EI42" s="132"/>
      <c r="EJ42" s="132"/>
    </row>
    <row r="43" spans="1:140" ht="11.25" hidden="1" customHeight="1" x14ac:dyDescent="0.2">
      <c r="A43" s="165"/>
      <c r="C43" s="132"/>
      <c r="D43" s="132"/>
      <c r="E43" s="132"/>
      <c r="F43" s="132"/>
      <c r="G43" s="132"/>
      <c r="H43" s="132"/>
      <c r="I43" s="132"/>
      <c r="J43" s="132"/>
      <c r="K43" s="132"/>
      <c r="L43" s="132"/>
      <c r="M43" s="132"/>
      <c r="N43" s="132"/>
      <c r="O43" s="132"/>
      <c r="P43" s="132"/>
      <c r="Q43" s="132"/>
      <c r="R43" s="132"/>
      <c r="S43" s="132"/>
      <c r="T43" s="132"/>
      <c r="U43" s="132"/>
      <c r="V43" s="132"/>
      <c r="W43" s="132"/>
      <c r="X43" s="132"/>
      <c r="Y43" s="132"/>
      <c r="Z43" s="132"/>
      <c r="AA43" s="132"/>
      <c r="AB43" s="132"/>
      <c r="AC43" s="168"/>
      <c r="AD43" s="163"/>
      <c r="AE43" s="163"/>
      <c r="AF43" s="164"/>
      <c r="AG43" s="132">
        <f t="shared" si="25"/>
        <v>0</v>
      </c>
      <c r="AH43" s="132"/>
      <c r="AI43" s="132"/>
      <c r="AJ43" s="132"/>
      <c r="AK43" s="132"/>
      <c r="AL43" s="132"/>
      <c r="AM43" s="132"/>
      <c r="AN43" s="132"/>
      <c r="AO43" s="132"/>
      <c r="AP43" s="132"/>
      <c r="AQ43" s="132"/>
      <c r="AR43" s="132"/>
      <c r="AS43" s="132"/>
      <c r="AT43" s="132"/>
      <c r="AU43" s="132"/>
      <c r="AV43" s="132"/>
      <c r="AW43" s="132"/>
      <c r="AX43" s="132"/>
      <c r="AY43" s="132"/>
      <c r="AZ43" s="132"/>
      <c r="BA43" s="132"/>
      <c r="BB43" s="132"/>
      <c r="BC43" s="132"/>
      <c r="BD43" s="132"/>
      <c r="BE43" s="132"/>
      <c r="BF43" s="132"/>
      <c r="BG43" s="132"/>
      <c r="BH43" s="132"/>
      <c r="BI43" s="132"/>
      <c r="BJ43" s="132"/>
      <c r="BK43" s="132"/>
      <c r="BL43" s="132"/>
      <c r="BM43" s="132"/>
      <c r="BN43" s="132"/>
      <c r="BO43" s="132"/>
      <c r="BP43" s="132"/>
      <c r="BQ43" s="132"/>
      <c r="BR43" s="132"/>
      <c r="BS43" s="132"/>
      <c r="BT43" s="132"/>
      <c r="BU43" s="132"/>
      <c r="BV43" s="132"/>
      <c r="BW43" s="132"/>
      <c r="BX43" s="132"/>
      <c r="BY43" s="132"/>
      <c r="BZ43" s="132"/>
      <c r="CA43" s="132"/>
      <c r="CB43" s="132"/>
      <c r="CC43" s="132"/>
      <c r="CD43" s="132"/>
      <c r="CE43" s="132"/>
      <c r="CF43" s="132"/>
      <c r="CG43" s="132"/>
      <c r="CH43" s="132"/>
      <c r="CI43" s="132"/>
      <c r="CJ43" s="132"/>
      <c r="CK43" s="132"/>
      <c r="CL43" s="132"/>
      <c r="CM43" s="132"/>
      <c r="CN43" s="132"/>
      <c r="CO43" s="132"/>
      <c r="CP43" s="132"/>
      <c r="CQ43" s="132"/>
      <c r="CR43" s="132"/>
      <c r="CS43" s="132"/>
      <c r="CT43" s="132"/>
      <c r="CU43" s="132"/>
      <c r="CV43" s="132"/>
      <c r="CW43" s="132"/>
      <c r="CX43" s="132"/>
      <c r="CY43" s="132"/>
      <c r="CZ43" s="132"/>
      <c r="DA43" s="132"/>
      <c r="DB43" s="132"/>
      <c r="DC43" s="132"/>
      <c r="DD43" s="132"/>
      <c r="DE43" s="132"/>
      <c r="DF43" s="132"/>
      <c r="DG43" s="132"/>
      <c r="DH43" s="132"/>
      <c r="DI43" s="132"/>
      <c r="DJ43" s="132"/>
      <c r="DK43" s="132"/>
      <c r="DL43" s="132"/>
      <c r="DM43" s="132"/>
      <c r="DN43" s="132"/>
      <c r="DO43" s="132"/>
      <c r="DP43" s="132"/>
      <c r="DQ43" s="132"/>
      <c r="DR43" s="132"/>
      <c r="DS43" s="132"/>
      <c r="DT43" s="132"/>
      <c r="DU43" s="132"/>
      <c r="DV43" s="132"/>
      <c r="DW43" s="132"/>
      <c r="DX43" s="132"/>
      <c r="DY43" s="132"/>
      <c r="DZ43" s="132"/>
      <c r="EA43" s="132"/>
      <c r="EB43" s="132"/>
      <c r="EC43" s="132"/>
      <c r="ED43" s="132"/>
      <c r="EE43" s="132"/>
      <c r="EF43" s="132"/>
      <c r="EG43" s="132"/>
      <c r="EH43" s="132"/>
      <c r="EI43" s="132"/>
      <c r="EJ43" s="132"/>
    </row>
    <row r="44" spans="1:140" s="142" customFormat="1" ht="12" hidden="1" customHeight="1" x14ac:dyDescent="0.2">
      <c r="A44" s="170"/>
      <c r="C44" s="136"/>
      <c r="D44" s="136"/>
      <c r="E44" s="136"/>
      <c r="F44" s="136"/>
      <c r="G44" s="136"/>
      <c r="H44" s="136"/>
      <c r="I44" s="136"/>
      <c r="J44" s="136"/>
      <c r="K44" s="136"/>
      <c r="L44" s="136"/>
      <c r="M44" s="136"/>
      <c r="N44" s="136"/>
      <c r="O44" s="136"/>
      <c r="P44" s="136"/>
      <c r="Q44" s="136"/>
      <c r="R44" s="136"/>
      <c r="S44" s="136"/>
      <c r="T44" s="136"/>
      <c r="U44" s="136"/>
      <c r="V44" s="136"/>
      <c r="W44" s="136"/>
      <c r="X44" s="136"/>
      <c r="Y44" s="136"/>
      <c r="Z44" s="136"/>
      <c r="AA44" s="136"/>
      <c r="AB44" s="136"/>
      <c r="AC44" s="173"/>
    </row>
    <row r="45" spans="1:140" s="142" customFormat="1" ht="11.25" hidden="1" customHeight="1" x14ac:dyDescent="0.2">
      <c r="A45" s="186"/>
      <c r="C45" s="132"/>
      <c r="D45" s="132"/>
      <c r="E45" s="132"/>
      <c r="F45" s="132"/>
      <c r="G45" s="132"/>
      <c r="H45" s="132"/>
      <c r="I45" s="132"/>
      <c r="J45" s="132"/>
      <c r="K45" s="132"/>
      <c r="L45" s="132"/>
      <c r="M45" s="132"/>
      <c r="N45" s="132"/>
      <c r="O45" s="132"/>
      <c r="P45" s="132"/>
      <c r="Q45" s="132"/>
      <c r="R45" s="132"/>
      <c r="S45" s="132"/>
      <c r="T45" s="132"/>
      <c r="U45" s="132"/>
      <c r="V45" s="132"/>
      <c r="W45" s="132"/>
      <c r="X45" s="132"/>
      <c r="Y45" s="132"/>
      <c r="Z45" s="132"/>
      <c r="AA45" s="132"/>
      <c r="AB45" s="132"/>
      <c r="AC45" s="132"/>
    </row>
    <row r="46" spans="1:140" s="142" customFormat="1" ht="12" hidden="1" thickBot="1" x14ac:dyDescent="0.25">
      <c r="A46" s="190">
        <f>WORKDAY([6]Top!C3, -1, Holidays)</f>
        <v>37166</v>
      </c>
      <c r="B46" s="142" t="s">
        <v>168</v>
      </c>
      <c r="C46" s="132"/>
      <c r="D46" s="132"/>
      <c r="E46" s="132"/>
      <c r="F46" s="132"/>
      <c r="G46" s="171"/>
      <c r="H46" s="132"/>
      <c r="I46" s="132"/>
      <c r="J46" s="171"/>
      <c r="K46" s="132"/>
      <c r="L46" s="132"/>
      <c r="M46" s="132"/>
      <c r="N46" s="132"/>
      <c r="O46" s="171"/>
      <c r="P46" s="132"/>
      <c r="Q46" s="132"/>
      <c r="R46" s="132"/>
      <c r="S46" s="171"/>
      <c r="T46" s="132"/>
      <c r="U46" s="132"/>
      <c r="V46" s="132"/>
      <c r="W46" s="132"/>
      <c r="X46" s="132"/>
      <c r="Y46" s="132"/>
      <c r="Z46" s="132"/>
      <c r="AA46" s="132"/>
      <c r="AB46" s="136"/>
      <c r="AC46" s="132"/>
    </row>
    <row r="47" spans="1:140" s="142" customFormat="1" ht="11.25" hidden="1" customHeight="1" x14ac:dyDescent="0.2">
      <c r="A47" s="160" t="s">
        <v>137</v>
      </c>
      <c r="B47" s="166" t="s">
        <v>168</v>
      </c>
      <c r="C47" s="191">
        <v>23.495999999999999</v>
      </c>
      <c r="D47" s="191">
        <v>26</v>
      </c>
      <c r="E47" s="191">
        <v>33</v>
      </c>
      <c r="F47" s="134">
        <v>27.409935483870967</v>
      </c>
      <c r="G47" s="134">
        <v>31.75</v>
      </c>
      <c r="H47" s="134">
        <v>32.5</v>
      </c>
      <c r="I47" s="134">
        <v>31</v>
      </c>
      <c r="J47" s="134">
        <v>28</v>
      </c>
      <c r="K47" s="134">
        <v>28</v>
      </c>
      <c r="L47" s="134">
        <v>28</v>
      </c>
      <c r="M47" s="134">
        <v>26.75</v>
      </c>
      <c r="N47" s="134">
        <v>28</v>
      </c>
      <c r="O47" s="134">
        <v>44.5</v>
      </c>
      <c r="P47" s="134">
        <v>40</v>
      </c>
      <c r="Q47" s="134">
        <v>49</v>
      </c>
      <c r="R47" s="134">
        <v>40</v>
      </c>
      <c r="S47" s="134">
        <v>34.333333333333336</v>
      </c>
      <c r="T47" s="134">
        <v>35.25</v>
      </c>
      <c r="U47" s="134">
        <v>32.75</v>
      </c>
      <c r="V47" s="134">
        <v>35</v>
      </c>
      <c r="W47" s="191">
        <v>33.906862745098039</v>
      </c>
      <c r="X47" s="191">
        <v>35.873529411764707</v>
      </c>
      <c r="Y47" s="191">
        <v>35.403825503355712</v>
      </c>
      <c r="Z47" s="191">
        <v>35.603450980392161</v>
      </c>
      <c r="AA47" s="191">
        <v>36.408647058823526</v>
      </c>
      <c r="AB47" s="192">
        <v>37.593476562500001</v>
      </c>
      <c r="AC47" s="135">
        <v>35.770294915254226</v>
      </c>
      <c r="AG47" s="142">
        <v>32.5</v>
      </c>
      <c r="AH47" s="142">
        <v>31</v>
      </c>
    </row>
    <row r="48" spans="1:140" s="142" customFormat="1" ht="11.25" hidden="1" customHeight="1" x14ac:dyDescent="0.2">
      <c r="A48" s="165" t="s">
        <v>138</v>
      </c>
      <c r="B48" s="142" t="s">
        <v>169</v>
      </c>
      <c r="C48" s="192">
        <v>25.02</v>
      </c>
      <c r="D48" s="192">
        <v>26.75</v>
      </c>
      <c r="E48" s="192">
        <v>33.75</v>
      </c>
      <c r="F48" s="132">
        <v>28.422096774193548</v>
      </c>
      <c r="G48" s="132">
        <v>31.875</v>
      </c>
      <c r="H48" s="132">
        <v>33</v>
      </c>
      <c r="I48" s="132">
        <v>30.75</v>
      </c>
      <c r="J48" s="132">
        <v>29</v>
      </c>
      <c r="K48" s="132">
        <v>28</v>
      </c>
      <c r="L48" s="132">
        <v>30</v>
      </c>
      <c r="M48" s="132">
        <v>29.25</v>
      </c>
      <c r="N48" s="132">
        <v>30.5</v>
      </c>
      <c r="O48" s="132">
        <v>47.25</v>
      </c>
      <c r="P48" s="132">
        <v>43</v>
      </c>
      <c r="Q48" s="132">
        <v>51.5</v>
      </c>
      <c r="R48" s="132">
        <v>43.5</v>
      </c>
      <c r="S48" s="132">
        <v>33.333333333333336</v>
      </c>
      <c r="T48" s="132">
        <v>34</v>
      </c>
      <c r="U48" s="132">
        <v>32</v>
      </c>
      <c r="V48" s="132">
        <v>34</v>
      </c>
      <c r="W48" s="192">
        <v>35.009803921568626</v>
      </c>
      <c r="X48" s="192">
        <v>37.361568627450986</v>
      </c>
      <c r="Y48" s="192">
        <v>36.883557046979867</v>
      </c>
      <c r="Z48" s="192">
        <v>37.345372549019608</v>
      </c>
      <c r="AA48" s="192">
        <v>39.532970588235301</v>
      </c>
      <c r="AB48" s="192">
        <v>42.080546875000003</v>
      </c>
      <c r="AC48" s="133">
        <v>38.290241525423731</v>
      </c>
      <c r="AG48" s="142">
        <v>33</v>
      </c>
      <c r="AH48" s="142">
        <v>30.75</v>
      </c>
    </row>
    <row r="49" spans="1:34" s="142" customFormat="1" ht="11.25" hidden="1" customHeight="1" x14ac:dyDescent="0.2">
      <c r="A49" s="165" t="s">
        <v>139</v>
      </c>
      <c r="C49" s="192">
        <v>25.034800000000001</v>
      </c>
      <c r="D49" s="192">
        <v>26.4</v>
      </c>
      <c r="E49" s="192">
        <v>33</v>
      </c>
      <c r="F49" s="132">
        <v>28.066625806451611</v>
      </c>
      <c r="G49" s="132">
        <v>32.75</v>
      </c>
      <c r="H49" s="132">
        <v>33</v>
      </c>
      <c r="I49" s="132">
        <v>32.5</v>
      </c>
      <c r="J49" s="132">
        <v>29.75</v>
      </c>
      <c r="K49" s="132">
        <v>30.5</v>
      </c>
      <c r="L49" s="132">
        <v>29</v>
      </c>
      <c r="M49" s="132">
        <v>29</v>
      </c>
      <c r="N49" s="132">
        <v>35.75</v>
      </c>
      <c r="O49" s="132">
        <v>46.5</v>
      </c>
      <c r="P49" s="132">
        <v>43</v>
      </c>
      <c r="Q49" s="132">
        <v>50</v>
      </c>
      <c r="R49" s="132">
        <v>42</v>
      </c>
      <c r="S49" s="132">
        <v>35.25</v>
      </c>
      <c r="T49" s="132">
        <v>36</v>
      </c>
      <c r="U49" s="132">
        <v>33.75</v>
      </c>
      <c r="V49" s="132">
        <v>36</v>
      </c>
      <c r="W49" s="192">
        <v>35.892156862745097</v>
      </c>
      <c r="X49" s="192">
        <v>39.213725490196076</v>
      </c>
      <c r="Y49" s="192">
        <v>39.702651006711413</v>
      </c>
      <c r="Z49" s="192">
        <v>40.14705882352942</v>
      </c>
      <c r="AA49" s="192">
        <v>40.747647058823539</v>
      </c>
      <c r="AB49" s="192">
        <v>41.614804687499998</v>
      </c>
      <c r="AC49" s="133">
        <v>39.6564240677966</v>
      </c>
      <c r="AG49" s="142">
        <v>33</v>
      </c>
      <c r="AH49" s="142">
        <v>32.5</v>
      </c>
    </row>
    <row r="50" spans="1:34" s="142" customFormat="1" ht="11.25" hidden="1" customHeight="1" x14ac:dyDescent="0.2">
      <c r="A50" s="165" t="s">
        <v>140</v>
      </c>
      <c r="B50" s="166"/>
      <c r="C50" s="192">
        <v>27.93180004577637</v>
      </c>
      <c r="D50" s="192">
        <v>24.9</v>
      </c>
      <c r="E50" s="192">
        <v>29</v>
      </c>
      <c r="F50" s="132">
        <v>27.249480660666187</v>
      </c>
      <c r="G50" s="132">
        <v>30.5</v>
      </c>
      <c r="H50" s="132">
        <v>30.5</v>
      </c>
      <c r="I50" s="132">
        <v>30.5</v>
      </c>
      <c r="J50" s="132">
        <v>29.375</v>
      </c>
      <c r="K50" s="132">
        <v>29.75</v>
      </c>
      <c r="L50" s="132">
        <v>29</v>
      </c>
      <c r="M50" s="132">
        <v>29</v>
      </c>
      <c r="N50" s="132">
        <v>35.75</v>
      </c>
      <c r="O50" s="132">
        <v>46.5</v>
      </c>
      <c r="P50" s="132">
        <v>43</v>
      </c>
      <c r="Q50" s="132">
        <v>50</v>
      </c>
      <c r="R50" s="132">
        <v>38.25</v>
      </c>
      <c r="S50" s="132">
        <v>34.833333333333336</v>
      </c>
      <c r="T50" s="132">
        <v>34.75</v>
      </c>
      <c r="U50" s="132">
        <v>33.75</v>
      </c>
      <c r="V50" s="132">
        <v>36</v>
      </c>
      <c r="W50" s="192">
        <v>35.050980392156866</v>
      </c>
      <c r="X50" s="192">
        <v>28.657843137254901</v>
      </c>
      <c r="Y50" s="192">
        <v>25.982382550335572</v>
      </c>
      <c r="Z50" s="192">
        <v>24.100980392156863</v>
      </c>
      <c r="AA50" s="192">
        <v>34.114607843137264</v>
      </c>
      <c r="AB50" s="192">
        <v>38.494726562499999</v>
      </c>
      <c r="AC50" s="133">
        <v>32.072994830915796</v>
      </c>
      <c r="AG50" s="142">
        <v>30.5</v>
      </c>
      <c r="AH50" s="142">
        <v>30.5</v>
      </c>
    </row>
    <row r="51" spans="1:34" s="142" customFormat="1" ht="11.25" hidden="1" customHeight="1" x14ac:dyDescent="0.2">
      <c r="A51" s="165" t="s">
        <v>141</v>
      </c>
      <c r="B51" s="142" t="s">
        <v>170</v>
      </c>
      <c r="C51" s="192">
        <v>24.744800000000001</v>
      </c>
      <c r="D51" s="192">
        <v>24.9</v>
      </c>
      <c r="E51" s="192">
        <v>29</v>
      </c>
      <c r="F51" s="132">
        <v>26.170012903225803</v>
      </c>
      <c r="G51" s="132">
        <v>30.5</v>
      </c>
      <c r="H51" s="132">
        <v>30.5</v>
      </c>
      <c r="I51" s="132">
        <v>30.5</v>
      </c>
      <c r="J51" s="132">
        <v>29.5</v>
      </c>
      <c r="K51" s="132">
        <v>29.75</v>
      </c>
      <c r="L51" s="132">
        <v>29.25</v>
      </c>
      <c r="M51" s="132">
        <v>32.5</v>
      </c>
      <c r="N51" s="132">
        <v>37.25</v>
      </c>
      <c r="O51" s="132">
        <v>48.75</v>
      </c>
      <c r="P51" s="132">
        <v>45.75</v>
      </c>
      <c r="Q51" s="132">
        <v>51.75</v>
      </c>
      <c r="R51" s="132">
        <v>38.25</v>
      </c>
      <c r="S51" s="132">
        <v>35</v>
      </c>
      <c r="T51" s="132">
        <v>34.75</v>
      </c>
      <c r="U51" s="132">
        <v>34</v>
      </c>
      <c r="V51" s="132">
        <v>36.25</v>
      </c>
      <c r="W51" s="192">
        <v>35.920588235294119</v>
      </c>
      <c r="X51" s="192">
        <v>39.860784313725489</v>
      </c>
      <c r="Y51" s="192">
        <v>40.029530201342283</v>
      </c>
      <c r="Z51" s="192">
        <v>40.458823529411774</v>
      </c>
      <c r="AA51" s="192">
        <v>41.078392156862733</v>
      </c>
      <c r="AB51" s="192">
        <v>41.717187500000001</v>
      </c>
      <c r="AC51" s="133">
        <v>39.906059661016961</v>
      </c>
      <c r="AG51" s="142">
        <v>30.5</v>
      </c>
      <c r="AH51" s="142">
        <v>30.5</v>
      </c>
    </row>
    <row r="52" spans="1:34" s="142" customFormat="1" ht="11.25" hidden="1" customHeight="1" x14ac:dyDescent="0.2">
      <c r="A52" s="193" t="s">
        <v>142</v>
      </c>
      <c r="B52" s="131"/>
      <c r="C52" s="192">
        <v>24.632000000000012</v>
      </c>
      <c r="D52" s="192">
        <v>24.48</v>
      </c>
      <c r="E52" s="192">
        <v>29</v>
      </c>
      <c r="F52" s="169">
        <v>25.989548387096779</v>
      </c>
      <c r="G52" s="169">
        <v>28.5</v>
      </c>
      <c r="H52" s="132">
        <v>29</v>
      </c>
      <c r="I52" s="132">
        <v>28</v>
      </c>
      <c r="J52" s="169">
        <v>28.75</v>
      </c>
      <c r="K52" s="132">
        <v>28</v>
      </c>
      <c r="L52" s="132">
        <v>29.5</v>
      </c>
      <c r="M52" s="132">
        <v>31</v>
      </c>
      <c r="N52" s="132">
        <v>40</v>
      </c>
      <c r="O52" s="169">
        <v>51.5</v>
      </c>
      <c r="P52" s="132">
        <v>48</v>
      </c>
      <c r="Q52" s="132">
        <v>55</v>
      </c>
      <c r="R52" s="132">
        <v>45.5</v>
      </c>
      <c r="S52" s="169">
        <v>32.5</v>
      </c>
      <c r="T52" s="132">
        <v>33.5</v>
      </c>
      <c r="U52" s="132">
        <v>31.5</v>
      </c>
      <c r="V52" s="132">
        <v>32.5</v>
      </c>
      <c r="W52" s="192">
        <v>35.984313725490196</v>
      </c>
      <c r="X52" s="192">
        <v>37.753921568627455</v>
      </c>
      <c r="Y52" s="192">
        <v>37.446744966442949</v>
      </c>
      <c r="Z52" s="192">
        <v>38.134901960784319</v>
      </c>
      <c r="AA52" s="192">
        <v>38.726617647058809</v>
      </c>
      <c r="AB52" s="192">
        <v>39.342070312499999</v>
      </c>
      <c r="AC52" s="133">
        <v>37.896729661016948</v>
      </c>
      <c r="AG52" s="142">
        <v>29</v>
      </c>
      <c r="AH52" s="142">
        <v>28</v>
      </c>
    </row>
    <row r="53" spans="1:34" s="142" customFormat="1" ht="11.25" hidden="1" customHeight="1" x14ac:dyDescent="0.2">
      <c r="A53" s="165" t="s">
        <v>143</v>
      </c>
      <c r="B53" s="131">
        <v>55</v>
      </c>
      <c r="C53" s="192">
        <v>25.632000000000012</v>
      </c>
      <c r="D53" s="192">
        <v>25.48</v>
      </c>
      <c r="E53" s="192">
        <v>31</v>
      </c>
      <c r="F53" s="192">
        <v>27.312129032258071</v>
      </c>
      <c r="G53" s="132">
        <v>29.875</v>
      </c>
      <c r="H53" s="192">
        <v>30.5</v>
      </c>
      <c r="I53" s="192">
        <v>29.25</v>
      </c>
      <c r="J53" s="132">
        <v>30.375</v>
      </c>
      <c r="K53" s="192">
        <v>29.25</v>
      </c>
      <c r="L53" s="192">
        <v>31.5</v>
      </c>
      <c r="M53" s="192">
        <v>34</v>
      </c>
      <c r="N53" s="192">
        <v>45</v>
      </c>
      <c r="O53" s="132">
        <v>60</v>
      </c>
      <c r="P53" s="192">
        <v>55</v>
      </c>
      <c r="Q53" s="192">
        <v>65</v>
      </c>
      <c r="R53" s="192">
        <v>52.5</v>
      </c>
      <c r="S53" s="132">
        <v>34.666666666666664</v>
      </c>
      <c r="T53" s="192">
        <v>36</v>
      </c>
      <c r="U53" s="192">
        <v>33.5</v>
      </c>
      <c r="V53" s="192">
        <v>34.5</v>
      </c>
      <c r="W53" s="192">
        <v>39.700980392156865</v>
      </c>
      <c r="X53" s="192">
        <v>41.089215686274507</v>
      </c>
      <c r="Y53" s="192">
        <v>40.642315436241603</v>
      </c>
      <c r="Z53" s="192">
        <v>41.434117647058827</v>
      </c>
      <c r="AA53" s="192">
        <v>41.887607843137246</v>
      </c>
      <c r="AB53" s="192">
        <v>42.328203125000002</v>
      </c>
      <c r="AC53" s="133">
        <v>41.103242372881382</v>
      </c>
      <c r="AG53" s="142">
        <v>30.5</v>
      </c>
      <c r="AH53" s="142">
        <v>29.25</v>
      </c>
    </row>
    <row r="54" spans="1:34" s="142" customFormat="1" ht="11.25" hidden="1" customHeight="1" x14ac:dyDescent="0.2">
      <c r="A54" s="165"/>
      <c r="B54" s="131"/>
      <c r="C54" s="192"/>
      <c r="D54" s="192"/>
      <c r="E54" s="192"/>
      <c r="F54" s="192"/>
      <c r="G54" s="132"/>
      <c r="H54" s="192"/>
      <c r="I54" s="192"/>
      <c r="J54" s="132"/>
      <c r="K54" s="192"/>
      <c r="L54" s="192"/>
      <c r="M54" s="192"/>
      <c r="N54" s="192"/>
      <c r="O54" s="132"/>
      <c r="P54" s="192"/>
      <c r="Q54" s="192"/>
      <c r="R54" s="192"/>
      <c r="S54" s="132"/>
      <c r="T54" s="192"/>
      <c r="U54" s="192"/>
      <c r="V54" s="192"/>
      <c r="W54" s="192"/>
      <c r="X54" s="192"/>
      <c r="Y54" s="192"/>
      <c r="Z54" s="192"/>
      <c r="AA54" s="192"/>
      <c r="AB54" s="192"/>
      <c r="AC54" s="133"/>
    </row>
    <row r="55" spans="1:34" s="142" customFormat="1" ht="11.25" hidden="1" customHeight="1" x14ac:dyDescent="0.2">
      <c r="A55" s="165" t="s">
        <v>173</v>
      </c>
      <c r="B55" s="131"/>
      <c r="C55" s="192"/>
      <c r="D55" s="192"/>
      <c r="E55" s="192"/>
      <c r="F55" s="192"/>
      <c r="G55" s="132"/>
      <c r="H55" s="192"/>
      <c r="I55" s="192"/>
      <c r="J55" s="132"/>
      <c r="K55" s="192"/>
      <c r="L55" s="192"/>
      <c r="M55" s="192"/>
      <c r="N55" s="192"/>
      <c r="O55" s="132"/>
      <c r="P55" s="192"/>
      <c r="Q55" s="192"/>
      <c r="R55" s="192"/>
      <c r="S55" s="132"/>
      <c r="T55" s="192"/>
      <c r="U55" s="192"/>
      <c r="V55" s="192"/>
      <c r="W55" s="192"/>
      <c r="X55" s="192"/>
      <c r="Y55" s="192"/>
      <c r="Z55" s="192"/>
      <c r="AA55" s="192"/>
      <c r="AB55" s="192"/>
      <c r="AC55" s="133"/>
    </row>
    <row r="56" spans="1:34" s="142" customFormat="1" ht="11.25" hidden="1" customHeight="1" x14ac:dyDescent="0.2">
      <c r="A56" s="165" t="s">
        <v>173</v>
      </c>
      <c r="B56" s="131">
        <v>44.875</v>
      </c>
      <c r="C56" s="192">
        <v>29.6</v>
      </c>
      <c r="D56" s="192">
        <v>38.199996948242188</v>
      </c>
      <c r="E56" s="192">
        <v>46.549999237060547</v>
      </c>
      <c r="F56" s="192">
        <v>37.980643881520919</v>
      </c>
      <c r="G56" s="132">
        <v>46.356626586914061</v>
      </c>
      <c r="H56" s="192">
        <v>46.548513793945311</v>
      </c>
      <c r="I56" s="192">
        <v>46.164739379882811</v>
      </c>
      <c r="J56" s="132">
        <v>43.561668930053713</v>
      </c>
      <c r="K56" s="192">
        <v>44.959061584472657</v>
      </c>
      <c r="L56" s="192">
        <v>42.164276275634762</v>
      </c>
      <c r="M56" s="192">
        <v>42.699286651611331</v>
      </c>
      <c r="N56" s="192">
        <v>43.603325527205087</v>
      </c>
      <c r="O56" s="132">
        <v>46.592678462188481</v>
      </c>
      <c r="P56" s="192">
        <v>46.229644880668147</v>
      </c>
      <c r="Q56" s="192">
        <v>46.955712043708814</v>
      </c>
      <c r="R56" s="192">
        <v>46.9436523386372</v>
      </c>
      <c r="S56" s="132">
        <v>50.089899234691067</v>
      </c>
      <c r="T56" s="192">
        <v>45.610313931852012</v>
      </c>
      <c r="U56" s="192">
        <v>50.369977585246076</v>
      </c>
      <c r="V56" s="192">
        <v>54.289406186975107</v>
      </c>
      <c r="W56" s="192">
        <v>46.337382276293823</v>
      </c>
      <c r="X56" s="192">
        <v>44.207741536048538</v>
      </c>
      <c r="Y56" s="192">
        <v>44.172498779539893</v>
      </c>
      <c r="Z56" s="192">
        <v>42.983393767074737</v>
      </c>
      <c r="AA56" s="192">
        <v>40.782928084716538</v>
      </c>
      <c r="AB56" s="192">
        <v>43.830887352361458</v>
      </c>
      <c r="AC56" s="133">
        <v>42.582660096936543</v>
      </c>
      <c r="AG56" s="142">
        <v>46.548513793945311</v>
      </c>
      <c r="AH56" s="142">
        <v>46.164739379882811</v>
      </c>
    </row>
    <row r="57" spans="1:34" s="142" customFormat="1" ht="11.25" hidden="1" customHeight="1" x14ac:dyDescent="0.2">
      <c r="A57" s="165"/>
      <c r="B57" s="131"/>
      <c r="C57" s="192"/>
      <c r="D57" s="192"/>
      <c r="E57" s="192"/>
      <c r="F57" s="192"/>
      <c r="G57" s="132"/>
      <c r="H57" s="192"/>
      <c r="I57" s="192"/>
      <c r="J57" s="132"/>
      <c r="K57" s="192"/>
      <c r="L57" s="192"/>
      <c r="M57" s="192"/>
      <c r="N57" s="192"/>
      <c r="O57" s="132"/>
      <c r="P57" s="192"/>
      <c r="Q57" s="192"/>
      <c r="R57" s="192"/>
      <c r="S57" s="132"/>
      <c r="T57" s="192"/>
      <c r="U57" s="192"/>
      <c r="V57" s="192"/>
      <c r="W57" s="192"/>
      <c r="X57" s="192"/>
      <c r="Y57" s="192"/>
      <c r="Z57" s="192"/>
      <c r="AA57" s="192"/>
      <c r="AB57" s="192"/>
      <c r="AC57" s="133"/>
    </row>
    <row r="58" spans="1:34" s="142" customFormat="1" ht="11.25" hidden="1" customHeight="1" x14ac:dyDescent="0.2">
      <c r="A58" s="165"/>
      <c r="B58" s="131"/>
      <c r="C58" s="192"/>
      <c r="D58" s="192"/>
      <c r="E58" s="192"/>
      <c r="F58" s="192"/>
      <c r="G58" s="132"/>
      <c r="H58" s="192"/>
      <c r="I58" s="192"/>
      <c r="J58" s="132"/>
      <c r="K58" s="192"/>
      <c r="L58" s="192"/>
      <c r="M58" s="192"/>
      <c r="N58" s="192"/>
      <c r="O58" s="132"/>
      <c r="P58" s="192"/>
      <c r="Q58" s="192"/>
      <c r="R58" s="192"/>
      <c r="S58" s="132"/>
      <c r="T58" s="192"/>
      <c r="U58" s="192"/>
      <c r="V58" s="192"/>
      <c r="W58" s="192"/>
      <c r="X58" s="192"/>
      <c r="Y58" s="192"/>
      <c r="Z58" s="192"/>
      <c r="AA58" s="192"/>
      <c r="AB58" s="192"/>
      <c r="AC58" s="133"/>
    </row>
    <row r="59" spans="1:34" s="142" customFormat="1" ht="11.25" hidden="1" customHeight="1" x14ac:dyDescent="0.2">
      <c r="A59" s="165"/>
      <c r="B59" s="131"/>
      <c r="C59" s="192"/>
      <c r="D59" s="192"/>
      <c r="E59" s="192"/>
      <c r="F59" s="192"/>
      <c r="G59" s="132"/>
      <c r="H59" s="192"/>
      <c r="I59" s="192"/>
      <c r="J59" s="132"/>
      <c r="K59" s="192"/>
      <c r="L59" s="192"/>
      <c r="M59" s="192"/>
      <c r="N59" s="192"/>
      <c r="O59" s="132"/>
      <c r="P59" s="192"/>
      <c r="Q59" s="192"/>
      <c r="R59" s="192"/>
      <c r="S59" s="132"/>
      <c r="T59" s="192"/>
      <c r="U59" s="192"/>
      <c r="V59" s="192"/>
      <c r="W59" s="192"/>
      <c r="X59" s="192"/>
      <c r="Y59" s="192"/>
      <c r="Z59" s="192"/>
      <c r="AA59" s="192"/>
      <c r="AB59" s="192"/>
      <c r="AC59" s="133"/>
    </row>
    <row r="60" spans="1:34" s="142" customFormat="1" ht="11.25" hidden="1" customHeight="1" x14ac:dyDescent="0.2">
      <c r="A60" s="165"/>
      <c r="B60" s="131"/>
      <c r="C60" s="192"/>
      <c r="D60" s="192"/>
      <c r="E60" s="192"/>
      <c r="F60" s="192"/>
      <c r="G60" s="132"/>
      <c r="H60" s="192"/>
      <c r="I60" s="192"/>
      <c r="J60" s="132"/>
      <c r="K60" s="192"/>
      <c r="L60" s="192"/>
      <c r="M60" s="192"/>
      <c r="N60" s="192"/>
      <c r="O60" s="132"/>
      <c r="P60" s="192"/>
      <c r="Q60" s="192"/>
      <c r="R60" s="192"/>
      <c r="S60" s="132"/>
      <c r="T60" s="192"/>
      <c r="U60" s="192"/>
      <c r="V60" s="192"/>
      <c r="W60" s="192"/>
      <c r="X60" s="192"/>
      <c r="Y60" s="192"/>
      <c r="Z60" s="192"/>
      <c r="AA60" s="192"/>
      <c r="AB60" s="192"/>
      <c r="AC60" s="133"/>
    </row>
    <row r="61" spans="1:34" ht="11.25" hidden="1" customHeight="1" x14ac:dyDescent="0.2">
      <c r="A61" s="165"/>
      <c r="C61" s="192"/>
      <c r="D61" s="192"/>
      <c r="E61" s="192"/>
      <c r="F61" s="192"/>
      <c r="G61" s="132"/>
      <c r="H61" s="192"/>
      <c r="I61" s="192"/>
      <c r="J61" s="132"/>
      <c r="K61" s="192"/>
      <c r="L61" s="192"/>
      <c r="M61" s="192"/>
      <c r="N61" s="192"/>
      <c r="O61" s="132"/>
      <c r="P61" s="192"/>
      <c r="Q61" s="192"/>
      <c r="R61" s="192"/>
      <c r="S61" s="132"/>
      <c r="T61" s="192"/>
      <c r="U61" s="192"/>
      <c r="V61" s="192"/>
      <c r="W61" s="192"/>
      <c r="X61" s="192"/>
      <c r="Y61" s="192"/>
      <c r="Z61" s="192"/>
      <c r="AA61" s="192"/>
      <c r="AB61" s="192"/>
      <c r="AC61" s="133"/>
    </row>
    <row r="62" spans="1:34" ht="12" hidden="1" customHeight="1" x14ac:dyDescent="0.2">
      <c r="A62" s="165"/>
      <c r="B62" s="183"/>
      <c r="C62" s="192"/>
      <c r="D62" s="192"/>
      <c r="E62" s="192"/>
      <c r="F62" s="192"/>
      <c r="G62" s="132"/>
      <c r="H62" s="192"/>
      <c r="I62" s="192"/>
      <c r="J62" s="132"/>
      <c r="K62" s="192"/>
      <c r="L62" s="192"/>
      <c r="M62" s="192"/>
      <c r="N62" s="192"/>
      <c r="O62" s="132"/>
      <c r="P62" s="192"/>
      <c r="Q62" s="192"/>
      <c r="R62" s="192"/>
      <c r="S62" s="132"/>
      <c r="T62" s="192"/>
      <c r="U62" s="192"/>
      <c r="V62" s="192"/>
      <c r="W62" s="192"/>
      <c r="X62" s="192"/>
      <c r="Y62" s="192"/>
      <c r="Z62" s="192"/>
      <c r="AA62" s="192"/>
      <c r="AB62" s="192"/>
      <c r="AC62" s="133"/>
    </row>
    <row r="63" spans="1:34" ht="12" hidden="1" customHeight="1" x14ac:dyDescent="0.2">
      <c r="A63" s="170"/>
      <c r="C63" s="194"/>
      <c r="D63" s="194"/>
      <c r="E63" s="194"/>
      <c r="F63" s="194"/>
      <c r="G63" s="136"/>
      <c r="H63" s="194"/>
      <c r="I63" s="194"/>
      <c r="J63" s="136"/>
      <c r="K63" s="194"/>
      <c r="L63" s="194"/>
      <c r="M63" s="194"/>
      <c r="N63" s="194"/>
      <c r="O63" s="136"/>
      <c r="P63" s="194"/>
      <c r="Q63" s="194"/>
      <c r="R63" s="194"/>
      <c r="S63" s="136"/>
      <c r="T63" s="194"/>
      <c r="U63" s="194"/>
      <c r="V63" s="194"/>
      <c r="W63" s="194"/>
      <c r="X63" s="194"/>
      <c r="Y63" s="194"/>
      <c r="Z63" s="194"/>
      <c r="AA63" s="194"/>
      <c r="AB63" s="194"/>
      <c r="AC63" s="137"/>
    </row>
    <row r="64" spans="1:34" hidden="1" x14ac:dyDescent="0.2"/>
    <row r="65" spans="1:31" ht="13.5" customHeight="1" x14ac:dyDescent="0.25">
      <c r="A65" s="138" t="s">
        <v>175</v>
      </c>
      <c r="F65" s="131" t="s">
        <v>176</v>
      </c>
    </row>
    <row r="66" spans="1:31" s="158" customFormat="1" ht="11.25" customHeight="1" thickBot="1" x14ac:dyDescent="0.25">
      <c r="A66" s="195" t="s">
        <v>176</v>
      </c>
      <c r="B66" s="196"/>
      <c r="C66" s="197" t="str">
        <f t="shared" ref="C66:AB66" si="26">C8</f>
        <v>Oct 01</v>
      </c>
      <c r="D66" s="197" t="str">
        <f t="shared" si="26"/>
        <v>Nov 01</v>
      </c>
      <c r="E66" s="197" t="str">
        <f t="shared" si="26"/>
        <v>Dec 01</v>
      </c>
      <c r="F66" s="197" t="str">
        <f t="shared" si="26"/>
        <v>2001 Total</v>
      </c>
      <c r="G66" s="197" t="str">
        <f t="shared" si="26"/>
        <v>Jan-Feb '02</v>
      </c>
      <c r="H66" s="197">
        <f t="shared" si="26"/>
        <v>37257</v>
      </c>
      <c r="I66" s="197">
        <f t="shared" si="26"/>
        <v>37288</v>
      </c>
      <c r="J66" s="197" t="str">
        <f t="shared" si="26"/>
        <v>Mar-Apr '02</v>
      </c>
      <c r="K66" s="197">
        <f t="shared" si="26"/>
        <v>37316</v>
      </c>
      <c r="L66" s="197">
        <f t="shared" si="26"/>
        <v>37347</v>
      </c>
      <c r="M66" s="197">
        <f t="shared" si="26"/>
        <v>37377</v>
      </c>
      <c r="N66" s="197">
        <f t="shared" si="26"/>
        <v>37408</v>
      </c>
      <c r="O66" s="197" t="str">
        <f t="shared" si="26"/>
        <v>Jul-Aug '02</v>
      </c>
      <c r="P66" s="197">
        <f t="shared" si="26"/>
        <v>37438</v>
      </c>
      <c r="Q66" s="197">
        <f t="shared" si="26"/>
        <v>37469</v>
      </c>
      <c r="R66" s="197">
        <f t="shared" si="26"/>
        <v>37500</v>
      </c>
      <c r="S66" s="197" t="str">
        <f t="shared" si="26"/>
        <v>Oct-Dec '02</v>
      </c>
      <c r="T66" s="197">
        <f t="shared" si="26"/>
        <v>37530</v>
      </c>
      <c r="U66" s="197">
        <f t="shared" si="26"/>
        <v>37561</v>
      </c>
      <c r="V66" s="197">
        <f t="shared" si="26"/>
        <v>37591</v>
      </c>
      <c r="W66" s="197" t="str">
        <f t="shared" si="26"/>
        <v>2002</v>
      </c>
      <c r="X66" s="197" t="str">
        <f t="shared" si="26"/>
        <v>2003</v>
      </c>
      <c r="Y66" s="197" t="str">
        <f t="shared" si="26"/>
        <v>2004</v>
      </c>
      <c r="Z66" s="197" t="str">
        <f t="shared" si="26"/>
        <v>2005</v>
      </c>
      <c r="AA66" s="197" t="str">
        <f t="shared" si="26"/>
        <v>2006-2009</v>
      </c>
      <c r="AB66" s="197" t="str">
        <f t="shared" si="26"/>
        <v>&gt; =2010</v>
      </c>
      <c r="AC66" s="198" t="s">
        <v>167</v>
      </c>
      <c r="AD66" s="199"/>
      <c r="AE66" s="199"/>
    </row>
    <row r="67" spans="1:31" ht="13.7" customHeight="1" x14ac:dyDescent="0.2">
      <c r="A67" s="160" t="s">
        <v>137</v>
      </c>
      <c r="B67" s="131" t="s">
        <v>174</v>
      </c>
      <c r="C67" s="200">
        <f>C9/('[6]Gas Curve Summary'!$B$10)*1000</f>
        <v>4292.4250866765733</v>
      </c>
      <c r="D67" s="200">
        <f ca="1">D9/('[6]Gas Curve Summary'!$B$11)*1000</f>
        <v>5673.6863627070124</v>
      </c>
      <c r="E67" s="200">
        <f>E9/('[6]Gas Curve Summary'!$B$12)*1000</f>
        <v>9323.1674692348861</v>
      </c>
      <c r="F67" s="200">
        <f t="shared" ref="F67:F73" ca="1" si="27">AVERAGE(C67:E67)</f>
        <v>6429.7596395394903</v>
      </c>
      <c r="G67" s="200">
        <f t="shared" ref="G67:G73" si="28">AVERAGE(H67,I67)</f>
        <v>10355.368163634368</v>
      </c>
      <c r="H67" s="200">
        <f>$H9/'[6]Gas Curve Summary'!$B$13*1000</f>
        <v>10606.536769327467</v>
      </c>
      <c r="I67" s="200">
        <f>$I9/'[6]Gas Curve Summary'!$B$14*1000</f>
        <v>10104.199557941267</v>
      </c>
      <c r="J67" s="200">
        <f t="shared" ref="J67:J73" si="29">AVERAGE(K67:L67)</f>
        <v>13750.491088967463</v>
      </c>
      <c r="K67" s="200">
        <f>$K9/'[6]Gas Curve Summary'!$B$15*1000</f>
        <v>12200.435729847495</v>
      </c>
      <c r="L67" s="200">
        <f>$L9/'[6]Gas Curve Summary'!$B$16*1000</f>
        <v>15300.546448087431</v>
      </c>
      <c r="M67" s="200">
        <f>$M9/'[6]Gas Curve Summary'!$B$17*1000</f>
        <v>11530.172413793105</v>
      </c>
      <c r="N67" s="200">
        <f>$N9/'[6]Gas Curve Summary'!$B$18*1000</f>
        <v>10416.666666666666</v>
      </c>
      <c r="O67" s="200">
        <f t="shared" ref="O67:O73" si="30">AVERAGE(P67:Q67)</f>
        <v>15656.014422050359</v>
      </c>
      <c r="P67" s="200">
        <f>$P9/'[6]Gas Curve Summary'!$B$19*1000</f>
        <v>14172.139647424818</v>
      </c>
      <c r="Q67" s="200">
        <f>$Q9/'[6]Gas Curve Summary'!$B$20*1000</f>
        <v>17139.8891966759</v>
      </c>
      <c r="R67" s="200">
        <f>$R9/'[6]Gas Curve Summary'!$B$21*1000</f>
        <v>14441.704825642832</v>
      </c>
      <c r="S67" s="200">
        <f t="shared" ref="S67:S73" si="31">AVERAGE(T67:V67)</f>
        <v>12404.110106237766</v>
      </c>
      <c r="T67" s="200">
        <f>$T9/'[6]Gas Curve Summary'!$B$22*1000</f>
        <v>12909.090909090908</v>
      </c>
      <c r="U67" s="200">
        <f>$U9/'[6]Gas Curve Summary'!$B$23*1000</f>
        <v>11891.891891891893</v>
      </c>
      <c r="V67" s="200">
        <f>$V9/'[6]Gas Curve Summary'!$B$24*1000</f>
        <v>12411.347517730497</v>
      </c>
      <c r="W67" s="200">
        <f>W9/AVERAGE('[6]Gas Curve Summary'!$B$13:$B$24)*1000</f>
        <v>12701.255803581953</v>
      </c>
      <c r="X67" s="200">
        <f>X9/AVERAGE('[6]Gas Curve Summary'!$B$25:$B$36)*1000</f>
        <v>11635.202333578509</v>
      </c>
      <c r="Y67" s="200">
        <f>Y9/AVERAGE('[6]Gas Curve Summary'!$B$37:$B$48)*1000</f>
        <v>10787.946732922263</v>
      </c>
      <c r="Z67" s="200">
        <f>Z9/AVERAGE('[6]Gas Curve Summary'!$B$49:$B$60)*1000</f>
        <v>10542.05564570161</v>
      </c>
      <c r="AA67" s="200">
        <f>AA9/AVERAGE('[6]Gas Curve Summary'!$B$61:$B$108)*1000</f>
        <v>10068.069553259629</v>
      </c>
      <c r="AB67" s="200">
        <f>AB9/AVERAGE('[6]Gas Curve Summary'!$B$109:$B$120)*1000</f>
        <v>9719.8048523206744</v>
      </c>
      <c r="AC67" s="201">
        <f ca="1">AC9/AVERAGE('[6]Gas Curve Summary'!$B$9:$B$120)*1000</f>
        <v>10339.437509832107</v>
      </c>
    </row>
    <row r="68" spans="1:31" ht="13.7" customHeight="1" x14ac:dyDescent="0.2">
      <c r="A68" s="165" t="s">
        <v>138</v>
      </c>
      <c r="B68" s="131" t="s">
        <v>174</v>
      </c>
      <c r="C68" s="200">
        <f>C10/('[6]Gas Curve Summary'!$B$10)*1000</f>
        <v>4610.4971520554727</v>
      </c>
      <c r="D68" s="200">
        <f ca="1">D10/('[6]Gas Curve Summary'!$B$11)*1000</f>
        <v>5827.0292373747698</v>
      </c>
      <c r="E68" s="200">
        <f>E10/('[6]Gas Curve Summary'!$B$12)*1000</f>
        <v>9390.0481540930978</v>
      </c>
      <c r="F68" s="202">
        <f t="shared" ca="1" si="27"/>
        <v>6609.1915145077801</v>
      </c>
      <c r="G68" s="200">
        <f t="shared" si="28"/>
        <v>10300.296882309056</v>
      </c>
      <c r="H68" s="200">
        <f>$H10/'[6]Gas Curve Summary'!$B$13*1000</f>
        <v>10527.969830295411</v>
      </c>
      <c r="I68" s="200">
        <f>$I10/'[6]Gas Curve Summary'!$B$14*1000</f>
        <v>10072.623934322701</v>
      </c>
      <c r="J68" s="200">
        <f t="shared" si="29"/>
        <v>14296.939176399155</v>
      </c>
      <c r="K68" s="200">
        <f>$K10/'[6]Gas Curve Summary'!$B$15*1000</f>
        <v>12200.435729847495</v>
      </c>
      <c r="L68" s="200">
        <f>$L10/'[6]Gas Curve Summary'!$B$16*1000</f>
        <v>16393.442622950817</v>
      </c>
      <c r="M68" s="200">
        <f>$M10/'[6]Gas Curve Summary'!$B$17*1000</f>
        <v>12607.758620689656</v>
      </c>
      <c r="N68" s="200">
        <f>$N10/'[6]Gas Curve Summary'!$B$18*1000</f>
        <v>11346.726190476189</v>
      </c>
      <c r="O68" s="200">
        <f t="shared" si="30"/>
        <v>16607.332820745076</v>
      </c>
      <c r="P68" s="200">
        <f>$P10/'[6]Gas Curve Summary'!$B$19*1000</f>
        <v>15209.125475285169</v>
      </c>
      <c r="Q68" s="200">
        <f>$Q10/'[6]Gas Curve Summary'!$B$20*1000</f>
        <v>18005.540166204984</v>
      </c>
      <c r="R68" s="200">
        <f>$R10/'[6]Gas Curve Summary'!$B$21*1000</f>
        <v>15674.53328636844</v>
      </c>
      <c r="S68" s="200">
        <f t="shared" si="31"/>
        <v>12014.271524909824</v>
      </c>
      <c r="T68" s="200">
        <f>$T10/'[6]Gas Curve Summary'!$B$22*1000</f>
        <v>12454.545454545456</v>
      </c>
      <c r="U68" s="200">
        <f>$U10/'[6]Gas Curve Summary'!$B$23*1000</f>
        <v>11531.531531531533</v>
      </c>
      <c r="V68" s="200">
        <f>$V10/'[6]Gas Curve Summary'!$B$24*1000</f>
        <v>12056.737588652482</v>
      </c>
      <c r="W68" s="202">
        <f>W10/AVERAGE('[6]Gas Curve Summary'!$B$13:$B$24)*1000</f>
        <v>13082.329735913228</v>
      </c>
      <c r="X68" s="200">
        <f>X10/AVERAGE('[6]Gas Curve Summary'!$B$25:$B$36)*1000</f>
        <v>12106.06717839428</v>
      </c>
      <c r="Y68" s="200">
        <f>Y10/AVERAGE('[6]Gas Curve Summary'!$B$37:$B$48)*1000</f>
        <v>11227.617272915495</v>
      </c>
      <c r="Z68" s="200">
        <f>Z10/AVERAGE('[6]Gas Curve Summary'!$B$49:$B$60)*1000</f>
        <v>11045.033334911488</v>
      </c>
      <c r="AA68" s="200">
        <f>AA10/AVERAGE('[6]Gas Curve Summary'!$B$61:$B$108)*1000</f>
        <v>10916.744236229644</v>
      </c>
      <c r="AB68" s="200">
        <f>AB10/AVERAGE('[6]Gas Curve Summary'!$B$109:$B$120)*1000</f>
        <v>10861.542641605933</v>
      </c>
      <c r="AC68" s="201">
        <f ca="1">AC10/AVERAGE('[6]Gas Curve Summary'!$B$9:$B$120)*1000</f>
        <v>11050.962756532221</v>
      </c>
    </row>
    <row r="69" spans="1:31" ht="13.7" customHeight="1" x14ac:dyDescent="0.2">
      <c r="A69" s="165" t="s">
        <v>139</v>
      </c>
      <c r="B69" s="131" t="s">
        <v>174</v>
      </c>
      <c r="C69" s="200">
        <f>C11/('[6]Gas Curve Summary'!$B$10)*1000</f>
        <v>4682.7792223873212</v>
      </c>
      <c r="D69" s="200">
        <f ca="1">D11/('[6]Gas Curve Summary'!$B$11)*1000</f>
        <v>5704.3549376405635</v>
      </c>
      <c r="E69" s="200">
        <f>E11/('[6]Gas Curve Summary'!$B$12)*1000</f>
        <v>9042.268592830389</v>
      </c>
      <c r="F69" s="202">
        <f t="shared" ca="1" si="27"/>
        <v>6476.4675842860916</v>
      </c>
      <c r="G69" s="200">
        <f t="shared" si="28"/>
        <v>10710.221809328879</v>
      </c>
      <c r="H69" s="200">
        <f>$H11/'[6]Gas Curve Summary'!$B$13*1000</f>
        <v>10763.670647391578</v>
      </c>
      <c r="I69" s="200">
        <f>$I11/'[6]Gas Curve Summary'!$B$14*1000</f>
        <v>10656.772971266182</v>
      </c>
      <c r="J69" s="200">
        <f t="shared" si="29"/>
        <v>14977.32061859352</v>
      </c>
      <c r="K69" s="200">
        <f>$K11/'[6]Gas Curve Summary'!$B$15*1000</f>
        <v>13834.422657952069</v>
      </c>
      <c r="L69" s="200">
        <f>$L11/'[6]Gas Curve Summary'!$B$16*1000</f>
        <v>16120.218579234972</v>
      </c>
      <c r="M69" s="200">
        <f>$M11/'[6]Gas Curve Summary'!$B$17*1000</f>
        <v>12715.517241379312</v>
      </c>
      <c r="N69" s="200">
        <f>$N11/'[6]Gas Curve Summary'!$B$18*1000</f>
        <v>13485.863095238095</v>
      </c>
      <c r="O69" s="200">
        <f t="shared" si="30"/>
        <v>16434.202626839262</v>
      </c>
      <c r="P69" s="200">
        <f>$P11/'[6]Gas Curve Summary'!$B$19*1000</f>
        <v>15209.125475285169</v>
      </c>
      <c r="Q69" s="200">
        <f>$Q11/'[6]Gas Curve Summary'!$B$20*1000</f>
        <v>17659.279778393353</v>
      </c>
      <c r="R69" s="200">
        <f>$R11/'[6]Gas Curve Summary'!$B$21*1000</f>
        <v>15146.178231771752</v>
      </c>
      <c r="S69" s="200">
        <f t="shared" si="31"/>
        <v>12942.661229895273</v>
      </c>
      <c r="T69" s="200">
        <f>$T11/'[6]Gas Curve Summary'!$B$22*1000</f>
        <v>13363.636363636364</v>
      </c>
      <c r="U69" s="200">
        <f>$U11/'[6]Gas Curve Summary'!$B$23*1000</f>
        <v>12432.432432432433</v>
      </c>
      <c r="V69" s="200">
        <f>$V11/'[6]Gas Curve Summary'!$B$24*1000</f>
        <v>13031.914893617022</v>
      </c>
      <c r="W69" s="202">
        <f>W11/AVERAGE('[6]Gas Curve Summary'!$B$13:$B$24)*1000</f>
        <v>13597.196514134364</v>
      </c>
      <c r="X69" s="200">
        <f>X11/AVERAGE('[6]Gas Curve Summary'!$B$25:$B$36)*1000</f>
        <v>12826.194921700646</v>
      </c>
      <c r="Y69" s="200">
        <f>Y11/AVERAGE('[6]Gas Curve Summary'!$B$37:$B$48)*1000</f>
        <v>12145.267421132103</v>
      </c>
      <c r="Z69" s="200">
        <f>Z11/AVERAGE('[6]Gas Curve Summary'!$B$49:$B$60)*1000</f>
        <v>11940.311355390184</v>
      </c>
      <c r="AA69" s="200">
        <f>AA11/AVERAGE('[6]Gas Curve Summary'!$B$61:$B$108)*1000</f>
        <v>11318.950629569988</v>
      </c>
      <c r="AB69" s="200">
        <f>AB11/AVERAGE('[6]Gas Curve Summary'!$B$109:$B$120)*1000</f>
        <v>10808.030862421685</v>
      </c>
      <c r="AC69" s="201">
        <f ca="1">AC11/AVERAGE('[6]Gas Curve Summary'!$B$9:$B$120)*1000</f>
        <v>11523.569087440368</v>
      </c>
    </row>
    <row r="70" spans="1:31" ht="13.7" customHeight="1" x14ac:dyDescent="0.2">
      <c r="A70" s="165" t="s">
        <v>140</v>
      </c>
      <c r="B70" s="131" t="s">
        <v>174</v>
      </c>
      <c r="C70" s="200">
        <f>C12/('[6]Gas Curve Summary'!$B$10)*1000</f>
        <v>5153.5800608625023</v>
      </c>
      <c r="D70" s="200">
        <f ca="1">D12/('[6]Gas Curve Summary'!$B$11)*1000</f>
        <v>5336.3320384379476</v>
      </c>
      <c r="E70" s="200">
        <f>E12/('[6]Gas Curve Summary'!$B$12)*1000</f>
        <v>7972.177635098983</v>
      </c>
      <c r="F70" s="202">
        <f t="shared" ca="1" si="27"/>
        <v>6154.0299114664776</v>
      </c>
      <c r="G70" s="200">
        <f t="shared" si="28"/>
        <v>9844.1248799044679</v>
      </c>
      <c r="H70" s="200">
        <f>$H12/'[6]Gas Curve Summary'!$B$13*1000</f>
        <v>9820.8673790069151</v>
      </c>
      <c r="I70" s="200">
        <f>$I12/'[6]Gas Curve Summary'!$B$14*1000</f>
        <v>9867.3823808020206</v>
      </c>
      <c r="J70" s="200">
        <f t="shared" si="29"/>
        <v>14704.989463909424</v>
      </c>
      <c r="K70" s="200">
        <f>$K12/'[6]Gas Curve Summary'!$B$15*1000</f>
        <v>13289.760348583877</v>
      </c>
      <c r="L70" s="200">
        <f>$L12/'[6]Gas Curve Summary'!$B$16*1000</f>
        <v>16120.218579234972</v>
      </c>
      <c r="M70" s="200">
        <f>$M12/'[6]Gas Curve Summary'!$B$17*1000</f>
        <v>12715.517241379312</v>
      </c>
      <c r="N70" s="200">
        <f>$N12/'[6]Gas Curve Summary'!$B$18*1000</f>
        <v>13485.863095238095</v>
      </c>
      <c r="O70" s="200">
        <f t="shared" si="30"/>
        <v>16434.202626839262</v>
      </c>
      <c r="P70" s="200">
        <f>$P12/'[6]Gas Curve Summary'!$B$19*1000</f>
        <v>15209.125475285169</v>
      </c>
      <c r="Q70" s="200">
        <f>$Q12/'[6]Gas Curve Summary'!$B$20*1000</f>
        <v>17659.279778393353</v>
      </c>
      <c r="R70" s="200">
        <f>$R12/'[6]Gas Curve Summary'!$B$21*1000</f>
        <v>13825.290595280028</v>
      </c>
      <c r="S70" s="200">
        <f t="shared" si="31"/>
        <v>12760.843048077091</v>
      </c>
      <c r="T70" s="200">
        <f>$T12/'[6]Gas Curve Summary'!$B$22*1000</f>
        <v>12818.181818181818</v>
      </c>
      <c r="U70" s="200">
        <f>$U12/'[6]Gas Curve Summary'!$B$23*1000</f>
        <v>12432.432432432433</v>
      </c>
      <c r="V70" s="200">
        <f>$V12/'[6]Gas Curve Summary'!$B$24*1000</f>
        <v>13031.914893617022</v>
      </c>
      <c r="W70" s="202">
        <f>W12/AVERAGE('[6]Gas Curve Summary'!$B$13:$B$24)*1000</f>
        <v>13232.07620028318</v>
      </c>
      <c r="X70" s="200">
        <f>X12/AVERAGE('[6]Gas Curve Summary'!$B$25:$B$36)*1000</f>
        <v>9357.2600569564147</v>
      </c>
      <c r="Y70" s="200">
        <f>Y12/AVERAGE('[6]Gas Curve Summary'!$B$37:$B$48)*1000</f>
        <v>7895.3747329828648</v>
      </c>
      <c r="Z70" s="200">
        <f>Z12/AVERAGE('[6]Gas Curve Summary'!$B$49:$B$60)*1000</f>
        <v>7126.9423844755584</v>
      </c>
      <c r="AA70" s="200">
        <f>AA12/AVERAGE('[6]Gas Curve Summary'!$B$61:$B$108)*1000</f>
        <v>9395.9760328479497</v>
      </c>
      <c r="AB70" s="200">
        <f>AB12/AVERAGE('[6]Gas Curve Summary'!$B$109:$B$120)*1000</f>
        <v>9907.8702371819436</v>
      </c>
      <c r="AC70" s="201">
        <f ca="1">AC12/AVERAGE('[6]Gas Curve Summary'!$B$9:$B$120)*1000</f>
        <v>9256.0568038393485</v>
      </c>
    </row>
    <row r="71" spans="1:31" ht="13.7" customHeight="1" x14ac:dyDescent="0.2">
      <c r="A71" s="165" t="s">
        <v>141</v>
      </c>
      <c r="B71" s="131" t="s">
        <v>174</v>
      </c>
      <c r="C71" s="200">
        <f>C13/('[6]Gas Curve Summary'!$B$10)*1000</f>
        <v>4594.6322436849923</v>
      </c>
      <c r="D71" s="200">
        <f ca="1">D13/('[6]Gas Curve Summary'!$B$11)*1000</f>
        <v>5336.3320384379476</v>
      </c>
      <c r="E71" s="200">
        <f>E13/('[6]Gas Curve Summary'!$B$12)*1000</f>
        <v>7972.177635098983</v>
      </c>
      <c r="F71" s="202">
        <f t="shared" ca="1" si="27"/>
        <v>5967.7139724073068</v>
      </c>
      <c r="G71" s="200">
        <f t="shared" si="28"/>
        <v>9844.1248799044679</v>
      </c>
      <c r="H71" s="200">
        <f>$H13/'[6]Gas Curve Summary'!$B$13*1000</f>
        <v>9820.8673790069151</v>
      </c>
      <c r="I71" s="200">
        <f>$I13/'[6]Gas Curve Summary'!$B$14*1000</f>
        <v>9867.3823808020206</v>
      </c>
      <c r="J71" s="200">
        <f t="shared" si="29"/>
        <v>14704.989463909424</v>
      </c>
      <c r="K71" s="200">
        <f>$K13/'[6]Gas Curve Summary'!$B$15*1000</f>
        <v>13289.760348583877</v>
      </c>
      <c r="L71" s="200">
        <f>$L13/'[6]Gas Curve Summary'!$B$16*1000</f>
        <v>16120.218579234972</v>
      </c>
      <c r="M71" s="200">
        <f>$M13/'[6]Gas Curve Summary'!$B$17*1000</f>
        <v>14116.37931034483</v>
      </c>
      <c r="N71" s="200">
        <f>$N13/'[6]Gas Curve Summary'!$B$18*1000</f>
        <v>13950.892857142855</v>
      </c>
      <c r="O71" s="200">
        <f t="shared" si="30"/>
        <v>17212.465637277102</v>
      </c>
      <c r="P71" s="200">
        <f>$P13/'[6]Gas Curve Summary'!$B$19*1000</f>
        <v>16159.695817490494</v>
      </c>
      <c r="Q71" s="200">
        <f>$Q13/'[6]Gas Curve Summary'!$B$20*1000</f>
        <v>18265.235457063711</v>
      </c>
      <c r="R71" s="200">
        <f>$R13/'[6]Gas Curve Summary'!$B$21*1000</f>
        <v>13825.290595280028</v>
      </c>
      <c r="S71" s="200">
        <f t="shared" si="31"/>
        <v>12760.843048077091</v>
      </c>
      <c r="T71" s="200">
        <f>$T13/'[6]Gas Curve Summary'!$B$22*1000</f>
        <v>12818.181818181818</v>
      </c>
      <c r="U71" s="200">
        <f>$U13/'[6]Gas Curve Summary'!$B$23*1000</f>
        <v>12432.432432432433</v>
      </c>
      <c r="V71" s="200">
        <f>$V13/'[6]Gas Curve Summary'!$B$24*1000</f>
        <v>13031.914893617022</v>
      </c>
      <c r="W71" s="202">
        <f>W13/AVERAGE('[6]Gas Curve Summary'!$B$13:$B$24)*1000</f>
        <v>13515.615510542988</v>
      </c>
      <c r="X71" s="200">
        <f>X13/AVERAGE('[6]Gas Curve Summary'!$B$25:$B$36)*1000</f>
        <v>12995.618253713796</v>
      </c>
      <c r="Y71" s="200">
        <f>Y13/AVERAGE('[6]Gas Curve Summary'!$B$37:$B$48)*1000</f>
        <v>12228.602016957799</v>
      </c>
      <c r="Z71" s="200">
        <f>Z13/AVERAGE('[6]Gas Curve Summary'!$B$49:$B$60)*1000</f>
        <v>12016.923547058397</v>
      </c>
      <c r="AA71" s="200">
        <f>AA13/AVERAGE('[6]Gas Curve Summary'!$B$61:$B$108)*1000</f>
        <v>11395.711994767491</v>
      </c>
      <c r="AB71" s="200">
        <f>AB13/AVERAGE('[6]Gas Curve Summary'!$B$109:$B$120)*1000</f>
        <v>10821.426288198438</v>
      </c>
      <c r="AC71" s="201">
        <f ca="1">AC13/AVERAGE('[6]Gas Curve Summary'!$B$9:$B$120)*1000</f>
        <v>11571.53721987061</v>
      </c>
    </row>
    <row r="72" spans="1:31" ht="13.7" customHeight="1" x14ac:dyDescent="0.2">
      <c r="A72" s="165" t="s">
        <v>142</v>
      </c>
      <c r="B72" s="131" t="s">
        <v>174</v>
      </c>
      <c r="C72" s="200">
        <f>C14/('[6]Gas Curve Summary'!$B$10)*1000</f>
        <v>4575.2847944527011</v>
      </c>
      <c r="D72" s="200">
        <f ca="1">D14/('[6]Gas Curve Summary'!$B$11)*1000</f>
        <v>5162.543447147822</v>
      </c>
      <c r="E72" s="200">
        <f>E14/('[6]Gas Curve Summary'!$B$12)*1000</f>
        <v>7891.9208132691283</v>
      </c>
      <c r="F72" s="202">
        <f t="shared" ca="1" si="27"/>
        <v>5876.5830182898835</v>
      </c>
      <c r="G72" s="200">
        <f t="shared" si="28"/>
        <v>9174.4452980601927</v>
      </c>
      <c r="H72" s="200">
        <f>$H14/'[6]Gas Curve Summary'!$B$13*1000</f>
        <v>9270.8988057825281</v>
      </c>
      <c r="I72" s="200">
        <f>$I14/'[6]Gas Curve Summary'!$B$14*1000</f>
        <v>9077.9917903378573</v>
      </c>
      <c r="J72" s="200">
        <f t="shared" si="29"/>
        <v>14323.725847351692</v>
      </c>
      <c r="K72" s="200">
        <f>$K14/'[6]Gas Curve Summary'!$B$15*1000</f>
        <v>12527.233115468411</v>
      </c>
      <c r="L72" s="200">
        <f>$L14/'[6]Gas Curve Summary'!$B$16*1000</f>
        <v>16120.218579234972</v>
      </c>
      <c r="M72" s="200">
        <f>$M14/'[6]Gas Curve Summary'!$B$17*1000</f>
        <v>14008.620689655172</v>
      </c>
      <c r="N72" s="200">
        <f>$N14/'[6]Gas Curve Summary'!$B$18*1000</f>
        <v>15438.988095238095</v>
      </c>
      <c r="O72" s="200">
        <f t="shared" si="30"/>
        <v>18164.008452918639</v>
      </c>
      <c r="P72" s="200">
        <f>$P14/'[6]Gas Curve Summary'!$B$19*1000</f>
        <v>16937.435188385756</v>
      </c>
      <c r="Q72" s="200">
        <f>$Q14/'[6]Gas Curve Summary'!$B$20*1000</f>
        <v>19390.581717451521</v>
      </c>
      <c r="R72" s="200">
        <f>$R14/'[6]Gas Curve Summary'!$B$21*1000</f>
        <v>16379.00669249736</v>
      </c>
      <c r="S72" s="200">
        <f t="shared" si="31"/>
        <v>11685.997409401665</v>
      </c>
      <c r="T72" s="200">
        <f>$T14/'[6]Gas Curve Summary'!$B$22*1000</f>
        <v>12181.818181818182</v>
      </c>
      <c r="U72" s="200">
        <f>$U14/'[6]Gas Curve Summary'!$B$23*1000</f>
        <v>11351.351351351352</v>
      </c>
      <c r="V72" s="200">
        <f>$V14/'[6]Gas Curve Summary'!$B$24*1000</f>
        <v>11524.822695035462</v>
      </c>
      <c r="W72" s="202">
        <f>W14/AVERAGE('[6]Gas Curve Summary'!$B$13:$B$24)*1000</f>
        <v>13552.961481075929</v>
      </c>
      <c r="X72" s="200">
        <f>X14/AVERAGE('[6]Gas Curve Summary'!$B$25:$B$36)*1000</f>
        <v>12191.250337903677</v>
      </c>
      <c r="Y72" s="200">
        <f>Y14/AVERAGE('[6]Gas Curve Summary'!$B$37:$B$48)*1000</f>
        <v>11389.327394569258</v>
      </c>
      <c r="Z72" s="200">
        <f>Z14/AVERAGE('[6]Gas Curve Summary'!$B$49:$B$60)*1000</f>
        <v>11284.694634420679</v>
      </c>
      <c r="AA72" s="200">
        <f>AA14/AVERAGE('[6]Gas Curve Summary'!$B$61:$B$108)*1000</f>
        <v>10703.296924224425</v>
      </c>
      <c r="AB72" s="200">
        <f>AB14/AVERAGE('[6]Gas Curve Summary'!$B$109:$B$120)*1000</f>
        <v>10168.436740825979</v>
      </c>
      <c r="AC72" s="201">
        <f ca="1">AC14/AVERAGE('[6]Gas Curve Summary'!$B$9:$B$120)*1000</f>
        <v>10945.647434988208</v>
      </c>
    </row>
    <row r="73" spans="1:31" ht="13.7" customHeight="1" thickBot="1" x14ac:dyDescent="0.25">
      <c r="A73" s="170" t="s">
        <v>143</v>
      </c>
      <c r="B73" s="171" t="s">
        <v>174</v>
      </c>
      <c r="C73" s="203">
        <f>C15/('[6]Gas Curve Summary'!$B$10)*1000</f>
        <v>4761.0203070827156</v>
      </c>
      <c r="D73" s="203">
        <f ca="1">D15/('[6]Gas Curve Summary'!$B$11)*1000</f>
        <v>5367.0006133714987</v>
      </c>
      <c r="E73" s="203">
        <f>E15/('[6]Gas Curve Summary'!$B$12)*1000</f>
        <v>8426.9662921348317</v>
      </c>
      <c r="F73" s="204">
        <f t="shared" ca="1" si="27"/>
        <v>6184.9957375296826</v>
      </c>
      <c r="G73" s="203">
        <f t="shared" si="28"/>
        <v>9607.4937627723994</v>
      </c>
      <c r="H73" s="203">
        <f>$H15/'[6]Gas Curve Summary'!$B$13*1000</f>
        <v>9742.3004399748588</v>
      </c>
      <c r="I73" s="203">
        <f>$I15/'[6]Gas Curve Summary'!$B$14*1000</f>
        <v>9472.6870855699399</v>
      </c>
      <c r="J73" s="203">
        <f t="shared" si="29"/>
        <v>15142.505089467479</v>
      </c>
      <c r="K73" s="203">
        <f>$K15/'[6]Gas Curve Summary'!$B$15*1000</f>
        <v>13071.895424836601</v>
      </c>
      <c r="L73" s="203">
        <f>$L15/'[6]Gas Curve Summary'!$B$16*1000</f>
        <v>17213.114754098358</v>
      </c>
      <c r="M73" s="203">
        <f>$M15/'[6]Gas Curve Summary'!$B$17*1000</f>
        <v>15301.724137931036</v>
      </c>
      <c r="N73" s="203">
        <f>$N15/'[6]Gas Curve Summary'!$B$18*1000</f>
        <v>17299.107142857141</v>
      </c>
      <c r="O73" s="203">
        <f t="shared" si="30"/>
        <v>21105.127191147221</v>
      </c>
      <c r="P73" s="203">
        <f>$P15/'[6]Gas Curve Summary'!$B$19*1000</f>
        <v>19357.068786726581</v>
      </c>
      <c r="Q73" s="203">
        <f>$Q15/'[6]Gas Curve Summary'!$B$20*1000</f>
        <v>22853.185595567866</v>
      </c>
      <c r="R73" s="203">
        <f>$R15/'[6]Gas Curve Summary'!$B$21*1000</f>
        <v>18844.663613948571</v>
      </c>
      <c r="S73" s="203">
        <f t="shared" si="31"/>
        <v>12465.674572057551</v>
      </c>
      <c r="T73" s="203">
        <f>$T15/'[6]Gas Curve Summary'!$B$22*1000</f>
        <v>13090.909090909092</v>
      </c>
      <c r="U73" s="203">
        <f>$U15/'[6]Gas Curve Summary'!$B$23*1000</f>
        <v>12072.072072072073</v>
      </c>
      <c r="V73" s="203">
        <f>$V15/'[6]Gas Curve Summary'!$B$24*1000</f>
        <v>12234.04255319149</v>
      </c>
      <c r="W73" s="204">
        <f>W15/AVERAGE('[6]Gas Curve Summary'!$B$13:$B$24)*1000</f>
        <v>14927.510746031086</v>
      </c>
      <c r="X73" s="203">
        <f>X15/AVERAGE('[6]Gas Curve Summary'!$B$25:$B$36)*1000</f>
        <v>13260.597602298372</v>
      </c>
      <c r="Y73" s="203">
        <f>Y15/AVERAGE('[6]Gas Curve Summary'!$B$37:$B$48)*1000</f>
        <v>12351.124375697527</v>
      </c>
      <c r="Z73" s="203">
        <f>Z15/AVERAGE('[6]Gas Curve Summary'!$B$49:$B$60)*1000</f>
        <v>12250.295186487561</v>
      </c>
      <c r="AA73" s="203">
        <f>AA15/AVERAGE('[6]Gas Curve Summary'!$B$61:$B$108)*1000</f>
        <v>11567.575319543039</v>
      </c>
      <c r="AB73" s="203">
        <f>AB15/AVERAGE('[6]Gas Curve Summary'!$B$109:$B$120)*1000</f>
        <v>10932.055923155605</v>
      </c>
      <c r="AC73" s="205">
        <f ca="1">AC15/AVERAGE('[6]Gas Curve Summary'!$B$9:$B$120)*1000</f>
        <v>11861.507448133994</v>
      </c>
    </row>
    <row r="74" spans="1:31" ht="13.5" customHeight="1" x14ac:dyDescent="0.2">
      <c r="A74" s="174"/>
      <c r="B74" s="175"/>
      <c r="C74" s="206"/>
      <c r="D74" s="206"/>
      <c r="E74" s="206"/>
      <c r="F74" s="206"/>
      <c r="G74" s="206"/>
      <c r="H74" s="206"/>
      <c r="I74" s="206"/>
      <c r="J74" s="206"/>
      <c r="K74" s="206"/>
      <c r="L74" s="206"/>
      <c r="M74" s="206"/>
      <c r="N74" s="206"/>
      <c r="O74" s="206"/>
      <c r="P74" s="206"/>
      <c r="Q74" s="206"/>
      <c r="R74" s="206"/>
      <c r="S74" s="206"/>
      <c r="T74" s="206"/>
      <c r="U74" s="206"/>
      <c r="V74" s="206"/>
      <c r="W74" s="206"/>
      <c r="X74" s="206"/>
      <c r="Y74" s="206"/>
      <c r="Z74" s="206"/>
      <c r="AA74" s="206"/>
      <c r="AB74" s="207"/>
      <c r="AC74" s="206"/>
    </row>
    <row r="75" spans="1:31" ht="13.7" hidden="1" customHeight="1" x14ac:dyDescent="0.2">
      <c r="A75" s="186"/>
      <c r="B75" s="142"/>
      <c r="C75" s="200"/>
      <c r="D75" s="200"/>
      <c r="E75" s="200"/>
      <c r="F75" s="200"/>
      <c r="G75" s="200"/>
      <c r="H75" s="200"/>
      <c r="I75" s="200"/>
      <c r="J75" s="200"/>
      <c r="K75" s="200"/>
      <c r="L75" s="200"/>
      <c r="M75" s="200"/>
      <c r="N75" s="200"/>
      <c r="O75" s="200"/>
      <c r="P75" s="200"/>
      <c r="Q75" s="200"/>
      <c r="R75" s="200"/>
      <c r="S75" s="200"/>
      <c r="T75" s="200"/>
      <c r="U75" s="200"/>
      <c r="V75" s="200"/>
      <c r="W75" s="200"/>
      <c r="X75" s="200"/>
      <c r="Y75" s="200"/>
      <c r="Z75" s="200"/>
      <c r="AA75" s="200"/>
      <c r="AB75" s="208"/>
      <c r="AC75" s="200"/>
    </row>
    <row r="76" spans="1:31" ht="13.7" hidden="1" customHeight="1" x14ac:dyDescent="0.2">
      <c r="A76" s="186"/>
      <c r="B76" s="142"/>
      <c r="C76" s="200"/>
      <c r="D76" s="200"/>
      <c r="E76" s="200"/>
      <c r="F76" s="200"/>
      <c r="G76" s="200"/>
      <c r="H76" s="200"/>
      <c r="I76" s="200"/>
      <c r="J76" s="200"/>
      <c r="K76" s="200"/>
      <c r="L76" s="200"/>
      <c r="M76" s="200"/>
      <c r="N76" s="200"/>
      <c r="O76" s="200"/>
      <c r="P76" s="200"/>
      <c r="Q76" s="200"/>
      <c r="R76" s="200"/>
      <c r="S76" s="200"/>
      <c r="T76" s="200"/>
      <c r="U76" s="200"/>
      <c r="V76" s="200"/>
      <c r="W76" s="200"/>
      <c r="X76" s="200"/>
      <c r="Y76" s="200"/>
      <c r="Z76" s="200"/>
      <c r="AA76" s="200"/>
      <c r="AB76" s="208"/>
      <c r="AC76" s="200"/>
    </row>
    <row r="77" spans="1:31" ht="13.7" hidden="1" customHeight="1" x14ac:dyDescent="0.2">
      <c r="A77" s="186"/>
      <c r="B77" s="142"/>
      <c r="C77" s="200"/>
      <c r="D77" s="200"/>
      <c r="E77" s="200"/>
      <c r="F77" s="200"/>
      <c r="G77" s="200"/>
      <c r="H77" s="200"/>
      <c r="I77" s="200"/>
      <c r="J77" s="200"/>
      <c r="K77" s="200"/>
      <c r="L77" s="200"/>
      <c r="M77" s="200"/>
      <c r="N77" s="200"/>
      <c r="O77" s="200"/>
      <c r="P77" s="200"/>
      <c r="Q77" s="200"/>
      <c r="R77" s="200"/>
      <c r="S77" s="200"/>
      <c r="T77" s="200"/>
      <c r="U77" s="200"/>
      <c r="V77" s="200"/>
      <c r="W77" s="200"/>
      <c r="X77" s="200"/>
      <c r="Y77" s="200"/>
      <c r="Z77" s="200"/>
      <c r="AA77" s="200"/>
      <c r="AB77" s="208"/>
      <c r="AC77" s="200"/>
    </row>
    <row r="78" spans="1:31" ht="13.7" hidden="1" customHeight="1" x14ac:dyDescent="0.2">
      <c r="A78" s="186"/>
      <c r="B78" s="142"/>
      <c r="C78" s="200"/>
      <c r="D78" s="200"/>
      <c r="E78" s="200"/>
      <c r="F78" s="200"/>
      <c r="G78" s="200"/>
      <c r="H78" s="200"/>
      <c r="I78" s="200"/>
      <c r="J78" s="200"/>
      <c r="K78" s="200"/>
      <c r="L78" s="200"/>
      <c r="M78" s="200"/>
      <c r="N78" s="200"/>
      <c r="O78" s="200"/>
      <c r="P78" s="200"/>
      <c r="Q78" s="200"/>
      <c r="R78" s="200"/>
      <c r="S78" s="200"/>
      <c r="T78" s="200"/>
      <c r="U78" s="200"/>
      <c r="V78" s="200"/>
      <c r="W78" s="200"/>
      <c r="X78" s="200"/>
      <c r="Y78" s="200"/>
      <c r="Z78" s="200"/>
      <c r="AA78" s="200"/>
      <c r="AB78" s="208"/>
      <c r="AC78" s="200"/>
    </row>
    <row r="79" spans="1:31" ht="13.7" hidden="1" customHeight="1" x14ac:dyDescent="0.2">
      <c r="A79" s="186"/>
      <c r="B79" s="142"/>
      <c r="C79" s="200"/>
      <c r="D79" s="200"/>
      <c r="E79" s="200"/>
      <c r="F79" s="200"/>
      <c r="G79" s="200"/>
      <c r="H79" s="200"/>
      <c r="I79" s="200"/>
      <c r="J79" s="200"/>
      <c r="K79" s="200"/>
      <c r="L79" s="200"/>
      <c r="M79" s="200"/>
      <c r="N79" s="200"/>
      <c r="O79" s="200"/>
      <c r="P79" s="200"/>
      <c r="Q79" s="200"/>
      <c r="R79" s="200"/>
      <c r="S79" s="200"/>
      <c r="T79" s="200"/>
      <c r="U79" s="200"/>
      <c r="V79" s="200"/>
      <c r="W79" s="200"/>
      <c r="X79" s="200"/>
      <c r="Y79" s="200"/>
      <c r="Z79" s="200"/>
      <c r="AA79" s="200"/>
      <c r="AB79" s="208"/>
      <c r="AC79" s="200"/>
    </row>
    <row r="80" spans="1:31" ht="13.7" hidden="1" customHeight="1" x14ac:dyDescent="0.2">
      <c r="A80" s="186"/>
      <c r="B80" s="142"/>
      <c r="C80" s="200"/>
      <c r="D80" s="200"/>
      <c r="E80" s="200"/>
      <c r="F80" s="200"/>
      <c r="G80" s="200"/>
      <c r="H80" s="200"/>
      <c r="I80" s="200"/>
      <c r="J80" s="200"/>
      <c r="K80" s="200"/>
      <c r="L80" s="200"/>
      <c r="M80" s="200"/>
      <c r="N80" s="200"/>
      <c r="O80" s="200"/>
      <c r="P80" s="200"/>
      <c r="Q80" s="200"/>
      <c r="R80" s="200"/>
      <c r="S80" s="200"/>
      <c r="T80" s="200"/>
      <c r="U80" s="200"/>
      <c r="V80" s="200"/>
      <c r="W80" s="200"/>
      <c r="X80" s="200"/>
      <c r="Y80" s="200"/>
      <c r="Z80" s="200"/>
      <c r="AA80" s="200"/>
      <c r="AB80" s="208"/>
      <c r="AC80" s="200"/>
    </row>
    <row r="81" spans="1:29" ht="13.7" hidden="1" customHeight="1" x14ac:dyDescent="0.2">
      <c r="A81" s="186"/>
      <c r="B81" s="142"/>
      <c r="C81" s="200"/>
      <c r="D81" s="200"/>
      <c r="E81" s="200"/>
      <c r="F81" s="200"/>
      <c r="G81" s="200"/>
      <c r="H81" s="200"/>
      <c r="I81" s="200"/>
      <c r="J81" s="200"/>
      <c r="K81" s="200"/>
      <c r="L81" s="200"/>
      <c r="M81" s="200"/>
      <c r="N81" s="200"/>
      <c r="O81" s="200"/>
      <c r="P81" s="200"/>
      <c r="Q81" s="200"/>
      <c r="R81" s="200"/>
      <c r="S81" s="200"/>
      <c r="T81" s="200"/>
      <c r="U81" s="200"/>
      <c r="V81" s="200"/>
      <c r="W81" s="200"/>
      <c r="X81" s="200"/>
      <c r="Y81" s="200"/>
      <c r="Z81" s="200"/>
      <c r="AA81" s="200"/>
      <c r="AB81" s="208"/>
      <c r="AC81" s="200"/>
    </row>
    <row r="82" spans="1:29" ht="13.7" hidden="1" customHeight="1" x14ac:dyDescent="0.2">
      <c r="A82" s="186"/>
      <c r="B82" s="142"/>
      <c r="C82" s="200"/>
      <c r="D82" s="200"/>
      <c r="E82" s="200"/>
      <c r="F82" s="200"/>
      <c r="G82" s="200"/>
      <c r="H82" s="200"/>
      <c r="I82" s="200"/>
      <c r="J82" s="200"/>
      <c r="K82" s="200"/>
      <c r="L82" s="200"/>
      <c r="M82" s="200"/>
      <c r="N82" s="200"/>
      <c r="O82" s="200"/>
      <c r="P82" s="200"/>
      <c r="Q82" s="200"/>
      <c r="R82" s="200"/>
      <c r="S82" s="200"/>
      <c r="T82" s="200"/>
      <c r="U82" s="200"/>
      <c r="V82" s="200"/>
      <c r="W82" s="200"/>
      <c r="X82" s="200"/>
      <c r="Y82" s="200"/>
      <c r="Z82" s="200"/>
      <c r="AA82" s="200"/>
      <c r="AB82" s="208"/>
      <c r="AC82" s="200"/>
    </row>
    <row r="83" spans="1:29" ht="13.7" hidden="1" customHeight="1" x14ac:dyDescent="0.2">
      <c r="A83" s="186"/>
      <c r="B83" s="186"/>
      <c r="C83" s="200"/>
      <c r="D83" s="200"/>
      <c r="E83" s="200"/>
      <c r="F83" s="200"/>
      <c r="G83" s="200"/>
      <c r="H83" s="200"/>
      <c r="I83" s="200"/>
      <c r="J83" s="200"/>
      <c r="K83" s="200"/>
      <c r="L83" s="200"/>
      <c r="M83" s="200"/>
      <c r="N83" s="200"/>
      <c r="O83" s="200"/>
      <c r="P83" s="200"/>
      <c r="Q83" s="200"/>
      <c r="R83" s="200"/>
      <c r="S83" s="200"/>
      <c r="T83" s="200"/>
      <c r="U83" s="200"/>
      <c r="V83" s="200"/>
      <c r="W83" s="200"/>
      <c r="X83" s="200"/>
      <c r="Y83" s="200"/>
      <c r="Z83" s="200"/>
      <c r="AA83" s="200"/>
      <c r="AB83" s="208"/>
      <c r="AC83" s="200"/>
    </row>
    <row r="84" spans="1:29" ht="13.5" hidden="1" customHeight="1" x14ac:dyDescent="0.2">
      <c r="A84" s="186"/>
      <c r="B84" s="186"/>
      <c r="C84" s="200"/>
      <c r="D84" s="200"/>
      <c r="E84" s="200"/>
      <c r="F84" s="200"/>
      <c r="G84" s="209"/>
      <c r="H84" s="200"/>
      <c r="I84" s="200"/>
      <c r="J84" s="209"/>
      <c r="K84" s="200"/>
      <c r="L84" s="200"/>
      <c r="M84" s="200"/>
      <c r="N84" s="200"/>
      <c r="O84" s="209"/>
      <c r="P84" s="200"/>
      <c r="Q84" s="200"/>
      <c r="R84" s="200"/>
      <c r="S84" s="209"/>
      <c r="T84" s="200"/>
      <c r="U84" s="200"/>
      <c r="V84" s="200"/>
      <c r="W84" s="200"/>
      <c r="X84" s="200"/>
      <c r="Y84" s="200"/>
      <c r="Z84" s="200"/>
      <c r="AA84" s="200"/>
      <c r="AB84" s="200"/>
      <c r="AC84" s="200"/>
    </row>
    <row r="85" spans="1:29" ht="12" customHeight="1" x14ac:dyDescent="0.2">
      <c r="C85" s="209"/>
      <c r="D85" s="209"/>
      <c r="E85" s="209"/>
      <c r="F85" s="209"/>
      <c r="G85" s="209"/>
      <c r="H85" s="209"/>
      <c r="I85" s="209"/>
      <c r="J85" s="209"/>
      <c r="K85" s="209"/>
      <c r="L85" s="209"/>
      <c r="M85" s="209"/>
      <c r="N85" s="209"/>
      <c r="O85" s="209"/>
      <c r="P85" s="209"/>
      <c r="Q85" s="209"/>
      <c r="R85" s="209"/>
      <c r="S85" s="209"/>
      <c r="T85" s="209"/>
      <c r="U85" s="209"/>
      <c r="V85" s="209"/>
      <c r="W85" s="209"/>
      <c r="X85" s="209"/>
      <c r="Y85" s="209"/>
      <c r="Z85" s="209"/>
      <c r="AA85" s="209"/>
      <c r="AB85" s="209"/>
      <c r="AC85" s="209"/>
    </row>
    <row r="86" spans="1:29" ht="17.25" customHeight="1" thickBot="1" x14ac:dyDescent="0.3">
      <c r="A86" s="176" t="s">
        <v>88</v>
      </c>
      <c r="B86" s="183"/>
      <c r="C86" s="210"/>
      <c r="D86" s="210"/>
      <c r="E86" s="210"/>
      <c r="F86" s="210"/>
      <c r="G86" s="210"/>
      <c r="H86" s="210"/>
      <c r="I86" s="210"/>
      <c r="J86" s="210"/>
      <c r="K86" s="210"/>
      <c r="L86" s="210"/>
      <c r="M86" s="210"/>
      <c r="N86" s="210"/>
      <c r="O86" s="210"/>
      <c r="P86" s="210"/>
      <c r="Q86" s="210"/>
      <c r="R86" s="210"/>
      <c r="S86" s="210"/>
      <c r="T86" s="210"/>
      <c r="U86" s="210"/>
      <c r="V86" s="210"/>
      <c r="W86" s="210"/>
      <c r="X86" s="210"/>
      <c r="Y86" s="210"/>
      <c r="Z86" s="210"/>
      <c r="AA86" s="210"/>
      <c r="AB86" s="210"/>
      <c r="AC86" s="210"/>
    </row>
    <row r="87" spans="1:29" x14ac:dyDescent="0.2">
      <c r="A87" s="160" t="s">
        <v>137</v>
      </c>
      <c r="B87" s="142"/>
      <c r="C87" s="200">
        <f t="shared" ref="C87:AC93" si="32">C67-C107</f>
        <v>-72.359460128775027</v>
      </c>
      <c r="D87" s="200">
        <f t="shared" ca="1" si="32"/>
        <v>357.80004089143313</v>
      </c>
      <c r="E87" s="200">
        <f t="shared" si="32"/>
        <v>494.91706795077698</v>
      </c>
      <c r="F87" s="202">
        <f t="shared" ca="1" si="32"/>
        <v>260.11921623781109</v>
      </c>
      <c r="G87" s="200">
        <f t="shared" si="32"/>
        <v>354.29546567297075</v>
      </c>
      <c r="H87" s="200">
        <f t="shared" si="32"/>
        <v>392.83469516027617</v>
      </c>
      <c r="I87" s="200">
        <f t="shared" si="32"/>
        <v>315.75623618566169</v>
      </c>
      <c r="J87" s="200">
        <f t="shared" si="32"/>
        <v>0</v>
      </c>
      <c r="K87" s="200">
        <f t="shared" si="32"/>
        <v>0</v>
      </c>
      <c r="L87" s="200">
        <f t="shared" si="32"/>
        <v>0</v>
      </c>
      <c r="M87" s="200">
        <f t="shared" si="32"/>
        <v>-264.36021407285443</v>
      </c>
      <c r="N87" s="200">
        <f t="shared" si="32"/>
        <v>-109.64912280701719</v>
      </c>
      <c r="O87" s="200">
        <f t="shared" si="32"/>
        <v>187.96801754870285</v>
      </c>
      <c r="P87" s="200">
        <f t="shared" si="32"/>
        <v>273.59899419340763</v>
      </c>
      <c r="Q87" s="200">
        <f t="shared" si="32"/>
        <v>102.33704090399988</v>
      </c>
      <c r="R87" s="200">
        <f t="shared" si="32"/>
        <v>342.30405017579142</v>
      </c>
      <c r="S87" s="200">
        <f t="shared" si="32"/>
        <v>91.056161402811995</v>
      </c>
      <c r="T87" s="200">
        <f t="shared" si="32"/>
        <v>109.52663893840327</v>
      </c>
      <c r="U87" s="200">
        <f t="shared" si="32"/>
        <v>119.78549361726982</v>
      </c>
      <c r="V87" s="200">
        <f t="shared" si="32"/>
        <v>43.856351652759258</v>
      </c>
      <c r="W87" s="202">
        <f t="shared" si="32"/>
        <v>127.24693615167234</v>
      </c>
      <c r="X87" s="200">
        <f t="shared" si="32"/>
        <v>169.12645084954056</v>
      </c>
      <c r="Y87" s="200">
        <f t="shared" si="32"/>
        <v>128.15734538572906</v>
      </c>
      <c r="Z87" s="206">
        <f t="shared" si="32"/>
        <v>129.66015523792521</v>
      </c>
      <c r="AA87" s="206">
        <f t="shared" si="32"/>
        <v>137.1971781699649</v>
      </c>
      <c r="AB87" s="200">
        <f t="shared" si="32"/>
        <v>143.27230407943716</v>
      </c>
      <c r="AC87" s="211">
        <f t="shared" ca="1" si="32"/>
        <v>142.39048614291642</v>
      </c>
    </row>
    <row r="88" spans="1:29" x14ac:dyDescent="0.2">
      <c r="A88" s="165" t="s">
        <v>138</v>
      </c>
      <c r="B88" s="166"/>
      <c r="C88" s="200">
        <f t="shared" si="32"/>
        <v>-32.890663694898649</v>
      </c>
      <c r="D88" s="200">
        <f t="shared" ca="1" si="32"/>
        <v>357.80004089143313</v>
      </c>
      <c r="E88" s="200">
        <f t="shared" si="32"/>
        <v>361.15569823434816</v>
      </c>
      <c r="F88" s="202">
        <f t="shared" ca="1" si="32"/>
        <v>228.68835847696027</v>
      </c>
      <c r="G88" s="200">
        <f t="shared" si="32"/>
        <v>260.12677483881089</v>
      </c>
      <c r="H88" s="200">
        <f t="shared" si="32"/>
        <v>157.13387806410901</v>
      </c>
      <c r="I88" s="200">
        <f t="shared" si="32"/>
        <v>363.11967161351276</v>
      </c>
      <c r="J88" s="200">
        <f t="shared" si="32"/>
        <v>0</v>
      </c>
      <c r="K88" s="200">
        <f t="shared" si="32"/>
        <v>0</v>
      </c>
      <c r="L88" s="200">
        <f t="shared" si="32"/>
        <v>0</v>
      </c>
      <c r="M88" s="200">
        <f t="shared" si="32"/>
        <v>-289.06677613573993</v>
      </c>
      <c r="N88" s="200">
        <f t="shared" si="32"/>
        <v>-119.43922305764499</v>
      </c>
      <c r="O88" s="200">
        <f t="shared" si="32"/>
        <v>183.45970920203763</v>
      </c>
      <c r="P88" s="200">
        <f t="shared" si="32"/>
        <v>268.19427306140278</v>
      </c>
      <c r="Q88" s="200">
        <f t="shared" si="32"/>
        <v>98.725145342676115</v>
      </c>
      <c r="R88" s="200">
        <f t="shared" si="32"/>
        <v>341.43494304803244</v>
      </c>
      <c r="S88" s="200">
        <f t="shared" si="32"/>
        <v>60.161703784015117</v>
      </c>
      <c r="T88" s="200">
        <f t="shared" si="32"/>
        <v>108.86644219977643</v>
      </c>
      <c r="U88" s="200">
        <f t="shared" si="32"/>
        <v>29.015356118161435</v>
      </c>
      <c r="V88" s="200">
        <f t="shared" si="32"/>
        <v>42.603313034107487</v>
      </c>
      <c r="W88" s="202">
        <f t="shared" si="32"/>
        <v>99.306556617715614</v>
      </c>
      <c r="X88" s="200">
        <f t="shared" si="32"/>
        <v>164.37680098612509</v>
      </c>
      <c r="Y88" s="200">
        <f t="shared" si="32"/>
        <v>122.29335963589801</v>
      </c>
      <c r="Z88" s="200">
        <f t="shared" si="32"/>
        <v>123.20474775426374</v>
      </c>
      <c r="AA88" s="200">
        <f t="shared" si="32"/>
        <v>133.67710150090534</v>
      </c>
      <c r="AB88" s="200">
        <f t="shared" si="32"/>
        <v>141.97734345491517</v>
      </c>
      <c r="AC88" s="201">
        <f t="shared" ca="1" si="32"/>
        <v>135.61550912694656</v>
      </c>
    </row>
    <row r="89" spans="1:29" x14ac:dyDescent="0.2">
      <c r="A89" s="165" t="s">
        <v>139</v>
      </c>
      <c r="B89" s="142"/>
      <c r="C89" s="200">
        <f t="shared" si="32"/>
        <v>45.969539375929344</v>
      </c>
      <c r="D89" s="200">
        <f t="shared" ca="1" si="32"/>
        <v>306.68574933551372</v>
      </c>
      <c r="E89" s="200">
        <f t="shared" si="32"/>
        <v>214.01819154627992</v>
      </c>
      <c r="F89" s="202">
        <f t="shared" ca="1" si="32"/>
        <v>188.89116008590827</v>
      </c>
      <c r="G89" s="200">
        <f t="shared" si="32"/>
        <v>393.76499519617755</v>
      </c>
      <c r="H89" s="200">
        <f t="shared" si="32"/>
        <v>392.83469516027617</v>
      </c>
      <c r="I89" s="200">
        <f t="shared" si="32"/>
        <v>394.69529523208075</v>
      </c>
      <c r="J89" s="200">
        <f t="shared" si="32"/>
        <v>408.9431765420195</v>
      </c>
      <c r="K89" s="200">
        <f t="shared" si="32"/>
        <v>544.66230936819193</v>
      </c>
      <c r="L89" s="200">
        <f t="shared" si="32"/>
        <v>273.22404371584707</v>
      </c>
      <c r="M89" s="200">
        <f t="shared" si="32"/>
        <v>-71.078878550140871</v>
      </c>
      <c r="N89" s="200">
        <f t="shared" si="32"/>
        <v>46.013471177944666</v>
      </c>
      <c r="O89" s="200">
        <f t="shared" si="32"/>
        <v>271.10837482334682</v>
      </c>
      <c r="P89" s="200">
        <f t="shared" si="32"/>
        <v>268.19427306140278</v>
      </c>
      <c r="Q89" s="200">
        <f t="shared" si="32"/>
        <v>274.02247658528722</v>
      </c>
      <c r="R89" s="200">
        <f t="shared" si="32"/>
        <v>341.80741753135953</v>
      </c>
      <c r="S89" s="200">
        <f t="shared" si="32"/>
        <v>301.22672651860921</v>
      </c>
      <c r="T89" s="200">
        <f t="shared" si="32"/>
        <v>291.74093879976317</v>
      </c>
      <c r="U89" s="200">
        <f t="shared" si="32"/>
        <v>300.87240367614322</v>
      </c>
      <c r="V89" s="200">
        <f t="shared" si="32"/>
        <v>311.06683707991942</v>
      </c>
      <c r="W89" s="202">
        <f t="shared" si="32"/>
        <v>286.96188534666544</v>
      </c>
      <c r="X89" s="200">
        <f t="shared" si="32"/>
        <v>292.50895637055692</v>
      </c>
      <c r="Y89" s="200">
        <f t="shared" si="32"/>
        <v>191.13840142223125</v>
      </c>
      <c r="Z89" s="200">
        <f t="shared" si="32"/>
        <v>199.11653470503552</v>
      </c>
      <c r="AA89" s="200">
        <f t="shared" si="32"/>
        <v>204.56667916977131</v>
      </c>
      <c r="AB89" s="200">
        <f t="shared" si="32"/>
        <v>207.1083615194857</v>
      </c>
      <c r="AC89" s="201">
        <f t="shared" ca="1" si="32"/>
        <v>218.89160606115911</v>
      </c>
    </row>
    <row r="90" spans="1:29" x14ac:dyDescent="0.2">
      <c r="A90" s="165" t="s">
        <v>140</v>
      </c>
      <c r="B90" s="142"/>
      <c r="C90" s="200">
        <f t="shared" si="32"/>
        <v>-50.690316988608174</v>
      </c>
      <c r="D90" s="200">
        <f t="shared" ca="1" si="32"/>
        <v>245.34859946841243</v>
      </c>
      <c r="E90" s="200">
        <f t="shared" si="32"/>
        <v>214.01819154628083</v>
      </c>
      <c r="F90" s="202">
        <f t="shared" ca="1" si="32"/>
        <v>136.22549134202927</v>
      </c>
      <c r="G90" s="200">
        <f t="shared" si="32"/>
        <v>236.25899711770944</v>
      </c>
      <c r="H90" s="200">
        <f t="shared" si="32"/>
        <v>235.70081709616716</v>
      </c>
      <c r="I90" s="200">
        <f t="shared" si="32"/>
        <v>236.81717713924991</v>
      </c>
      <c r="J90" s="200">
        <f t="shared" si="32"/>
        <v>300.01071466838039</v>
      </c>
      <c r="K90" s="200">
        <f t="shared" si="32"/>
        <v>326.7973856209137</v>
      </c>
      <c r="L90" s="200">
        <f t="shared" si="32"/>
        <v>273.22404371584707</v>
      </c>
      <c r="M90" s="200">
        <f t="shared" si="32"/>
        <v>-71.078878550140871</v>
      </c>
      <c r="N90" s="200">
        <f t="shared" si="32"/>
        <v>46.013471177944666</v>
      </c>
      <c r="O90" s="200">
        <f t="shared" si="32"/>
        <v>271.10837482334682</v>
      </c>
      <c r="P90" s="200">
        <f t="shared" si="32"/>
        <v>268.19427306140278</v>
      </c>
      <c r="Q90" s="200">
        <f t="shared" si="32"/>
        <v>274.02247658528722</v>
      </c>
      <c r="R90" s="200">
        <f t="shared" si="32"/>
        <v>342.73860373967</v>
      </c>
      <c r="S90" s="200">
        <f t="shared" si="32"/>
        <v>270.70363063603327</v>
      </c>
      <c r="T90" s="200">
        <f t="shared" si="32"/>
        <v>200.17165115204261</v>
      </c>
      <c r="U90" s="200">
        <f t="shared" si="32"/>
        <v>300.87240367614322</v>
      </c>
      <c r="V90" s="200">
        <f t="shared" si="32"/>
        <v>311.06683707991942</v>
      </c>
      <c r="W90" s="202">
        <f t="shared" si="32"/>
        <v>233.78315334469698</v>
      </c>
      <c r="X90" s="200">
        <f t="shared" si="32"/>
        <v>197.49770752484801</v>
      </c>
      <c r="Y90" s="200">
        <f t="shared" si="32"/>
        <v>72.301326784725461</v>
      </c>
      <c r="Z90" s="200">
        <f t="shared" si="32"/>
        <v>78.498128629333223</v>
      </c>
      <c r="AA90" s="200">
        <f t="shared" si="32"/>
        <v>90.828932241121947</v>
      </c>
      <c r="AB90" s="200">
        <f t="shared" si="32"/>
        <v>101.75397526758024</v>
      </c>
      <c r="AC90" s="201">
        <f t="shared" ca="1" si="32"/>
        <v>112.78594548781257</v>
      </c>
    </row>
    <row r="91" spans="1:29" x14ac:dyDescent="0.2">
      <c r="A91" s="165" t="s">
        <v>141</v>
      </c>
      <c r="B91" s="166"/>
      <c r="C91" s="200">
        <f t="shared" si="32"/>
        <v>6.9650817236251896</v>
      </c>
      <c r="D91" s="200">
        <f t="shared" ca="1" si="32"/>
        <v>245.34859946841243</v>
      </c>
      <c r="E91" s="200">
        <f t="shared" si="32"/>
        <v>214.01819154628083</v>
      </c>
      <c r="F91" s="202">
        <f t="shared" ca="1" si="32"/>
        <v>155.44395757943948</v>
      </c>
      <c r="G91" s="200">
        <f t="shared" si="32"/>
        <v>236.25899711770944</v>
      </c>
      <c r="H91" s="200">
        <f t="shared" si="32"/>
        <v>235.70081709616716</v>
      </c>
      <c r="I91" s="200">
        <f t="shared" si="32"/>
        <v>236.81717713924991</v>
      </c>
      <c r="J91" s="200">
        <f t="shared" si="32"/>
        <v>231.7047037394168</v>
      </c>
      <c r="K91" s="200">
        <f t="shared" si="32"/>
        <v>326.7973856209137</v>
      </c>
      <c r="L91" s="200">
        <f t="shared" si="32"/>
        <v>136.61202185792172</v>
      </c>
      <c r="M91" s="200">
        <f t="shared" si="32"/>
        <v>-213.426686127832</v>
      </c>
      <c r="N91" s="200">
        <f t="shared" si="32"/>
        <v>-52.866541353383582</v>
      </c>
      <c r="O91" s="200">
        <f t="shared" si="32"/>
        <v>267.36704752471633</v>
      </c>
      <c r="P91" s="200">
        <f t="shared" si="32"/>
        <v>263.23994535706879</v>
      </c>
      <c r="Q91" s="200">
        <f t="shared" si="32"/>
        <v>271.49414969236386</v>
      </c>
      <c r="R91" s="200">
        <f t="shared" si="32"/>
        <v>342.73860373967</v>
      </c>
      <c r="S91" s="200">
        <f t="shared" si="32"/>
        <v>211.30275389095004</v>
      </c>
      <c r="T91" s="200">
        <f t="shared" si="32"/>
        <v>200.17165115204261</v>
      </c>
      <c r="U91" s="200">
        <f t="shared" si="32"/>
        <v>211.00899605572704</v>
      </c>
      <c r="V91" s="200">
        <f t="shared" si="32"/>
        <v>222.72761446507866</v>
      </c>
      <c r="W91" s="202">
        <f t="shared" si="32"/>
        <v>194.83740171609497</v>
      </c>
      <c r="X91" s="200">
        <f t="shared" si="32"/>
        <v>255.11612914779835</v>
      </c>
      <c r="Y91" s="200">
        <f t="shared" si="32"/>
        <v>176.05246442719181</v>
      </c>
      <c r="Z91" s="200">
        <f t="shared" si="32"/>
        <v>184.55168234448502</v>
      </c>
      <c r="AA91" s="200">
        <f t="shared" si="32"/>
        <v>191.11355900045965</v>
      </c>
      <c r="AB91" s="200">
        <f t="shared" si="32"/>
        <v>194.42287044735895</v>
      </c>
      <c r="AC91" s="201">
        <f t="shared" ca="1" si="32"/>
        <v>195.63165464734629</v>
      </c>
    </row>
    <row r="92" spans="1:29" x14ac:dyDescent="0.2">
      <c r="A92" s="165" t="s">
        <v>142</v>
      </c>
      <c r="B92" s="142"/>
      <c r="C92" s="200">
        <f t="shared" si="32"/>
        <v>6.1911837543339061</v>
      </c>
      <c r="D92" s="200">
        <f t="shared" ca="1" si="32"/>
        <v>157.4320179922297</v>
      </c>
      <c r="E92" s="200">
        <f t="shared" si="32"/>
        <v>133.76136971642609</v>
      </c>
      <c r="F92" s="202">
        <f t="shared" ca="1" si="32"/>
        <v>99.128190487663232</v>
      </c>
      <c r="G92" s="200">
        <f t="shared" si="32"/>
        <v>196.97552760168037</v>
      </c>
      <c r="H92" s="200">
        <f t="shared" si="32"/>
        <v>157.13387806411265</v>
      </c>
      <c r="I92" s="200">
        <f t="shared" si="32"/>
        <v>236.81717713924627</v>
      </c>
      <c r="J92" s="200">
        <f t="shared" si="32"/>
        <v>163.39869281045867</v>
      </c>
      <c r="K92" s="200">
        <f t="shared" si="32"/>
        <v>326.79738562091552</v>
      </c>
      <c r="L92" s="200">
        <f t="shared" si="32"/>
        <v>0</v>
      </c>
      <c r="M92" s="200">
        <f t="shared" si="32"/>
        <v>340.19035455817175</v>
      </c>
      <c r="N92" s="200">
        <f t="shared" si="32"/>
        <v>401.39411027568894</v>
      </c>
      <c r="O92" s="200">
        <f t="shared" si="32"/>
        <v>262.99254498535811</v>
      </c>
      <c r="P92" s="200">
        <f t="shared" si="32"/>
        <v>259.18640450806561</v>
      </c>
      <c r="Q92" s="200">
        <f t="shared" si="32"/>
        <v>266.79868546265061</v>
      </c>
      <c r="R92" s="200">
        <f t="shared" si="32"/>
        <v>340.93831040360055</v>
      </c>
      <c r="S92" s="200">
        <f t="shared" si="32"/>
        <v>28.993006293394501</v>
      </c>
      <c r="T92" s="200">
        <f t="shared" si="32"/>
        <v>17.693272595233793</v>
      </c>
      <c r="U92" s="200">
        <f t="shared" si="32"/>
        <v>28.561991178814424</v>
      </c>
      <c r="V92" s="200">
        <f t="shared" si="32"/>
        <v>40.723755106133467</v>
      </c>
      <c r="W92" s="202">
        <f t="shared" si="32"/>
        <v>208.55143423015579</v>
      </c>
      <c r="X92" s="200">
        <f t="shared" si="32"/>
        <v>124.15416212247692</v>
      </c>
      <c r="Y92" s="200">
        <f t="shared" si="32"/>
        <v>114.43241031846628</v>
      </c>
      <c r="Z92" s="200">
        <f t="shared" si="32"/>
        <v>131.96448406457239</v>
      </c>
      <c r="AA92" s="200">
        <f t="shared" si="32"/>
        <v>140.17172073977054</v>
      </c>
      <c r="AB92" s="200">
        <f t="shared" si="32"/>
        <v>146.46880081706513</v>
      </c>
      <c r="AC92" s="201">
        <f t="shared" ca="1" si="32"/>
        <v>142.50904240493037</v>
      </c>
    </row>
    <row r="93" spans="1:29" ht="13.7" customHeight="1" thickBot="1" x14ac:dyDescent="0.25">
      <c r="A93" s="170" t="s">
        <v>143</v>
      </c>
      <c r="B93" s="171"/>
      <c r="C93" s="203">
        <f t="shared" si="32"/>
        <v>6.1911837543339061</v>
      </c>
      <c r="D93" s="203">
        <f t="shared" ca="1" si="32"/>
        <v>157.43201799223061</v>
      </c>
      <c r="E93" s="203">
        <f t="shared" si="32"/>
        <v>133.76136971642518</v>
      </c>
      <c r="F93" s="204">
        <f t="shared" ca="1" si="32"/>
        <v>99.128190487665051</v>
      </c>
      <c r="G93" s="203">
        <f t="shared" si="32"/>
        <v>196.97552760168037</v>
      </c>
      <c r="H93" s="203">
        <f t="shared" si="32"/>
        <v>157.13387806411083</v>
      </c>
      <c r="I93" s="203">
        <f t="shared" si="32"/>
        <v>236.81717713924991</v>
      </c>
      <c r="J93" s="203">
        <f t="shared" si="32"/>
        <v>163.39869281045685</v>
      </c>
      <c r="K93" s="203">
        <f t="shared" si="32"/>
        <v>326.7973856209137</v>
      </c>
      <c r="L93" s="203">
        <f t="shared" si="32"/>
        <v>0</v>
      </c>
      <c r="M93" s="203">
        <f t="shared" si="32"/>
        <v>310.54248008271315</v>
      </c>
      <c r="N93" s="203">
        <f t="shared" si="32"/>
        <v>381.81390977443516</v>
      </c>
      <c r="O93" s="203">
        <f t="shared" si="32"/>
        <v>249.46324587538402</v>
      </c>
      <c r="P93" s="203">
        <f t="shared" si="32"/>
        <v>246.57538853339065</v>
      </c>
      <c r="Q93" s="203">
        <f t="shared" si="32"/>
        <v>252.35110321738102</v>
      </c>
      <c r="R93" s="203">
        <f t="shared" si="32"/>
        <v>339.20009614807714</v>
      </c>
      <c r="S93" s="203">
        <f t="shared" si="32"/>
        <v>30.872983117373224</v>
      </c>
      <c r="T93" s="203">
        <f t="shared" si="32"/>
        <v>19.013666072491105</v>
      </c>
      <c r="U93" s="203">
        <f t="shared" si="32"/>
        <v>30.375450936198831</v>
      </c>
      <c r="V93" s="203">
        <f t="shared" si="32"/>
        <v>43.229832343433372</v>
      </c>
      <c r="W93" s="204">
        <f t="shared" si="32"/>
        <v>204.81336026878307</v>
      </c>
      <c r="X93" s="203">
        <f t="shared" si="32"/>
        <v>127.45813300117334</v>
      </c>
      <c r="Y93" s="203">
        <f t="shared" si="32"/>
        <v>114.07042425105465</v>
      </c>
      <c r="Z93" s="203">
        <f t="shared" si="32"/>
        <v>132.69400290631165</v>
      </c>
      <c r="AA93" s="203">
        <f t="shared" si="32"/>
        <v>142.25410626304074</v>
      </c>
      <c r="AB93" s="203">
        <f t="shared" si="32"/>
        <v>149.40286734649089</v>
      </c>
      <c r="AC93" s="205">
        <f t="shared" ca="1" si="32"/>
        <v>144.28857487994355</v>
      </c>
    </row>
    <row r="94" spans="1:29" ht="13.7" customHeight="1" x14ac:dyDescent="0.2">
      <c r="A94" s="174"/>
      <c r="C94" s="200"/>
      <c r="D94" s="200"/>
      <c r="E94" s="200"/>
      <c r="F94" s="200"/>
      <c r="G94" s="200"/>
      <c r="H94" s="200"/>
      <c r="I94" s="200"/>
      <c r="J94" s="200"/>
      <c r="K94" s="200"/>
      <c r="L94" s="200"/>
      <c r="M94" s="200"/>
      <c r="N94" s="200"/>
      <c r="O94" s="200"/>
      <c r="P94" s="200"/>
      <c r="Q94" s="200"/>
      <c r="R94" s="206"/>
      <c r="S94" s="206"/>
      <c r="T94" s="206"/>
      <c r="U94" s="206"/>
      <c r="V94" s="206"/>
      <c r="W94" s="206"/>
      <c r="X94" s="206"/>
      <c r="Y94" s="206"/>
      <c r="Z94" s="206"/>
      <c r="AA94" s="206"/>
      <c r="AB94" s="206"/>
      <c r="AC94" s="206"/>
    </row>
    <row r="95" spans="1:29" ht="13.7" customHeight="1" x14ac:dyDescent="0.2">
      <c r="A95" s="212"/>
      <c r="C95" s="200"/>
      <c r="D95" s="200"/>
      <c r="E95" s="200"/>
      <c r="F95" s="200"/>
      <c r="G95" s="200"/>
      <c r="H95" s="200"/>
      <c r="I95" s="200"/>
      <c r="J95" s="200"/>
      <c r="K95" s="200"/>
      <c r="L95" s="200"/>
      <c r="M95" s="200"/>
      <c r="N95" s="200"/>
      <c r="O95" s="200"/>
      <c r="P95" s="200"/>
      <c r="Q95" s="200"/>
      <c r="R95" s="200"/>
      <c r="S95" s="200"/>
      <c r="T95" s="200"/>
      <c r="U95" s="200"/>
      <c r="V95" s="200"/>
      <c r="W95" s="200"/>
      <c r="X95" s="200"/>
      <c r="Y95" s="200"/>
      <c r="Z95" s="200"/>
      <c r="AA95" s="200"/>
      <c r="AB95" s="200"/>
      <c r="AC95" s="200"/>
    </row>
    <row r="96" spans="1:29" ht="13.7" customHeight="1" x14ac:dyDescent="0.2">
      <c r="A96" s="212"/>
      <c r="C96" s="200"/>
      <c r="D96" s="200"/>
      <c r="E96" s="200"/>
      <c r="F96" s="200"/>
      <c r="G96" s="200"/>
      <c r="H96" s="200"/>
      <c r="I96" s="200"/>
      <c r="J96" s="200"/>
      <c r="K96" s="200"/>
      <c r="L96" s="200"/>
      <c r="M96" s="200"/>
      <c r="N96" s="200"/>
      <c r="O96" s="200"/>
      <c r="P96" s="200"/>
      <c r="Q96" s="200"/>
      <c r="R96" s="200"/>
      <c r="S96" s="200"/>
      <c r="T96" s="200"/>
      <c r="U96" s="200"/>
      <c r="V96" s="200"/>
      <c r="W96" s="200"/>
      <c r="X96" s="200"/>
      <c r="Y96" s="200"/>
      <c r="Z96" s="200"/>
      <c r="AA96" s="200"/>
      <c r="AB96" s="200"/>
      <c r="AC96" s="200"/>
    </row>
    <row r="97" spans="1:29" ht="13.7" customHeight="1" x14ac:dyDescent="0.2">
      <c r="A97" s="212"/>
      <c r="C97" s="200"/>
      <c r="D97" s="200"/>
      <c r="E97" s="200"/>
      <c r="F97" s="200"/>
      <c r="G97" s="200"/>
      <c r="H97" s="200"/>
      <c r="I97" s="200"/>
      <c r="J97" s="200"/>
      <c r="K97" s="200"/>
      <c r="L97" s="200"/>
      <c r="M97" s="200"/>
      <c r="N97" s="200"/>
      <c r="O97" s="200"/>
      <c r="P97" s="200"/>
      <c r="Q97" s="200"/>
      <c r="R97" s="200"/>
      <c r="S97" s="200"/>
      <c r="T97" s="200"/>
      <c r="U97" s="200"/>
      <c r="V97" s="200"/>
      <c r="W97" s="200"/>
      <c r="X97" s="200"/>
      <c r="Y97" s="200"/>
      <c r="Z97" s="200"/>
      <c r="AA97" s="200"/>
      <c r="AB97" s="200"/>
      <c r="AC97" s="200"/>
    </row>
    <row r="98" spans="1:29" ht="13.7" customHeight="1" x14ac:dyDescent="0.2">
      <c r="A98" s="212"/>
      <c r="C98" s="200"/>
      <c r="D98" s="200"/>
      <c r="E98" s="200"/>
      <c r="F98" s="200"/>
      <c r="G98" s="200"/>
      <c r="H98" s="200"/>
      <c r="I98" s="200"/>
      <c r="J98" s="200"/>
      <c r="K98" s="200"/>
      <c r="L98" s="200"/>
      <c r="M98" s="200"/>
      <c r="N98" s="200"/>
      <c r="O98" s="200"/>
      <c r="P98" s="200"/>
      <c r="Q98" s="200"/>
      <c r="R98" s="200"/>
      <c r="S98" s="200"/>
      <c r="T98" s="200"/>
      <c r="U98" s="200"/>
      <c r="V98" s="200"/>
      <c r="W98" s="200"/>
      <c r="X98" s="200"/>
      <c r="Y98" s="200"/>
      <c r="Z98" s="200"/>
      <c r="AA98" s="200"/>
      <c r="AB98" s="200"/>
      <c r="AC98" s="200"/>
    </row>
    <row r="99" spans="1:29" ht="13.7" customHeight="1" x14ac:dyDescent="0.2">
      <c r="A99" s="212"/>
      <c r="C99" s="200"/>
      <c r="D99" s="200"/>
      <c r="E99" s="200"/>
      <c r="F99" s="200"/>
      <c r="G99" s="200"/>
      <c r="H99" s="200"/>
      <c r="I99" s="200"/>
      <c r="J99" s="200"/>
      <c r="K99" s="200"/>
      <c r="L99" s="200"/>
      <c r="M99" s="200"/>
      <c r="N99" s="200"/>
      <c r="O99" s="200"/>
      <c r="P99" s="200"/>
      <c r="Q99" s="200"/>
      <c r="R99" s="200"/>
      <c r="S99" s="200"/>
      <c r="T99" s="200"/>
      <c r="U99" s="200"/>
      <c r="V99" s="200"/>
      <c r="W99" s="200"/>
      <c r="X99" s="200"/>
      <c r="Y99" s="200"/>
      <c r="Z99" s="200"/>
      <c r="AA99" s="200"/>
      <c r="AB99" s="200"/>
      <c r="AC99" s="200"/>
    </row>
    <row r="100" spans="1:29" ht="13.7" customHeight="1" x14ac:dyDescent="0.2">
      <c r="A100" s="212"/>
      <c r="C100" s="200"/>
      <c r="D100" s="200"/>
      <c r="E100" s="200"/>
      <c r="F100" s="200"/>
      <c r="G100" s="200"/>
      <c r="H100" s="200"/>
      <c r="I100" s="200"/>
      <c r="J100" s="200"/>
      <c r="K100" s="200"/>
      <c r="L100" s="200"/>
      <c r="M100" s="200"/>
      <c r="N100" s="200"/>
      <c r="O100" s="200"/>
      <c r="P100" s="200"/>
      <c r="Q100" s="200"/>
      <c r="R100" s="200"/>
      <c r="S100" s="200"/>
      <c r="T100" s="200"/>
      <c r="U100" s="200"/>
      <c r="V100" s="200"/>
      <c r="W100" s="200"/>
      <c r="X100" s="200"/>
      <c r="Y100" s="200"/>
      <c r="Z100" s="200"/>
      <c r="AA100" s="200"/>
      <c r="AB100" s="200"/>
      <c r="AC100" s="200"/>
    </row>
    <row r="101" spans="1:29" ht="13.7" customHeight="1" x14ac:dyDescent="0.2">
      <c r="A101" s="212"/>
      <c r="C101" s="200"/>
      <c r="D101" s="200"/>
      <c r="E101" s="200"/>
      <c r="F101" s="200"/>
      <c r="G101" s="200"/>
      <c r="H101" s="200"/>
      <c r="I101" s="200"/>
      <c r="J101" s="200"/>
      <c r="K101" s="200"/>
      <c r="L101" s="200"/>
      <c r="M101" s="200"/>
      <c r="N101" s="200"/>
      <c r="O101" s="200"/>
      <c r="P101" s="200"/>
      <c r="Q101" s="200"/>
      <c r="R101" s="200"/>
      <c r="S101" s="200"/>
      <c r="T101" s="200"/>
      <c r="U101" s="200"/>
      <c r="V101" s="200"/>
      <c r="W101" s="200"/>
      <c r="X101" s="200"/>
      <c r="Y101" s="200"/>
      <c r="Z101" s="200"/>
      <c r="AA101" s="200"/>
      <c r="AB101" s="200"/>
      <c r="AC101" s="200"/>
    </row>
    <row r="102" spans="1:29" ht="13.7" customHeight="1" x14ac:dyDescent="0.2">
      <c r="A102" s="212"/>
      <c r="C102" s="200"/>
      <c r="D102" s="200"/>
      <c r="E102" s="200"/>
      <c r="F102" s="200"/>
      <c r="G102" s="200"/>
      <c r="H102" s="200"/>
      <c r="I102" s="200"/>
      <c r="J102" s="200"/>
      <c r="K102" s="200"/>
      <c r="L102" s="200"/>
      <c r="M102" s="200"/>
      <c r="N102" s="200"/>
      <c r="O102" s="200"/>
      <c r="P102" s="200"/>
      <c r="Q102" s="200"/>
      <c r="R102" s="200"/>
      <c r="S102" s="200"/>
      <c r="T102" s="200"/>
      <c r="U102" s="200"/>
      <c r="V102" s="200"/>
      <c r="W102" s="200"/>
      <c r="X102" s="200"/>
      <c r="Y102" s="200"/>
      <c r="Z102" s="200"/>
      <c r="AA102" s="200"/>
      <c r="AB102" s="200"/>
      <c r="AC102" s="200"/>
    </row>
    <row r="103" spans="1:29" ht="13.7" customHeight="1" thickBot="1" x14ac:dyDescent="0.25">
      <c r="A103" s="213"/>
      <c r="B103" s="142"/>
      <c r="C103" s="203"/>
      <c r="D103" s="203"/>
      <c r="E103" s="203"/>
      <c r="F103" s="203"/>
      <c r="G103" s="203"/>
      <c r="H103" s="203"/>
      <c r="I103" s="203"/>
      <c r="J103" s="203"/>
      <c r="K103" s="203"/>
      <c r="L103" s="203"/>
      <c r="M103" s="203"/>
      <c r="N103" s="203"/>
      <c r="O103" s="203"/>
      <c r="P103" s="203"/>
      <c r="Q103" s="203"/>
      <c r="R103" s="203"/>
      <c r="S103" s="203"/>
      <c r="T103" s="203"/>
      <c r="U103" s="203"/>
      <c r="V103" s="203"/>
      <c r="W103" s="203"/>
      <c r="X103" s="203"/>
      <c r="Y103" s="203"/>
      <c r="Z103" s="203"/>
      <c r="AA103" s="203"/>
      <c r="AB103" s="203"/>
      <c r="AC103" s="205"/>
    </row>
    <row r="104" spans="1:29" x14ac:dyDescent="0.2">
      <c r="A104" s="142"/>
      <c r="C104" s="209"/>
      <c r="D104" s="209"/>
      <c r="E104" s="209"/>
      <c r="F104" s="209"/>
      <c r="G104" s="209"/>
      <c r="H104" s="209"/>
      <c r="I104" s="209"/>
      <c r="J104" s="209"/>
      <c r="K104" s="209"/>
      <c r="L104" s="209"/>
      <c r="M104" s="209"/>
      <c r="N104" s="209"/>
      <c r="O104" s="209"/>
      <c r="P104" s="209"/>
      <c r="Q104" s="209"/>
      <c r="R104" s="209"/>
      <c r="S104" s="209"/>
      <c r="T104" s="209"/>
      <c r="U104" s="209"/>
      <c r="V104" s="209"/>
      <c r="W104" s="209"/>
      <c r="X104" s="209"/>
      <c r="Y104" s="209"/>
      <c r="Z104" s="209"/>
      <c r="AA104" s="209"/>
      <c r="AB104" s="209"/>
      <c r="AC104" s="209"/>
    </row>
    <row r="105" spans="1:29" ht="13.5" customHeight="1" x14ac:dyDescent="0.2">
      <c r="C105" s="209"/>
      <c r="D105" s="209"/>
      <c r="E105" s="209"/>
      <c r="F105" s="209"/>
      <c r="G105" s="209"/>
      <c r="H105" s="209"/>
      <c r="I105" s="209"/>
      <c r="J105" s="209"/>
      <c r="K105" s="209"/>
      <c r="L105" s="209"/>
      <c r="M105" s="209"/>
      <c r="N105" s="209"/>
      <c r="O105" s="209"/>
      <c r="P105" s="209"/>
      <c r="Q105" s="209"/>
      <c r="R105" s="209"/>
      <c r="S105" s="209"/>
      <c r="T105" s="209"/>
      <c r="U105" s="209"/>
      <c r="V105" s="209"/>
      <c r="W105" s="209"/>
      <c r="X105" s="209"/>
      <c r="Y105" s="209"/>
      <c r="Z105" s="209"/>
      <c r="AA105" s="209"/>
      <c r="AB105" s="209"/>
      <c r="AC105" s="209"/>
    </row>
    <row r="106" spans="1:29" ht="12" thickBot="1" x14ac:dyDescent="0.25">
      <c r="A106" s="214">
        <f>A46</f>
        <v>37166</v>
      </c>
      <c r="B106" s="186"/>
      <c r="C106" s="187"/>
      <c r="D106" s="187"/>
      <c r="E106" s="187"/>
      <c r="F106" s="187"/>
      <c r="G106" s="187"/>
      <c r="H106" s="187"/>
      <c r="I106" s="187"/>
      <c r="J106" s="187"/>
      <c r="K106" s="187"/>
      <c r="L106" s="187"/>
      <c r="M106" s="187"/>
      <c r="N106" s="187"/>
      <c r="O106" s="187"/>
      <c r="P106" s="187"/>
      <c r="Q106" s="187"/>
      <c r="R106" s="187"/>
      <c r="S106" s="187"/>
      <c r="T106" s="187"/>
      <c r="U106" s="187"/>
      <c r="V106" s="187"/>
      <c r="W106" s="187"/>
      <c r="X106" s="187"/>
      <c r="Y106" s="187"/>
      <c r="Z106" s="187"/>
      <c r="AA106" s="187"/>
      <c r="AB106" s="187"/>
      <c r="AC106" s="187"/>
    </row>
    <row r="107" spans="1:29" x14ac:dyDescent="0.2">
      <c r="A107" s="160" t="s">
        <v>137</v>
      </c>
      <c r="B107" s="142"/>
      <c r="C107" s="200">
        <v>4364.7845468053483</v>
      </c>
      <c r="D107" s="200">
        <v>5315.8863218155793</v>
      </c>
      <c r="E107" s="200">
        <v>8828.2504012841091</v>
      </c>
      <c r="F107" s="200">
        <v>6169.6404233016792</v>
      </c>
      <c r="G107" s="206">
        <v>10001.072697961397</v>
      </c>
      <c r="H107" s="206">
        <v>10213.702074167191</v>
      </c>
      <c r="I107" s="206">
        <v>9788.4433217556052</v>
      </c>
      <c r="J107" s="206">
        <v>13750.491088967463</v>
      </c>
      <c r="K107" s="206">
        <v>12200.435729847495</v>
      </c>
      <c r="L107" s="206">
        <v>15300.546448087431</v>
      </c>
      <c r="M107" s="206">
        <v>11794.53262786596</v>
      </c>
      <c r="N107" s="206">
        <v>10526.315789473683</v>
      </c>
      <c r="O107" s="206">
        <v>15468.046404501656</v>
      </c>
      <c r="P107" s="206">
        <v>13898.54065323141</v>
      </c>
      <c r="Q107" s="206">
        <v>17037.5521557719</v>
      </c>
      <c r="R107" s="206">
        <v>14099.40077546704</v>
      </c>
      <c r="S107" s="206">
        <v>12313.053944834954</v>
      </c>
      <c r="T107" s="206">
        <v>12799.564270152505</v>
      </c>
      <c r="U107" s="206">
        <v>11772.106398274624</v>
      </c>
      <c r="V107" s="206">
        <v>12367.491166077738</v>
      </c>
      <c r="W107" s="206">
        <v>12574.008867430281</v>
      </c>
      <c r="X107" s="206">
        <v>11466.075882728968</v>
      </c>
      <c r="Y107" s="206">
        <v>10659.789387536533</v>
      </c>
      <c r="Z107" s="206">
        <v>10412.395490463685</v>
      </c>
      <c r="AA107" s="206">
        <v>9930.8723750896643</v>
      </c>
      <c r="AB107" s="206">
        <v>9576.5325482412372</v>
      </c>
      <c r="AC107" s="211">
        <v>10197.047023689191</v>
      </c>
    </row>
    <row r="108" spans="1:29" x14ac:dyDescent="0.2">
      <c r="A108" s="165" t="s">
        <v>138</v>
      </c>
      <c r="B108" s="166"/>
      <c r="C108" s="200">
        <v>4643.3878157503714</v>
      </c>
      <c r="D108" s="200">
        <v>5469.2291964833366</v>
      </c>
      <c r="E108" s="200">
        <v>9028.8924558587496</v>
      </c>
      <c r="F108" s="202">
        <v>6380.5031560308198</v>
      </c>
      <c r="G108" s="200">
        <v>10040.170107470245</v>
      </c>
      <c r="H108" s="200">
        <v>10370.835952231302</v>
      </c>
      <c r="I108" s="200">
        <v>9709.504262709188</v>
      </c>
      <c r="J108" s="200">
        <v>14296.939176399155</v>
      </c>
      <c r="K108" s="200">
        <v>12200.435729847495</v>
      </c>
      <c r="L108" s="200">
        <v>16393.442622950817</v>
      </c>
      <c r="M108" s="200">
        <v>12896.825396825396</v>
      </c>
      <c r="N108" s="200">
        <v>11466.165413533834</v>
      </c>
      <c r="O108" s="200">
        <v>16423.873111543038</v>
      </c>
      <c r="P108" s="200">
        <v>14940.931202223766</v>
      </c>
      <c r="Q108" s="200">
        <v>17906.815020862308</v>
      </c>
      <c r="R108" s="200">
        <v>15333.098343320407</v>
      </c>
      <c r="S108" s="200">
        <v>11954.109821125809</v>
      </c>
      <c r="T108" s="200">
        <v>12345.679012345679</v>
      </c>
      <c r="U108" s="200">
        <v>11502.516175413371</v>
      </c>
      <c r="V108" s="200">
        <v>12014.134275618375</v>
      </c>
      <c r="W108" s="200">
        <v>12983.023179295513</v>
      </c>
      <c r="X108" s="200">
        <v>11941.690377408155</v>
      </c>
      <c r="Y108" s="200">
        <v>11105.323913279597</v>
      </c>
      <c r="Z108" s="200">
        <v>10921.828587157224</v>
      </c>
      <c r="AA108" s="200">
        <v>10783.067134728739</v>
      </c>
      <c r="AB108" s="200">
        <v>10719.565298151017</v>
      </c>
      <c r="AC108" s="201">
        <v>10915.347247405274</v>
      </c>
    </row>
    <row r="109" spans="1:29" x14ac:dyDescent="0.2">
      <c r="A109" s="165" t="s">
        <v>139</v>
      </c>
      <c r="B109" s="142"/>
      <c r="C109" s="200">
        <v>4636.8096830113918</v>
      </c>
      <c r="D109" s="200">
        <v>5397.6691883050498</v>
      </c>
      <c r="E109" s="200">
        <v>8828.2504012841091</v>
      </c>
      <c r="F109" s="202">
        <v>6287.5764242001833</v>
      </c>
      <c r="G109" s="200">
        <v>10316.456814132702</v>
      </c>
      <c r="H109" s="200">
        <v>10370.835952231302</v>
      </c>
      <c r="I109" s="200">
        <v>10262.077676034101</v>
      </c>
      <c r="J109" s="200">
        <v>14568.3774420515</v>
      </c>
      <c r="K109" s="200">
        <v>13289.760348583877</v>
      </c>
      <c r="L109" s="200">
        <v>15846.994535519125</v>
      </c>
      <c r="M109" s="200">
        <v>12786.596119929452</v>
      </c>
      <c r="N109" s="200">
        <v>13439.849624060151</v>
      </c>
      <c r="O109" s="200">
        <v>16163.094252015915</v>
      </c>
      <c r="P109" s="200">
        <v>14940.931202223766</v>
      </c>
      <c r="Q109" s="200">
        <v>17385.257301808066</v>
      </c>
      <c r="R109" s="200">
        <v>14804.370814240392</v>
      </c>
      <c r="S109" s="200">
        <v>12641.434503376664</v>
      </c>
      <c r="T109" s="200">
        <v>13071.895424836601</v>
      </c>
      <c r="U109" s="200">
        <v>12131.56002875629</v>
      </c>
      <c r="V109" s="200">
        <v>12720.848056537103</v>
      </c>
      <c r="W109" s="200">
        <v>13310.234628787699</v>
      </c>
      <c r="X109" s="200">
        <v>12533.685965330089</v>
      </c>
      <c r="Y109" s="200">
        <v>11954.129019709871</v>
      </c>
      <c r="Z109" s="200">
        <v>11741.194820685148</v>
      </c>
      <c r="AA109" s="200">
        <v>11114.383950400217</v>
      </c>
      <c r="AB109" s="200">
        <v>10600.922500902199</v>
      </c>
      <c r="AC109" s="201">
        <v>11304.677481379209</v>
      </c>
    </row>
    <row r="110" spans="1:29" x14ac:dyDescent="0.2">
      <c r="A110" s="165" t="s">
        <v>140</v>
      </c>
      <c r="B110" s="142"/>
      <c r="C110" s="200">
        <v>5204.2703778511104</v>
      </c>
      <c r="D110" s="200">
        <v>5090.9834389695352</v>
      </c>
      <c r="E110" s="200">
        <v>7758.1594435527022</v>
      </c>
      <c r="F110" s="202">
        <v>6017.8044201244484</v>
      </c>
      <c r="G110" s="200">
        <v>9607.8658827867584</v>
      </c>
      <c r="H110" s="200">
        <v>9585.166561910748</v>
      </c>
      <c r="I110" s="200">
        <v>9630.5652036627707</v>
      </c>
      <c r="J110" s="200">
        <v>14404.978749241043</v>
      </c>
      <c r="K110" s="200">
        <v>12962.962962962964</v>
      </c>
      <c r="L110" s="200">
        <v>15846.994535519125</v>
      </c>
      <c r="M110" s="200">
        <v>12786.596119929452</v>
      </c>
      <c r="N110" s="200">
        <v>13439.849624060151</v>
      </c>
      <c r="O110" s="200">
        <v>16163.094252015915</v>
      </c>
      <c r="P110" s="200">
        <v>14940.931202223766</v>
      </c>
      <c r="Q110" s="200">
        <v>17385.257301808066</v>
      </c>
      <c r="R110" s="200">
        <v>13482.551991540358</v>
      </c>
      <c r="S110" s="200">
        <v>12490.139417441058</v>
      </c>
      <c r="T110" s="200">
        <v>12618.010167029775</v>
      </c>
      <c r="U110" s="200">
        <v>12131.56002875629</v>
      </c>
      <c r="V110" s="200">
        <v>12720.848056537103</v>
      </c>
      <c r="W110" s="200">
        <v>12998.293046938483</v>
      </c>
      <c r="X110" s="200">
        <v>9159.7623494315667</v>
      </c>
      <c r="Y110" s="200">
        <v>7823.0734061981393</v>
      </c>
      <c r="Z110" s="200">
        <v>7048.4442558462251</v>
      </c>
      <c r="AA110" s="200">
        <v>9305.1471006068277</v>
      </c>
      <c r="AB110" s="200">
        <v>9806.1162619143633</v>
      </c>
      <c r="AC110" s="201">
        <v>9143.2708583515359</v>
      </c>
    </row>
    <row r="111" spans="1:29" x14ac:dyDescent="0.2">
      <c r="A111" s="165" t="s">
        <v>141</v>
      </c>
      <c r="B111" s="166"/>
      <c r="C111" s="200">
        <v>4587.6671619613671</v>
      </c>
      <c r="D111" s="200">
        <v>5090.9834389695352</v>
      </c>
      <c r="E111" s="200">
        <v>7758.1594435527022</v>
      </c>
      <c r="F111" s="202">
        <v>5812.2700148278673</v>
      </c>
      <c r="G111" s="200">
        <v>9607.8658827867584</v>
      </c>
      <c r="H111" s="200">
        <v>9585.166561910748</v>
      </c>
      <c r="I111" s="200">
        <v>9630.5652036627707</v>
      </c>
      <c r="J111" s="200">
        <v>14473.284760170007</v>
      </c>
      <c r="K111" s="200">
        <v>12962.962962962964</v>
      </c>
      <c r="L111" s="200">
        <v>15983.60655737705</v>
      </c>
      <c r="M111" s="200">
        <v>14329.805996472662</v>
      </c>
      <c r="N111" s="200">
        <v>14003.759398496239</v>
      </c>
      <c r="O111" s="200">
        <v>16945.098589752386</v>
      </c>
      <c r="P111" s="200">
        <v>15896.455872133425</v>
      </c>
      <c r="Q111" s="200">
        <v>17993.741307371347</v>
      </c>
      <c r="R111" s="200">
        <v>13482.551991540358</v>
      </c>
      <c r="S111" s="200">
        <v>12549.540294186141</v>
      </c>
      <c r="T111" s="200">
        <v>12618.010167029775</v>
      </c>
      <c r="U111" s="200">
        <v>12221.423436376706</v>
      </c>
      <c r="V111" s="200">
        <v>12809.187279151944</v>
      </c>
      <c r="W111" s="200">
        <v>13320.778108826893</v>
      </c>
      <c r="X111" s="200">
        <v>12740.502124565997</v>
      </c>
      <c r="Y111" s="200">
        <v>12052.549552530607</v>
      </c>
      <c r="Z111" s="200">
        <v>11832.371864713912</v>
      </c>
      <c r="AA111" s="200">
        <v>11204.598435767031</v>
      </c>
      <c r="AB111" s="200">
        <v>10627.003417751079</v>
      </c>
      <c r="AC111" s="201">
        <v>11375.905565223264</v>
      </c>
    </row>
    <row r="112" spans="1:29" x14ac:dyDescent="0.2">
      <c r="A112" s="165" t="s">
        <v>142</v>
      </c>
      <c r="B112" s="142"/>
      <c r="C112" s="200">
        <v>4569.0936106983672</v>
      </c>
      <c r="D112" s="200">
        <v>5005.1114291555923</v>
      </c>
      <c r="E112" s="200">
        <v>7758.1594435527022</v>
      </c>
      <c r="F112" s="202">
        <v>5777.4548278022203</v>
      </c>
      <c r="G112" s="200">
        <v>8977.4697704585124</v>
      </c>
      <c r="H112" s="200">
        <v>9113.7649277184155</v>
      </c>
      <c r="I112" s="200">
        <v>8841.174613198611</v>
      </c>
      <c r="J112" s="200">
        <v>14160.327154541234</v>
      </c>
      <c r="K112" s="200">
        <v>12200.435729847495</v>
      </c>
      <c r="L112" s="200">
        <v>16120.218579234972</v>
      </c>
      <c r="M112" s="200">
        <v>13668.430335097</v>
      </c>
      <c r="N112" s="200">
        <v>15037.593984962406</v>
      </c>
      <c r="O112" s="200">
        <v>17901.015907933281</v>
      </c>
      <c r="P112" s="200">
        <v>16678.248783877691</v>
      </c>
      <c r="Q112" s="200">
        <v>19123.783031988871</v>
      </c>
      <c r="R112" s="200">
        <v>16038.068382093759</v>
      </c>
      <c r="S112" s="200">
        <v>11657.004403108271</v>
      </c>
      <c r="T112" s="200">
        <v>12164.124909222948</v>
      </c>
      <c r="U112" s="200">
        <v>11322.789360172537</v>
      </c>
      <c r="V112" s="200">
        <v>11484.098939929328</v>
      </c>
      <c r="W112" s="200">
        <v>13344.410046845773</v>
      </c>
      <c r="X112" s="200">
        <v>12067.0961757812</v>
      </c>
      <c r="Y112" s="200">
        <v>11274.894984250792</v>
      </c>
      <c r="Z112" s="200">
        <v>11152.730150356107</v>
      </c>
      <c r="AA112" s="200">
        <v>10563.125203484655</v>
      </c>
      <c r="AB112" s="200">
        <v>10021.967940008914</v>
      </c>
      <c r="AC112" s="201">
        <v>10803.138392583278</v>
      </c>
    </row>
    <row r="113" spans="1:29" ht="12" thickBot="1" x14ac:dyDescent="0.25">
      <c r="A113" s="165" t="s">
        <v>143</v>
      </c>
      <c r="C113" s="203">
        <v>4754.8291233283817</v>
      </c>
      <c r="D113" s="203">
        <v>5209.5685953792681</v>
      </c>
      <c r="E113" s="203">
        <v>8293.2049224184066</v>
      </c>
      <c r="F113" s="204">
        <v>6085.8675470420176</v>
      </c>
      <c r="G113" s="200">
        <v>9410.518235170719</v>
      </c>
      <c r="H113" s="200">
        <v>9585.166561910748</v>
      </c>
      <c r="I113" s="200">
        <v>9235.86990843069</v>
      </c>
      <c r="J113" s="200">
        <v>14979.106396657022</v>
      </c>
      <c r="K113" s="200">
        <v>12745.098039215687</v>
      </c>
      <c r="L113" s="200">
        <v>17213.114754098358</v>
      </c>
      <c r="M113" s="200">
        <v>14991.181657848323</v>
      </c>
      <c r="N113" s="200">
        <v>16917.293233082706</v>
      </c>
      <c r="O113" s="200">
        <v>20855.663945271837</v>
      </c>
      <c r="P113" s="200">
        <v>19110.49339819319</v>
      </c>
      <c r="Q113" s="200">
        <v>22600.834492350485</v>
      </c>
      <c r="R113" s="200">
        <v>18505.463517800494</v>
      </c>
      <c r="S113" s="200">
        <v>12434.801588940178</v>
      </c>
      <c r="T113" s="200">
        <v>13071.895424836601</v>
      </c>
      <c r="U113" s="200">
        <v>12041.696621135874</v>
      </c>
      <c r="V113" s="200">
        <v>12190.812720848056</v>
      </c>
      <c r="W113" s="200">
        <v>14722.697385762303</v>
      </c>
      <c r="X113" s="200">
        <v>13133.139469297199</v>
      </c>
      <c r="Y113" s="200">
        <v>12237.053951446473</v>
      </c>
      <c r="Z113" s="200">
        <v>12117.60118358125</v>
      </c>
      <c r="AA113" s="200">
        <v>11425.321213279998</v>
      </c>
      <c r="AB113" s="200">
        <v>10782.653055809114</v>
      </c>
      <c r="AC113" s="201">
        <v>11717.218873254051</v>
      </c>
    </row>
    <row r="114" spans="1:29" x14ac:dyDescent="0.2">
      <c r="A114" s="165"/>
      <c r="C114" s="200"/>
      <c r="D114" s="200"/>
      <c r="E114" s="200"/>
      <c r="F114" s="200"/>
      <c r="G114" s="200"/>
      <c r="H114" s="200"/>
      <c r="I114" s="200"/>
      <c r="J114" s="200"/>
      <c r="K114" s="200"/>
      <c r="L114" s="200"/>
      <c r="M114" s="200"/>
      <c r="N114" s="200"/>
      <c r="O114" s="200"/>
      <c r="P114" s="200"/>
      <c r="Q114" s="200"/>
      <c r="R114" s="200"/>
      <c r="S114" s="200"/>
      <c r="T114" s="200"/>
      <c r="U114" s="200"/>
      <c r="V114" s="200"/>
      <c r="W114" s="200"/>
      <c r="X114" s="200"/>
      <c r="Y114" s="200"/>
      <c r="Z114" s="200"/>
      <c r="AA114" s="200"/>
      <c r="AB114" s="200"/>
      <c r="AC114" s="201"/>
    </row>
    <row r="115" spans="1:29" x14ac:dyDescent="0.2">
      <c r="A115" s="165"/>
      <c r="C115" s="200"/>
      <c r="D115" s="200"/>
      <c r="E115" s="200"/>
      <c r="F115" s="200"/>
      <c r="G115" s="200"/>
      <c r="H115" s="200"/>
      <c r="I115" s="200"/>
      <c r="J115" s="200"/>
      <c r="K115" s="200"/>
      <c r="L115" s="200"/>
      <c r="M115" s="200"/>
      <c r="N115" s="200"/>
      <c r="O115" s="200"/>
      <c r="P115" s="200"/>
      <c r="Q115" s="200"/>
      <c r="R115" s="200"/>
      <c r="S115" s="200"/>
      <c r="T115" s="200"/>
      <c r="U115" s="200"/>
      <c r="V115" s="200"/>
      <c r="W115" s="200"/>
      <c r="X115" s="200"/>
      <c r="Y115" s="200"/>
      <c r="Z115" s="200"/>
      <c r="AA115" s="200"/>
      <c r="AB115" s="200"/>
      <c r="AC115" s="201"/>
    </row>
    <row r="116" spans="1:29" x14ac:dyDescent="0.2">
      <c r="A116" s="165"/>
      <c r="C116" s="200"/>
      <c r="D116" s="200"/>
      <c r="E116" s="200"/>
      <c r="F116" s="200"/>
      <c r="G116" s="200"/>
      <c r="H116" s="200"/>
      <c r="I116" s="200"/>
      <c r="J116" s="200"/>
      <c r="K116" s="200"/>
      <c r="L116" s="200"/>
      <c r="M116" s="200"/>
      <c r="N116" s="200"/>
      <c r="O116" s="200"/>
      <c r="P116" s="200"/>
      <c r="Q116" s="200"/>
      <c r="R116" s="200"/>
      <c r="S116" s="200"/>
      <c r="T116" s="200"/>
      <c r="U116" s="200"/>
      <c r="V116" s="200"/>
      <c r="W116" s="200"/>
      <c r="X116" s="200"/>
      <c r="Y116" s="200"/>
      <c r="Z116" s="200"/>
      <c r="AA116" s="200"/>
      <c r="AB116" s="200"/>
      <c r="AC116" s="201"/>
    </row>
    <row r="117" spans="1:29" x14ac:dyDescent="0.2">
      <c r="A117" s="165"/>
      <c r="C117" s="200"/>
      <c r="D117" s="200"/>
      <c r="E117" s="200"/>
      <c r="F117" s="200"/>
      <c r="G117" s="200"/>
      <c r="H117" s="200"/>
      <c r="I117" s="200"/>
      <c r="J117" s="200"/>
      <c r="K117" s="200"/>
      <c r="L117" s="200"/>
      <c r="M117" s="200"/>
      <c r="N117" s="200"/>
      <c r="O117" s="200"/>
      <c r="P117" s="200"/>
      <c r="Q117" s="200"/>
      <c r="R117" s="200"/>
      <c r="S117" s="200"/>
      <c r="T117" s="200"/>
      <c r="U117" s="200"/>
      <c r="V117" s="200"/>
      <c r="W117" s="200"/>
      <c r="X117" s="200"/>
      <c r="Y117" s="200"/>
      <c r="Z117" s="200"/>
      <c r="AA117" s="200"/>
      <c r="AB117" s="200"/>
      <c r="AC117" s="201"/>
    </row>
    <row r="118" spans="1:29" x14ac:dyDescent="0.2">
      <c r="A118" s="165"/>
      <c r="C118" s="200"/>
      <c r="D118" s="200"/>
      <c r="E118" s="200"/>
      <c r="F118" s="200"/>
      <c r="G118" s="200"/>
      <c r="H118" s="200"/>
      <c r="I118" s="200"/>
      <c r="J118" s="200"/>
      <c r="K118" s="200"/>
      <c r="L118" s="200"/>
      <c r="M118" s="200"/>
      <c r="N118" s="200"/>
      <c r="O118" s="200"/>
      <c r="P118" s="200"/>
      <c r="Q118" s="200"/>
      <c r="R118" s="200"/>
      <c r="S118" s="200"/>
      <c r="T118" s="200"/>
      <c r="U118" s="200"/>
      <c r="V118" s="200"/>
      <c r="W118" s="200"/>
      <c r="X118" s="200"/>
      <c r="Y118" s="200"/>
      <c r="Z118" s="200"/>
      <c r="AA118" s="200"/>
      <c r="AB118" s="200"/>
      <c r="AC118" s="201"/>
    </row>
    <row r="119" spans="1:29" x14ac:dyDescent="0.2">
      <c r="A119" s="165"/>
      <c r="C119" s="200"/>
      <c r="D119" s="200"/>
      <c r="E119" s="200"/>
      <c r="F119" s="200"/>
      <c r="G119" s="200"/>
      <c r="H119" s="200"/>
      <c r="I119" s="200"/>
      <c r="J119" s="200"/>
      <c r="K119" s="200"/>
      <c r="L119" s="200"/>
      <c r="M119" s="200"/>
      <c r="N119" s="200"/>
      <c r="O119" s="200"/>
      <c r="P119" s="200"/>
      <c r="Q119" s="200"/>
      <c r="R119" s="200"/>
      <c r="S119" s="200"/>
      <c r="T119" s="200"/>
      <c r="U119" s="200"/>
      <c r="V119" s="200"/>
      <c r="W119" s="200"/>
      <c r="X119" s="200"/>
      <c r="Y119" s="200"/>
      <c r="Z119" s="200"/>
      <c r="AA119" s="200"/>
      <c r="AB119" s="200"/>
      <c r="AC119" s="201"/>
    </row>
    <row r="120" spans="1:29" x14ac:dyDescent="0.2">
      <c r="A120" s="165"/>
      <c r="C120" s="200"/>
      <c r="D120" s="200"/>
      <c r="E120" s="200"/>
      <c r="F120" s="200"/>
      <c r="G120" s="200"/>
      <c r="H120" s="200"/>
      <c r="I120" s="200"/>
      <c r="J120" s="200"/>
      <c r="K120" s="200"/>
      <c r="L120" s="200"/>
      <c r="M120" s="200"/>
      <c r="N120" s="200"/>
      <c r="O120" s="200"/>
      <c r="P120" s="200"/>
      <c r="Q120" s="200"/>
      <c r="R120" s="200"/>
      <c r="S120" s="200"/>
      <c r="T120" s="200"/>
      <c r="U120" s="200"/>
      <c r="V120" s="200"/>
      <c r="W120" s="200"/>
      <c r="X120" s="200"/>
      <c r="Y120" s="200"/>
      <c r="Z120" s="200"/>
      <c r="AA120" s="200"/>
      <c r="AB120" s="200"/>
      <c r="AC120" s="201"/>
    </row>
    <row r="121" spans="1:29" x14ac:dyDescent="0.2">
      <c r="A121" s="165"/>
      <c r="C121" s="200"/>
      <c r="D121" s="200"/>
      <c r="E121" s="200"/>
      <c r="F121" s="200"/>
      <c r="G121" s="200"/>
      <c r="H121" s="200"/>
      <c r="I121" s="200"/>
      <c r="J121" s="200"/>
      <c r="K121" s="200"/>
      <c r="L121" s="200"/>
      <c r="M121" s="200"/>
      <c r="N121" s="200"/>
      <c r="O121" s="200"/>
      <c r="P121" s="200"/>
      <c r="Q121" s="200"/>
      <c r="R121" s="200"/>
      <c r="S121" s="200"/>
      <c r="T121" s="200"/>
      <c r="U121" s="200"/>
      <c r="V121" s="200"/>
      <c r="W121" s="200"/>
      <c r="X121" s="200"/>
      <c r="Y121" s="200"/>
      <c r="Z121" s="200"/>
      <c r="AA121" s="200"/>
      <c r="AB121" s="200"/>
      <c r="AC121" s="201"/>
    </row>
    <row r="122" spans="1:29" x14ac:dyDescent="0.2">
      <c r="A122" s="165"/>
      <c r="C122" s="200"/>
      <c r="D122" s="200"/>
      <c r="E122" s="200"/>
      <c r="F122" s="200"/>
      <c r="G122" s="200"/>
      <c r="H122" s="200"/>
      <c r="I122" s="200"/>
      <c r="J122" s="200"/>
      <c r="K122" s="200"/>
      <c r="L122" s="200"/>
      <c r="M122" s="200"/>
      <c r="N122" s="200"/>
      <c r="O122" s="200"/>
      <c r="P122" s="200"/>
      <c r="Q122" s="200"/>
      <c r="R122" s="200"/>
      <c r="S122" s="200"/>
      <c r="T122" s="200"/>
      <c r="U122" s="200"/>
      <c r="V122" s="200"/>
      <c r="W122" s="200"/>
      <c r="X122" s="200"/>
      <c r="Y122" s="200"/>
      <c r="Z122" s="200"/>
      <c r="AA122" s="200"/>
      <c r="AB122" s="200"/>
      <c r="AC122" s="201"/>
    </row>
    <row r="123" spans="1:29" ht="12" thickBot="1" x14ac:dyDescent="0.25">
      <c r="A123" s="170"/>
      <c r="B123" s="142"/>
      <c r="C123" s="203"/>
      <c r="D123" s="203"/>
      <c r="E123" s="203"/>
      <c r="F123" s="200"/>
      <c r="G123" s="200"/>
      <c r="H123" s="200"/>
      <c r="I123" s="200"/>
      <c r="J123" s="200"/>
      <c r="K123" s="200"/>
      <c r="L123" s="200"/>
      <c r="M123" s="200"/>
      <c r="N123" s="200"/>
      <c r="O123" s="200"/>
      <c r="P123" s="200"/>
      <c r="Q123" s="200"/>
      <c r="R123" s="200"/>
      <c r="S123" s="200"/>
      <c r="T123" s="200"/>
      <c r="U123" s="200"/>
      <c r="V123" s="200"/>
      <c r="W123" s="203"/>
      <c r="X123" s="203"/>
      <c r="Y123" s="203"/>
      <c r="Z123" s="203"/>
      <c r="AA123" s="203"/>
      <c r="AB123" s="203"/>
      <c r="AC123" s="205"/>
    </row>
  </sheetData>
  <phoneticPr fontId="0" type="noConversion"/>
  <pageMargins left="0.75" right="0.75" top="1" bottom="1" header="0.5" footer="0.5"/>
  <headerFooter alignWithMargins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266" r:id="rId3" name="Button 2">
              <controlPr defaultSize="0" print="0" autoFill="0" autoPict="0" macro="[2]!PublishPowerWestPricePeak">
                <anchor moveWithCells="1" sizeWithCells="1">
                  <from>
                    <xdr:col>11</xdr:col>
                    <xdr:colOff>600075</xdr:colOff>
                    <xdr:row>0</xdr:row>
                    <xdr:rowOff>66675</xdr:rowOff>
                  </from>
                  <to>
                    <xdr:col>17</xdr:col>
                    <xdr:colOff>171450</xdr:colOff>
                    <xdr:row>0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7" r:id="rId4" name="Button 3">
              <controlPr defaultSize="0" print="0" autoFill="0" autoPict="0" macro="[2]!PublishPowerWestPricePeak">
                <anchor moveWithCells="1" sizeWithCells="1">
                  <from>
                    <xdr:col>11</xdr:col>
                    <xdr:colOff>771525</xdr:colOff>
                    <xdr:row>0</xdr:row>
                    <xdr:rowOff>66675</xdr:rowOff>
                  </from>
                  <to>
                    <xdr:col>17</xdr:col>
                    <xdr:colOff>219075</xdr:colOff>
                    <xdr:row>0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8" r:id="rId5" name="Button 4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9" r:id="rId6" name="Button 5">
              <controlPr defaultSize="0" print="0" autoFill="0" autoPict="0" macro="[4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0" r:id="rId7" name="Button 6">
              <controlPr defaultSize="0" print="0" autoFill="0" autoPict="0" macro="[4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1" r:id="rId8" name="Button 7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2" r:id="rId9" name="Button 8">
              <controlPr defaultSize="0" print="0" autoFill="0" autoPict="0" macro="[5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3" r:id="rId10" name="Button 9">
              <controlPr defaultSize="0" print="0" autoFill="0" autoPict="0" macro="[5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4" r:id="rId11" name="Button 10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5" r:id="rId12" name="Button 11">
              <controlPr defaultSize="0" print="0" autoFill="0" autoPict="0" macro="[6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6" r:id="rId13" name="Button 12">
              <controlPr defaultSize="0" print="0" autoFill="0" autoPict="0" macro="[6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selection activeCell="A21" sqref="A21"/>
    </sheetView>
  </sheetViews>
  <sheetFormatPr defaultRowHeight="12.75" x14ac:dyDescent="0.2"/>
  <sheetData>
    <row r="1" spans="1:2" ht="15" x14ac:dyDescent="0.2">
      <c r="A1" s="112" t="s">
        <v>111</v>
      </c>
    </row>
    <row r="2" spans="1:2" x14ac:dyDescent="0.2">
      <c r="A2" t="s">
        <v>112</v>
      </c>
    </row>
    <row r="3" spans="1:2" x14ac:dyDescent="0.2">
      <c r="A3" t="s">
        <v>113</v>
      </c>
    </row>
    <row r="4" spans="1:2" x14ac:dyDescent="0.2">
      <c r="B4" t="s">
        <v>114</v>
      </c>
    </row>
    <row r="5" spans="1:2" x14ac:dyDescent="0.2">
      <c r="A5" t="s">
        <v>115</v>
      </c>
    </row>
    <row r="6" spans="1:2" x14ac:dyDescent="0.2">
      <c r="A6" t="s">
        <v>116</v>
      </c>
    </row>
    <row r="7" spans="1:2" x14ac:dyDescent="0.2">
      <c r="A7" t="s">
        <v>117</v>
      </c>
    </row>
    <row r="9" spans="1:2" ht="15" x14ac:dyDescent="0.2">
      <c r="A9" s="112" t="s">
        <v>118</v>
      </c>
    </row>
    <row r="10" spans="1:2" x14ac:dyDescent="0.2">
      <c r="A10" t="s">
        <v>119</v>
      </c>
    </row>
    <row r="11" spans="1:2" x14ac:dyDescent="0.2">
      <c r="A11" t="s">
        <v>122</v>
      </c>
    </row>
    <row r="12" spans="1:2" x14ac:dyDescent="0.2">
      <c r="A12" t="s">
        <v>120</v>
      </c>
    </row>
    <row r="13" spans="1:2" x14ac:dyDescent="0.2">
      <c r="A13" t="s">
        <v>121</v>
      </c>
    </row>
    <row r="14" spans="1:2" x14ac:dyDescent="0.2">
      <c r="A14" t="s">
        <v>127</v>
      </c>
    </row>
    <row r="15" spans="1:2" x14ac:dyDescent="0.2">
      <c r="A15" t="s">
        <v>126</v>
      </c>
    </row>
    <row r="16" spans="1:2" x14ac:dyDescent="0.2">
      <c r="A16" t="s">
        <v>129</v>
      </c>
    </row>
    <row r="17" spans="1:1" x14ac:dyDescent="0.2">
      <c r="A17" t="s">
        <v>128</v>
      </c>
    </row>
    <row r="18" spans="1:1" x14ac:dyDescent="0.2">
      <c r="A18" t="s">
        <v>130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22</vt:i4>
      </vt:variant>
    </vt:vector>
  </HeadingPairs>
  <TitlesOfParts>
    <vt:vector size="27" baseType="lpstr">
      <vt:lpstr>Gas Average Basis</vt:lpstr>
      <vt:lpstr>CurveFetch</vt:lpstr>
      <vt:lpstr>BasisCurves</vt:lpstr>
      <vt:lpstr>PowerPrices</vt:lpstr>
      <vt:lpstr>Procedures</vt:lpstr>
      <vt:lpstr>CurveFetch!Count1</vt:lpstr>
      <vt:lpstr>CurveFetch!CurveCode</vt:lpstr>
      <vt:lpstr>CurveRange</vt:lpstr>
      <vt:lpstr>CurveFetch!CurveTable1</vt:lpstr>
      <vt:lpstr>CurveFetch!CurveType</vt:lpstr>
      <vt:lpstr>Dates</vt:lpstr>
      <vt:lpstr>Dbase</vt:lpstr>
      <vt:lpstr>CurveFetch!Dump</vt:lpstr>
      <vt:lpstr>EffDt</vt:lpstr>
      <vt:lpstr>CurveFetch!EffectiveDate</vt:lpstr>
      <vt:lpstr>erv10sec1</vt:lpstr>
      <vt:lpstr>Gas_Trading</vt:lpstr>
      <vt:lpstr>CurveFetch!Month</vt:lpstr>
      <vt:lpstr>nr_gas_avg_basis</vt:lpstr>
      <vt:lpstr>NYMEXPrices</vt:lpstr>
      <vt:lpstr>password</vt:lpstr>
      <vt:lpstr>CurveFetch!Print_Area</vt:lpstr>
      <vt:lpstr>'Gas Average Basis'!Print_Area</vt:lpstr>
      <vt:lpstr>CurveFetch!Print_Titles</vt:lpstr>
      <vt:lpstr>CurveFetch!RiskType</vt:lpstr>
      <vt:lpstr>UpperLeftofCurveTable</vt:lpstr>
      <vt:lpstr>username</vt:lpstr>
    </vt:vector>
  </TitlesOfParts>
  <Company>Enron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Cuilla</dc:creator>
  <dc:description>- Oracle 8i ODBC QueryFix Applied</dc:description>
  <cp:lastModifiedBy>Felienne</cp:lastModifiedBy>
  <cp:lastPrinted>2001-10-03T14:51:43Z</cp:lastPrinted>
  <dcterms:created xsi:type="dcterms:W3CDTF">1998-02-04T17:03:27Z</dcterms:created>
  <dcterms:modified xsi:type="dcterms:W3CDTF">2014-09-05T09:58:48Z</dcterms:modified>
</cp:coreProperties>
</file>