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599"/>
    <workbookView xWindow="360" yWindow="90" windowWidth="11340" windowHeight="6795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burlington" sheetId="69" r:id="rId24"/>
  </sheets>
  <externalReferences>
    <externalReference r:id="rId25"/>
    <externalReference r:id="rId2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8" i="8" s="1"/>
  <c r="D11" i="8"/>
  <c r="D12" i="8"/>
  <c r="D13" i="8"/>
  <c r="D14" i="8"/>
  <c r="D15" i="8"/>
  <c r="D16" i="8"/>
  <c r="D17" i="8"/>
  <c r="D6" i="12"/>
  <c r="D7" i="12"/>
  <c r="D8" i="12"/>
  <c r="D9" i="12"/>
  <c r="D10" i="12"/>
  <c r="D37" i="12" s="1"/>
  <c r="D40" i="12" s="1"/>
  <c r="C37" i="63" s="1"/>
  <c r="B37" i="63" s="1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7" i="69"/>
  <c r="D8" i="69"/>
  <c r="D9" i="69"/>
  <c r="D10" i="69"/>
  <c r="D11" i="69"/>
  <c r="D38" i="69" s="1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F35" i="13" s="1"/>
  <c r="D35" i="13"/>
  <c r="E35" i="13"/>
  <c r="E36" i="13" s="1"/>
  <c r="F40" i="13"/>
  <c r="B11" i="20"/>
  <c r="B16" i="20" s="1"/>
  <c r="B12" i="20"/>
  <c r="B13" i="20"/>
  <c r="B14" i="20"/>
  <c r="B15" i="20"/>
  <c r="B29" i="20"/>
  <c r="B4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H36" i="11" s="1"/>
  <c r="H38" i="11" s="1"/>
  <c r="C12" i="63" s="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8" i="11" s="1"/>
  <c r="E36" i="11"/>
  <c r="F36" i="11"/>
  <c r="G36" i="11"/>
  <c r="AC36" i="11"/>
  <c r="AE36" i="11"/>
  <c r="AF36" i="11" s="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AC38" i="11"/>
  <c r="AE38" i="11"/>
  <c r="AP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P47" i="11" s="1"/>
  <c r="AM47" i="11"/>
  <c r="AN47" i="11"/>
  <c r="AO47" i="11"/>
  <c r="AM48" i="11"/>
  <c r="AN48" i="11"/>
  <c r="AO48" i="11"/>
  <c r="AP48" i="11"/>
  <c r="J4" i="70"/>
  <c r="J5" i="70"/>
  <c r="J6" i="70"/>
  <c r="J7" i="70"/>
  <c r="J8" i="70"/>
  <c r="J9" i="70"/>
  <c r="J35" i="70" s="1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7" i="70"/>
  <c r="D68" i="70"/>
  <c r="D69" i="70" s="1"/>
  <c r="D75" i="70"/>
  <c r="D6" i="22"/>
  <c r="D7" i="22"/>
  <c r="D8" i="22"/>
  <c r="D9" i="22"/>
  <c r="D10" i="22"/>
  <c r="D11" i="22"/>
  <c r="D37" i="22" s="1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F5" i="5"/>
  <c r="F36" i="5" s="1"/>
  <c r="F42" i="5" s="1"/>
  <c r="C22" i="63" s="1"/>
  <c r="B22" i="63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7" i="5" s="1"/>
  <c r="E36" i="5"/>
  <c r="J8" i="17"/>
  <c r="J9" i="17"/>
  <c r="J39" i="17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B4" i="68"/>
  <c r="D4" i="68" s="1"/>
  <c r="D35" i="68" s="1"/>
  <c r="D40" i="68" s="1"/>
  <c r="C16" i="63" s="1"/>
  <c r="B16" i="63" s="1"/>
  <c r="B5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34" i="67" s="1"/>
  <c r="F38" i="67" s="1"/>
  <c r="C14" i="63" s="1"/>
  <c r="B14" i="63" s="1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D6" i="65"/>
  <c r="D7" i="65"/>
  <c r="C8" i="65"/>
  <c r="D8" i="65"/>
  <c r="D18" i="65" s="1"/>
  <c r="D9" i="65"/>
  <c r="D10" i="65"/>
  <c r="D11" i="65"/>
  <c r="D12" i="65"/>
  <c r="D13" i="65"/>
  <c r="D14" i="65"/>
  <c r="C5" i="7"/>
  <c r="F5" i="7" s="1"/>
  <c r="F36" i="7" s="1"/>
  <c r="F41" i="7" s="1"/>
  <c r="C33" i="63" s="1"/>
  <c r="B33" i="63" s="1"/>
  <c r="Z5" i="7"/>
  <c r="AD5" i="7"/>
  <c r="AF5" i="7" s="1"/>
  <c r="AH5" i="7" s="1"/>
  <c r="AG5" i="7"/>
  <c r="AG6" i="7" s="1"/>
  <c r="AG7" i="7" s="1"/>
  <c r="AG8" i="7" s="1"/>
  <c r="C6" i="7"/>
  <c r="F6" i="7"/>
  <c r="Z6" i="7"/>
  <c r="AD6" i="7"/>
  <c r="AF6" i="7" s="1"/>
  <c r="F7" i="7"/>
  <c r="Z7" i="7"/>
  <c r="AD7" i="7"/>
  <c r="AF7" i="7"/>
  <c r="F8" i="7"/>
  <c r="Z8" i="7"/>
  <c r="AD8" i="7"/>
  <c r="AF8" i="7"/>
  <c r="F9" i="7"/>
  <c r="Z9" i="7"/>
  <c r="AD9" i="7" s="1"/>
  <c r="AF9" i="7" s="1"/>
  <c r="F10" i="7"/>
  <c r="Z10" i="7"/>
  <c r="AD10" i="7" s="1"/>
  <c r="AF10" i="7" s="1"/>
  <c r="F11" i="7"/>
  <c r="Z11" i="7"/>
  <c r="AD11" i="7" s="1"/>
  <c r="AF11" i="7" s="1"/>
  <c r="F12" i="7"/>
  <c r="Z12" i="7"/>
  <c r="AD12" i="7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/>
  <c r="AF15" i="7"/>
  <c r="F16" i="7"/>
  <c r="Z16" i="7"/>
  <c r="AD16" i="7"/>
  <c r="AF16" i="7"/>
  <c r="F17" i="7"/>
  <c r="Z17" i="7"/>
  <c r="AD17" i="7" s="1"/>
  <c r="AF17" i="7" s="1"/>
  <c r="F18" i="7"/>
  <c r="AI18" i="7"/>
  <c r="F19" i="7"/>
  <c r="Z19" i="7"/>
  <c r="AD19" i="7"/>
  <c r="AF19" i="7"/>
  <c r="AH19" i="7" s="1"/>
  <c r="AG19" i="7"/>
  <c r="F20" i="7"/>
  <c r="Z20" i="7"/>
  <c r="AD20" i="7" s="1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 s="1"/>
  <c r="C20" i="63" s="1"/>
  <c r="B20" i="63" s="1"/>
  <c r="D4" i="28"/>
  <c r="D5" i="28"/>
  <c r="D6" i="28"/>
  <c r="D7" i="28"/>
  <c r="D35" i="28" s="1"/>
  <c r="D40" i="28" s="1"/>
  <c r="C13" i="63" s="1"/>
  <c r="B13" i="63" s="1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35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D5" i="64"/>
  <c r="D17" i="64" s="1"/>
  <c r="D6" i="64"/>
  <c r="D7" i="64"/>
  <c r="D8" i="64"/>
  <c r="D9" i="64"/>
  <c r="D10" i="64"/>
  <c r="D11" i="64"/>
  <c r="D12" i="64"/>
  <c r="D13" i="64"/>
  <c r="E40" i="64"/>
  <c r="E43" i="64" s="1"/>
  <c r="D43" i="64" s="1"/>
  <c r="E41" i="64"/>
  <c r="E42" i="64"/>
  <c r="C43" i="64"/>
  <c r="E44" i="64"/>
  <c r="D8" i="15"/>
  <c r="AD8" i="15"/>
  <c r="AH8" i="15"/>
  <c r="AL8" i="15"/>
  <c r="AL39" i="15" s="1"/>
  <c r="AP8" i="15"/>
  <c r="AT8" i="15"/>
  <c r="D9" i="15"/>
  <c r="AD9" i="15"/>
  <c r="AH9" i="15"/>
  <c r="AL9" i="15"/>
  <c r="AP9" i="15"/>
  <c r="AT9" i="15"/>
  <c r="AT39" i="15" s="1"/>
  <c r="D10" i="15"/>
  <c r="D39" i="15" s="1"/>
  <c r="AD10" i="15"/>
  <c r="AH10" i="15"/>
  <c r="AL10" i="15"/>
  <c r="AP10" i="15"/>
  <c r="AT10" i="15"/>
  <c r="D11" i="15"/>
  <c r="AD11" i="15"/>
  <c r="AD39" i="15" s="1"/>
  <c r="AD45" i="15" s="1"/>
  <c r="AH11" i="15"/>
  <c r="AH39" i="15" s="1"/>
  <c r="AH45" i="15" s="1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O39" i="15" s="1"/>
  <c r="AS16" i="15"/>
  <c r="AT16" i="15" s="1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 s="1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 s="1"/>
  <c r="AT26" i="15"/>
  <c r="D27" i="15"/>
  <c r="AD27" i="15"/>
  <c r="AH27" i="15"/>
  <c r="AL27" i="15"/>
  <c r="AO27" i="15"/>
  <c r="AP27" i="15" s="1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F39" i="15"/>
  <c r="AG39" i="15"/>
  <c r="AJ39" i="15"/>
  <c r="AK39" i="15"/>
  <c r="AN39" i="15"/>
  <c r="AR39" i="15"/>
  <c r="AS39" i="15"/>
  <c r="AF52" i="15"/>
  <c r="AF54" i="15"/>
  <c r="AF56" i="15" s="1"/>
  <c r="AF57" i="15" s="1"/>
  <c r="D86" i="15"/>
  <c r="D101" i="15" s="1"/>
  <c r="C101" i="15" s="1"/>
  <c r="I86" i="15"/>
  <c r="D87" i="15"/>
  <c r="I87" i="15"/>
  <c r="D88" i="15"/>
  <c r="I88" i="15"/>
  <c r="D89" i="15"/>
  <c r="I89" i="15"/>
  <c r="I114" i="15" s="1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D126" i="15"/>
  <c r="D127" i="15"/>
  <c r="D128" i="15"/>
  <c r="D129" i="15"/>
  <c r="D130" i="15"/>
  <c r="D131" i="15"/>
  <c r="B132" i="15"/>
  <c r="B133" i="15" s="1"/>
  <c r="B136" i="15" s="1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B168" i="15" s="1"/>
  <c r="B174" i="15" s="1"/>
  <c r="B176" i="15" s="1"/>
  <c r="C166" i="15"/>
  <c r="C168" i="15"/>
  <c r="C174" i="15" s="1"/>
  <c r="C176" i="15" s="1"/>
  <c r="D169" i="15"/>
  <c r="D170" i="15"/>
  <c r="D171" i="15"/>
  <c r="D172" i="15"/>
  <c r="D173" i="15"/>
  <c r="C175" i="15"/>
  <c r="C180" i="15" s="1"/>
  <c r="B178" i="15"/>
  <c r="C178" i="15"/>
  <c r="B180" i="15"/>
  <c r="D4" i="6"/>
  <c r="D5" i="6"/>
  <c r="D6" i="6"/>
  <c r="D35" i="6" s="1"/>
  <c r="D40" i="6" s="1"/>
  <c r="C15" i="63" s="1"/>
  <c r="B15" i="63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12" i="63"/>
  <c r="P12" i="63"/>
  <c r="D40" i="15" s="1"/>
  <c r="D41" i="15" s="1"/>
  <c r="D43" i="15" s="1"/>
  <c r="B38" i="63" s="1"/>
  <c r="C38" i="63" s="1"/>
  <c r="D13" i="63"/>
  <c r="P13" i="63"/>
  <c r="J36" i="70" s="1"/>
  <c r="J37" i="70" s="1"/>
  <c r="J41" i="70" s="1"/>
  <c r="B31" i="63" s="1"/>
  <c r="C31" i="63" s="1"/>
  <c r="D14" i="63"/>
  <c r="D15" i="63"/>
  <c r="D16" i="63"/>
  <c r="D17" i="63"/>
  <c r="D18" i="63"/>
  <c r="D19" i="63"/>
  <c r="D20" i="63"/>
  <c r="D21" i="63"/>
  <c r="D22" i="63"/>
  <c r="D23" i="63"/>
  <c r="D24" i="63"/>
  <c r="D25" i="63"/>
  <c r="B30" i="63"/>
  <c r="C30" i="63"/>
  <c r="D31" i="63"/>
  <c r="D32" i="63"/>
  <c r="D33" i="63"/>
  <c r="D34" i="63"/>
  <c r="D35" i="63"/>
  <c r="D36" i="63"/>
  <c r="D37" i="63"/>
  <c r="D38" i="63"/>
  <c r="D39" i="63"/>
  <c r="D8" i="19"/>
  <c r="D9" i="19"/>
  <c r="D10" i="19"/>
  <c r="D39" i="19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35" i="2" s="1"/>
  <c r="J40" i="2" s="1"/>
  <c r="C35" i="63" s="1"/>
  <c r="B35" i="63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66" i="2"/>
  <c r="D67" i="2"/>
  <c r="D68" i="2"/>
  <c r="D69" i="2"/>
  <c r="D75" i="2"/>
  <c r="D176" i="15" l="1"/>
  <c r="AG9" i="7"/>
  <c r="AG10" i="7" s="1"/>
  <c r="AG11" i="7" s="1"/>
  <c r="AG12" i="7" s="1"/>
  <c r="AG13" i="7" s="1"/>
  <c r="AG14" i="7" s="1"/>
  <c r="AG15" i="7" s="1"/>
  <c r="AG16" i="7" s="1"/>
  <c r="AG17" i="7" s="1"/>
  <c r="D41" i="19"/>
  <c r="D43" i="19" s="1"/>
  <c r="B23" i="63" s="1"/>
  <c r="C23" i="63" s="1"/>
  <c r="AH6" i="7"/>
  <c r="AI5" i="7"/>
  <c r="D133" i="15"/>
  <c r="C133" i="15" s="1"/>
  <c r="AG20" i="7"/>
  <c r="AG21" i="7" s="1"/>
  <c r="AH20" i="7"/>
  <c r="AI19" i="7"/>
  <c r="B12" i="63"/>
  <c r="B102" i="15"/>
  <c r="AL45" i="15"/>
  <c r="D132" i="15"/>
  <c r="AP16" i="15"/>
  <c r="AP39" i="15" s="1"/>
  <c r="AP45" i="15" s="1"/>
  <c r="B30" i="20"/>
  <c r="AL47" i="11"/>
  <c r="AL48" i="11" s="1"/>
  <c r="D40" i="18"/>
  <c r="D41" i="18" s="1"/>
  <c r="D43" i="18" s="1"/>
  <c r="B36" i="63" s="1"/>
  <c r="C36" i="63" s="1"/>
  <c r="D19" i="8"/>
  <c r="D20" i="8" s="1"/>
  <c r="D24" i="8" s="1"/>
  <c r="B34" i="63" s="1"/>
  <c r="C34" i="63" s="1"/>
  <c r="C37" i="13"/>
  <c r="H36" i="9"/>
  <c r="H37" i="9" s="1"/>
  <c r="H39" i="9" s="1"/>
  <c r="B24" i="63" s="1"/>
  <c r="C24" i="63" s="1"/>
  <c r="AF27" i="11"/>
  <c r="AF20" i="11"/>
  <c r="D39" i="69"/>
  <c r="D40" i="69" s="1"/>
  <c r="D42" i="69" s="1"/>
  <c r="B21" i="63" s="1"/>
  <c r="C21" i="63" s="1"/>
  <c r="D19" i="65"/>
  <c r="D20" i="65" s="1"/>
  <c r="D24" i="65" s="1"/>
  <c r="B25" i="63" s="1"/>
  <c r="C25" i="63" s="1"/>
  <c r="J40" i="17"/>
  <c r="J41" i="17" s="1"/>
  <c r="J43" i="17" s="1"/>
  <c r="B17" i="63" s="1"/>
  <c r="C17" i="63" s="1"/>
  <c r="D38" i="22"/>
  <c r="D39" i="22" s="1"/>
  <c r="D41" i="22" s="1"/>
  <c r="B39" i="63" s="1"/>
  <c r="C39" i="63" s="1"/>
  <c r="AF38" i="11"/>
  <c r="C36" i="13"/>
  <c r="D18" i="64"/>
  <c r="D19" i="64" s="1"/>
  <c r="D23" i="64" s="1"/>
  <c r="B19" i="63" s="1"/>
  <c r="C19" i="63" s="1"/>
  <c r="AP48" i="15" l="1"/>
  <c r="AP51" i="15"/>
  <c r="C30" i="20"/>
  <c r="C31" i="20" s="1"/>
  <c r="B17" i="20"/>
  <c r="C17" i="20" s="1"/>
  <c r="C18" i="20" s="1"/>
  <c r="B45" i="20"/>
  <c r="C45" i="20" s="1"/>
  <c r="C46" i="20" s="1"/>
  <c r="AH7" i="7"/>
  <c r="AI6" i="7"/>
  <c r="AH21" i="7"/>
  <c r="AI21" i="7" s="1"/>
  <c r="AI20" i="7"/>
  <c r="E37" i="13"/>
  <c r="E38" i="13" s="1"/>
  <c r="C38" i="13"/>
  <c r="C41" i="13" s="1"/>
  <c r="D102" i="15"/>
  <c r="D103" i="15" s="1"/>
  <c r="B103" i="15"/>
  <c r="B105" i="15" s="1"/>
  <c r="D105" i="15" s="1"/>
  <c r="C62" i="20" l="1"/>
  <c r="B18" i="63" s="1"/>
  <c r="AH8" i="7"/>
  <c r="AI7" i="7"/>
  <c r="C103" i="15"/>
  <c r="F38" i="13"/>
  <c r="E41" i="13"/>
  <c r="F41" i="13" s="1"/>
  <c r="B32" i="63" s="1"/>
  <c r="C32" i="63" l="1"/>
  <c r="C40" i="63" s="1"/>
  <c r="B40" i="63"/>
  <c r="AI8" i="7"/>
  <c r="AH9" i="7"/>
  <c r="C18" i="63"/>
  <c r="C26" i="63" s="1"/>
  <c r="B26" i="63"/>
  <c r="AH10" i="7" l="1"/>
  <c r="AI9" i="7"/>
  <c r="B43" i="63"/>
  <c r="C43" i="63"/>
  <c r="AH11" i="7" l="1"/>
  <c r="AI10" i="7"/>
  <c r="AH12" i="7" l="1"/>
  <c r="AI11" i="7"/>
  <c r="AI12" i="7" l="1"/>
  <c r="AH13" i="7"/>
  <c r="AI13" i="7" l="1"/>
  <c r="AH14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<sst xmlns="http://schemas.openxmlformats.org/spreadsheetml/2006/main" count="346" uniqueCount="128">
  <si>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</si>
  <si>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</si>
  <si>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</si>
  <si>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</si>
  <si>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</si>
  <si>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</si>
  <si>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</si>
  <si>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</si>
  <si>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</si>
  <si>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</si>
  <si>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</si>
  <si>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</si>
  <si>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</si>
  <si>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</si>
  <si>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</si>
  <si>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</si>
  <si>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</si>
  <si>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</si>
  <si>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</si>
  <si>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</si>
  <si>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</si>
  <si>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</si>
  <si>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</si>
  <si>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</si>
  <si>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</si>
  <si>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</si>
  <si>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</si>
  <si>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</si>
  <si>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</si>
  <si>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</si>
  <si>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</si>
  <si>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</si>
  <si>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</si>
  <si>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</si>
  <si>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</si>
  <si>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</si>
  <si>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</si>
  <si>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</si>
  <si>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</si>
  <si>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</si>
  <si>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</si>
  <si>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</si>
  <si>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</si>
  <si>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</si>
  <si>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</si>
  <si>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</si>
  <si>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</si>
  <si>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</si>
  <si>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</si>
  <si>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</si>
  <si>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</si>
  <si>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</si>
  <si>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</si>
  <si>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</si>
  <si>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</si>
  <si>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</si>
  <si>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</si>
  <si>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</si>
  <si>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</si>
  <si>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</si>
  <si>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</si>
  <si>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</si>
  <si>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</si>
  <si>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</si>
  <si>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</si>
  <si>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</si>
  <si>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</si>
  <si>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</si>
  <si>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</si>
  <si>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</si>
  <si>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</si>
  <si>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</si>
  <si>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</si>
  <si>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</si>
  <si>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</si>
  <si>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</si>
  <si>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</si>
  <si>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</si>
  <si>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</si>
  <si>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</si>
  <si>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</si>
  <si>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</si>
  <si>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</si>
  <si>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</si>
  <si>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</si>
  <si>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</si>
  <si>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</si>
  <si>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</si>
  <si>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</si>
  <si>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</si>
  <si>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</si>
  <si>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</si>
  <si>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</si>
  <si>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</si>
  <si>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</si>
  <si>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</si>
  <si>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</si>
  <si>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</si>
  <si>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</si>
  <si>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</si>
  <si>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</si>
  <si>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</si>
  <si>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</si>
  <si>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</si>
  <si>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</si>
  <si>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</si>
  <si>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</si>
  <si>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</si>
  <si>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</si>
  <si>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</si>
  <si>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</si>
  <si>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</si>
  <si>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</si>
  <si>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</si>
  <si>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</si>
  <si>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</si>
  <si>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</si>
  <si>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</si>
  <si>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</si>
  <si>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</si>
  <si>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</si>
  <si>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</si>
  <si>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</si>
  <si>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</si>
  <si>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</si>
  <si>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</si>
  <si>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no payback to date</t>
  </si>
  <si>
    <t>This balance is cashed out every month $214,357 is the 11/30/00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</si>
</sst>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71" formatCode="_(* #,##0.000_);_(* \(#,##0.000\);_(* &quot;-&quot;??_);_(@_)"/>
    <numFmt numFmtId="172" formatCode="_(* #,##0.0000_);_(* \(#,##0.0000\);_(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25" fillId="4" borderId="0" xfId="1" applyNumberFormat="1" applyFont="1" applyFill="1"/>
    <xf numFmtId="5" fontId="25" fillId="5" borderId="0" xfId="1" applyNumberFormat="1" applyFont="1" applyFill="1" applyBorder="1"/>
    <xf numFmtId="5" fontId="22" fillId="5" borderId="0" xfId="0" applyNumberFormat="1" applyFont="1" applyFill="1" applyAlignment="1">
      <alignment horizontal="left" indent="2"/>
    </xf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7" fontId="22" fillId="0" borderId="0" xfId="0" applyNumberFormat="1" applyFont="1" applyFill="1"/>
    <xf numFmtId="37" fontId="28" fillId="0" borderId="0" xfId="1" applyNumberFormat="1" applyFont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166" fontId="25" fillId="6" borderId="1" xfId="0" applyNumberFormat="1" applyFont="1" applyFill="1" applyBorder="1"/>
    <xf numFmtId="166" fontId="3" fillId="6" borderId="0" xfId="1" applyNumberFormat="1" applyFont="1" applyFill="1"/>
    <xf numFmtId="166" fontId="3" fillId="6" borderId="1" xfId="1" applyNumberFormat="1" applyFont="1" applyFill="1" applyBorder="1"/>
    <xf numFmtId="5" fontId="3" fillId="6" borderId="1" xfId="0" applyNumberFormat="1" applyFont="1" applyFill="1" applyBorder="1"/>
    <xf numFmtId="7" fontId="25" fillId="6" borderId="1" xfId="0" applyNumberFormat="1" applyFont="1" applyFill="1" applyBorder="1"/>
    <xf numFmtId="166" fontId="3" fillId="6" borderId="0" xfId="1" applyNumberFormat="1" applyFont="1" applyFill="1" applyBorder="1"/>
    <xf numFmtId="7" fontId="3" fillId="6" borderId="0" xfId="1" applyNumberFormat="1" applyFont="1" applyFill="1"/>
    <xf numFmtId="44" fontId="9" fillId="6" borderId="0" xfId="2" applyFont="1" applyFill="1"/>
    <xf numFmtId="7" fontId="8" fillId="6" borderId="1" xfId="1" applyNumberFormat="1" applyFont="1" applyFill="1" applyBorder="1"/>
    <xf numFmtId="7" fontId="9" fillId="6" borderId="0" xfId="0" applyNumberFormat="1" applyFont="1" applyFill="1"/>
    <xf numFmtId="5" fontId="3" fillId="6" borderId="0" xfId="0" applyNumberFormat="1" applyFont="1" applyFill="1"/>
    <xf numFmtId="7" fontId="3" fillId="6" borderId="0" xfId="0" applyNumberFormat="1" applyFont="1" applyFill="1"/>
    <xf numFmtId="37" fontId="3" fillId="6" borderId="0" xfId="1" applyNumberFormat="1" applyFont="1" applyFill="1" applyBorder="1"/>
    <xf numFmtId="37" fontId="3" fillId="6" borderId="0" xfId="1" applyNumberFormat="1" applyFont="1" applyFill="1"/>
    <xf numFmtId="7" fontId="22" fillId="0" borderId="1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6" borderId="0" xfId="1" applyNumberFormat="1" applyFont="1" applyFill="1"/>
    <xf numFmtId="5" fontId="3" fillId="2" borderId="0" xfId="1" applyNumberFormat="1" applyFont="1" applyFill="1"/>
    <xf numFmtId="37" fontId="14" fillId="0" borderId="0" xfId="1" applyNumberFormat="1" applyFont="1" applyBorder="1"/>
    <xf numFmtId="210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20">
          <cell r="C20">
            <v>-316386.95</v>
          </cell>
        </row>
        <row r="21">
          <cell r="C21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00"/>
    </sheetNames>
    <sheetDataSet>
      <sheetData sheetId="0">
        <row r="39">
          <cell r="K39">
            <v>6.34</v>
          </cell>
          <cell r="M39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6"/>
  <sheetViews>
    <sheetView tabSelected="1" topLeftCell="A10" workbookViewId="0">
      <selection activeCell="B15" sqref="B15"/>
    </sheetView>
    <sheetView tabSelected="1" topLeftCell="A25" workbookViewId="1">
      <selection activeCell="D30" sqref="D30"/>
    </sheetView>
  </sheetViews>
  <sheetFormatPr defaultRowHeight="12.75" x14ac:dyDescent="0.2"/>
  <cols>
    <col min="1" max="1" width="20.5703125" style="302" customWidth="1"/>
    <col min="2" max="2" width="11.85546875" style="254" customWidth="1"/>
    <col min="3" max="3" width="11.28515625" style="303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51" t="s">
        <v>116</v>
      </c>
      <c r="G11" s="308" t="s">
        <v>109</v>
      </c>
      <c r="O11" s="312" t="s">
        <v>84</v>
      </c>
      <c r="P11" s="313"/>
    </row>
    <row r="12" spans="1:16" ht="18" customHeight="1" x14ac:dyDescent="0.2">
      <c r="A12" s="302" t="s">
        <v>37</v>
      </c>
      <c r="B12" s="320">
        <f>+C12*$P$13</f>
        <v>1140537.0799999998</v>
      </c>
      <c r="C12" s="321">
        <f>+'El Paso'!H38</f>
        <v>174929</v>
      </c>
      <c r="D12" s="65">
        <f>+'El Paso'!A38</f>
        <v>36862</v>
      </c>
      <c r="E12" t="s">
        <v>91</v>
      </c>
      <c r="F12" t="s">
        <v>113</v>
      </c>
      <c r="O12" s="314" t="s">
        <v>31</v>
      </c>
      <c r="P12" s="316">
        <f>+'[2]1100'!$K$39</f>
        <v>6.34</v>
      </c>
    </row>
    <row r="13" spans="1:16" ht="18" customHeight="1" x14ac:dyDescent="0.2">
      <c r="A13" s="302" t="s">
        <v>34</v>
      </c>
      <c r="B13" s="254">
        <f>+C13*$P$13</f>
        <v>1107324.2</v>
      </c>
      <c r="C13" s="303">
        <f>+'PG&amp;E'!D40</f>
        <v>169835</v>
      </c>
      <c r="D13" s="65">
        <f>+'PG&amp;E'!A40</f>
        <v>36863</v>
      </c>
      <c r="E13" t="s">
        <v>91</v>
      </c>
      <c r="F13" t="s">
        <v>117</v>
      </c>
      <c r="O13" s="315" t="s">
        <v>32</v>
      </c>
      <c r="P13" s="317">
        <f>+'[2]1100'!$M$39</f>
        <v>6.52</v>
      </c>
    </row>
    <row r="14" spans="1:16" ht="18" customHeight="1" x14ac:dyDescent="0.2">
      <c r="A14" s="302" t="s">
        <v>99</v>
      </c>
      <c r="B14" s="320">
        <f>+C14*$P$13</f>
        <v>992611.32</v>
      </c>
      <c r="C14" s="321">
        <f>+NGPL!F38</f>
        <v>152241</v>
      </c>
      <c r="D14" s="65">
        <f>+NGPL!A38</f>
        <v>36862</v>
      </c>
      <c r="E14" t="s">
        <v>91</v>
      </c>
      <c r="F14" t="s">
        <v>114</v>
      </c>
    </row>
    <row r="15" spans="1:16" ht="18" customHeight="1" x14ac:dyDescent="0.2">
      <c r="A15" s="302" t="s">
        <v>35</v>
      </c>
      <c r="B15" s="320">
        <f>+C15*$P$13</f>
        <v>488243.68</v>
      </c>
      <c r="C15" s="321">
        <f>+SoCal!D40</f>
        <v>74884</v>
      </c>
      <c r="D15" s="65">
        <f>+SoCal!A40</f>
        <v>36863</v>
      </c>
      <c r="E15" t="s">
        <v>91</v>
      </c>
      <c r="F15" t="s">
        <v>113</v>
      </c>
    </row>
    <row r="16" spans="1:16" ht="18" customHeight="1" x14ac:dyDescent="0.2">
      <c r="A16" s="302" t="s">
        <v>105</v>
      </c>
      <c r="B16" s="254">
        <f>+C16*$P$13</f>
        <v>560785.19999999995</v>
      </c>
      <c r="C16" s="303">
        <f>+Mojave!D40</f>
        <v>86010</v>
      </c>
      <c r="D16" s="65">
        <f>+Mojave!A40</f>
        <v>36863</v>
      </c>
      <c r="E16" t="s">
        <v>91</v>
      </c>
      <c r="F16" t="s">
        <v>113</v>
      </c>
    </row>
    <row r="17" spans="1:7" ht="18" customHeight="1" x14ac:dyDescent="0.2">
      <c r="A17" s="302" t="s">
        <v>2</v>
      </c>
      <c r="B17" s="320">
        <f>+mewborne!$J$43</f>
        <v>474177.88</v>
      </c>
      <c r="C17" s="321">
        <f>+B17/$P$13</f>
        <v>72726.668711656443</v>
      </c>
      <c r="D17" s="65">
        <f>+mewborne!A43</f>
        <v>36863</v>
      </c>
      <c r="E17" t="s">
        <v>92</v>
      </c>
      <c r="F17" t="s">
        <v>114</v>
      </c>
    </row>
    <row r="18" spans="1:7" ht="18" customHeight="1" x14ac:dyDescent="0.2">
      <c r="A18" s="302" t="s">
        <v>119</v>
      </c>
      <c r="B18" s="254">
        <f>+Duke!C62</f>
        <v>375429.66999999993</v>
      </c>
      <c r="C18" s="303">
        <f>+B18/$P$13</f>
        <v>57581.237730061344</v>
      </c>
      <c r="D18" s="65">
        <f>+Duke!A40</f>
        <v>36862</v>
      </c>
      <c r="E18" t="s">
        <v>92</v>
      </c>
      <c r="F18" t="s">
        <v>112</v>
      </c>
    </row>
    <row r="19" spans="1:7" ht="18" customHeight="1" x14ac:dyDescent="0.2">
      <c r="A19" s="302" t="s">
        <v>89</v>
      </c>
      <c r="B19" s="320">
        <f>+PNM!$D$23</f>
        <v>395000.94999999995</v>
      </c>
      <c r="C19" s="321">
        <f>+B19/$P$13</f>
        <v>60582.967791411036</v>
      </c>
      <c r="D19" s="65">
        <f>+PNM!A23</f>
        <v>36862</v>
      </c>
      <c r="E19" t="s">
        <v>92</v>
      </c>
      <c r="F19" t="s">
        <v>113</v>
      </c>
    </row>
    <row r="20" spans="1:7" ht="18" customHeight="1" x14ac:dyDescent="0.2">
      <c r="A20" s="302" t="s">
        <v>8</v>
      </c>
      <c r="B20" s="320">
        <f>+C20*$P$13</f>
        <v>418166.72</v>
      </c>
      <c r="C20" s="321">
        <f>+Oasis!D40</f>
        <v>64136</v>
      </c>
      <c r="D20" s="65">
        <f>+Oasis!B40</f>
        <v>36863</v>
      </c>
      <c r="E20" t="s">
        <v>91</v>
      </c>
      <c r="F20" t="s">
        <v>117</v>
      </c>
    </row>
    <row r="21" spans="1:7" ht="18" customHeight="1" x14ac:dyDescent="0.2">
      <c r="A21" s="354" t="s">
        <v>106</v>
      </c>
      <c r="B21" s="320">
        <f>+burlington!D42</f>
        <v>305640.32000000001</v>
      </c>
      <c r="C21" s="321">
        <f>+B21/$P$12</f>
        <v>48208.252365930603</v>
      </c>
      <c r="D21" s="328">
        <f>+burlington!A42</f>
        <v>36862</v>
      </c>
      <c r="E21" s="325" t="s">
        <v>92</v>
      </c>
      <c r="F21" t="s">
        <v>114</v>
      </c>
      <c r="G21" t="s">
        <v>127</v>
      </c>
    </row>
    <row r="22" spans="1:7" ht="18" customHeight="1" x14ac:dyDescent="0.2">
      <c r="A22" s="302" t="s">
        <v>33</v>
      </c>
      <c r="B22" s="320">
        <f>+C22*$P$13</f>
        <v>210856.8</v>
      </c>
      <c r="C22" s="321">
        <f>+Lonestar!F42</f>
        <v>32340</v>
      </c>
      <c r="D22" s="328">
        <f>+Lonestar!B42</f>
        <v>36863</v>
      </c>
      <c r="E22" t="s">
        <v>91</v>
      </c>
      <c r="F22" t="s">
        <v>117</v>
      </c>
    </row>
    <row r="23" spans="1:7" ht="18" customHeight="1" x14ac:dyDescent="0.2">
      <c r="A23" s="302" t="s">
        <v>77</v>
      </c>
      <c r="B23" s="364">
        <f>+transcol!$D$43</f>
        <v>83093.279999999999</v>
      </c>
      <c r="C23" s="321">
        <f>+B23/$P$13</f>
        <v>12744.36809815951</v>
      </c>
      <c r="D23" s="65">
        <f>+transcol!A43</f>
        <v>36863</v>
      </c>
      <c r="E23" t="s">
        <v>92</v>
      </c>
      <c r="F23" t="s">
        <v>114</v>
      </c>
    </row>
    <row r="24" spans="1:7" ht="18" customHeight="1" x14ac:dyDescent="0.2">
      <c r="A24" s="302" t="s">
        <v>36</v>
      </c>
      <c r="B24" s="320">
        <f>+PGETX!$H$39</f>
        <v>64688.92</v>
      </c>
      <c r="C24" s="321">
        <f>+B24/$P$13</f>
        <v>9921.6134969325158</v>
      </c>
      <c r="D24" s="65">
        <f>+PGETX!E39</f>
        <v>36863</v>
      </c>
      <c r="E24" t="s">
        <v>92</v>
      </c>
      <c r="F24" t="s">
        <v>117</v>
      </c>
      <c r="G24" t="s">
        <v>111</v>
      </c>
    </row>
    <row r="25" spans="1:7" ht="18" customHeight="1" x14ac:dyDescent="0.2">
      <c r="A25" s="302" t="s">
        <v>97</v>
      </c>
      <c r="B25" s="363">
        <f>+NNG!$D$24</f>
        <v>75397.05</v>
      </c>
      <c r="C25" s="347">
        <f>+B25/$P$13</f>
        <v>11563.964723926381</v>
      </c>
      <c r="D25" s="65">
        <f>+NNG!A24</f>
        <v>36862</v>
      </c>
      <c r="E25" t="s">
        <v>92</v>
      </c>
      <c r="F25" t="s">
        <v>115</v>
      </c>
    </row>
    <row r="26" spans="1:7" ht="18" customHeight="1" x14ac:dyDescent="0.2">
      <c r="A26" s="302" t="s">
        <v>107</v>
      </c>
      <c r="B26" s="254">
        <f>SUM(B12:B25)</f>
        <v>6691953.0699999994</v>
      </c>
      <c r="C26" s="303">
        <f>SUM(C12:C25)</f>
        <v>1027704.072918078</v>
      </c>
    </row>
    <row r="27" spans="1:7" ht="18" customHeight="1" x14ac:dyDescent="0.2"/>
    <row r="28" spans="1:7" ht="18" customHeight="1" x14ac:dyDescent="0.2"/>
    <row r="29" spans="1:7" ht="18" customHeight="1" x14ac:dyDescent="0.2">
      <c r="A29" s="308" t="s">
        <v>100</v>
      </c>
      <c r="B29" s="309" t="s">
        <v>18</v>
      </c>
      <c r="C29" s="310" t="s">
        <v>0</v>
      </c>
      <c r="D29" s="311" t="s">
        <v>87</v>
      </c>
      <c r="E29" s="308" t="s">
        <v>101</v>
      </c>
      <c r="F29" s="351" t="s">
        <v>116</v>
      </c>
      <c r="G29" s="308" t="s">
        <v>109</v>
      </c>
    </row>
    <row r="30" spans="1:7" ht="18" customHeight="1" x14ac:dyDescent="0.2">
      <c r="A30" s="34" t="s">
        <v>125</v>
      </c>
      <c r="B30" s="320">
        <f>+[1]summary!$C$20+[1]summary!$C$21</f>
        <v>-653589.80000000005</v>
      </c>
      <c r="C30" s="321">
        <f>+B30/P13</f>
        <v>-100243.83435582824</v>
      </c>
      <c r="D30" s="65">
        <v>36860</v>
      </c>
      <c r="E30" t="s">
        <v>92</v>
      </c>
      <c r="F30" t="s">
        <v>112</v>
      </c>
      <c r="G30" s="34" t="s">
        <v>126</v>
      </c>
    </row>
    <row r="31" spans="1:7" ht="18" customHeight="1" x14ac:dyDescent="0.2">
      <c r="A31" s="302" t="s">
        <v>120</v>
      </c>
      <c r="B31" s="320">
        <f>+EOG!J41</f>
        <v>-608774.84</v>
      </c>
      <c r="C31" s="321">
        <f>+B31/P13</f>
        <v>-93370.374233128838</v>
      </c>
      <c r="D31" s="328">
        <f>+EOG!A41</f>
        <v>36862</v>
      </c>
      <c r="E31" t="s">
        <v>92</v>
      </c>
      <c r="F31" t="s">
        <v>117</v>
      </c>
    </row>
    <row r="32" spans="1:7" ht="18" customHeight="1" x14ac:dyDescent="0.2">
      <c r="A32" s="302" t="s">
        <v>86</v>
      </c>
      <c r="B32" s="320">
        <f>+Conoco!$F$41</f>
        <v>-272270.81999999995</v>
      </c>
      <c r="C32" s="321">
        <f>+B32/P12</f>
        <v>-42944.924290220813</v>
      </c>
      <c r="D32" s="65">
        <f>+Conoco!A41</f>
        <v>36863</v>
      </c>
      <c r="E32" t="s">
        <v>92</v>
      </c>
      <c r="F32" t="s">
        <v>114</v>
      </c>
    </row>
    <row r="33" spans="1:7" ht="18" customHeight="1" x14ac:dyDescent="0.2">
      <c r="A33" s="302" t="s">
        <v>1</v>
      </c>
      <c r="B33" s="320">
        <f>+C33*$P$12</f>
        <v>-559536.69999999995</v>
      </c>
      <c r="C33" s="321">
        <f>+NW!$F$41</f>
        <v>-88255</v>
      </c>
      <c r="D33" s="328">
        <f>+NW!B41</f>
        <v>36863</v>
      </c>
      <c r="E33" t="s">
        <v>91</v>
      </c>
      <c r="F33" t="s">
        <v>113</v>
      </c>
    </row>
    <row r="34" spans="1:7" ht="18" customHeight="1" x14ac:dyDescent="0.2">
      <c r="A34" s="354" t="s">
        <v>85</v>
      </c>
      <c r="B34" s="320">
        <f>+Agave!$D$24</f>
        <v>-443549.26999999996</v>
      </c>
      <c r="C34" s="321">
        <f>+B34/$P$13</f>
        <v>-68029.0291411043</v>
      </c>
      <c r="D34" s="328">
        <f>+Agave!A24</f>
        <v>36863</v>
      </c>
      <c r="E34" s="325" t="s">
        <v>92</v>
      </c>
      <c r="F34" t="s">
        <v>117</v>
      </c>
    </row>
    <row r="35" spans="1:7" ht="18" customHeight="1" x14ac:dyDescent="0.2">
      <c r="A35" s="302" t="s">
        <v>30</v>
      </c>
      <c r="B35" s="320">
        <f>+C35*$P$12</f>
        <v>-241725.18</v>
      </c>
      <c r="C35" s="321">
        <f>+williams!J40</f>
        <v>-38127</v>
      </c>
      <c r="D35" s="65">
        <f>+williams!A40</f>
        <v>36863</v>
      </c>
      <c r="E35" t="s">
        <v>91</v>
      </c>
      <c r="F35" t="s">
        <v>118</v>
      </c>
      <c r="G35" s="308"/>
    </row>
    <row r="36" spans="1:7" ht="18" customHeight="1" x14ac:dyDescent="0.2">
      <c r="A36" s="302" t="s">
        <v>3</v>
      </c>
      <c r="B36" s="320">
        <f>+'Amoco Abo'!$D$43</f>
        <v>-47982.89</v>
      </c>
      <c r="C36" s="321">
        <f>+B36/$P$13</f>
        <v>-7359.3389570552154</v>
      </c>
      <c r="D36" s="65">
        <f>+'Amoco Abo'!A43</f>
        <v>36863</v>
      </c>
      <c r="E36" t="s">
        <v>92</v>
      </c>
      <c r="F36" t="s">
        <v>112</v>
      </c>
    </row>
    <row r="37" spans="1:7" ht="18" customHeight="1" x14ac:dyDescent="0.2">
      <c r="A37" s="302" t="s">
        <v>7</v>
      </c>
      <c r="B37" s="320">
        <f>+C37*$P$12</f>
        <v>-128074.34</v>
      </c>
      <c r="C37" s="321">
        <f>+Amoco!D40</f>
        <v>-20201</v>
      </c>
      <c r="D37" s="65">
        <f>+Amoco!A40</f>
        <v>36863</v>
      </c>
      <c r="E37" t="s">
        <v>91</v>
      </c>
      <c r="F37" t="s">
        <v>114</v>
      </c>
    </row>
    <row r="38" spans="1:7" ht="18" customHeight="1" x14ac:dyDescent="0.2">
      <c r="A38" s="302" t="s">
        <v>25</v>
      </c>
      <c r="B38" s="364">
        <f>+'Red C'!$D$43</f>
        <v>-59626.46</v>
      </c>
      <c r="C38" s="385">
        <f>+B38/$P$12</f>
        <v>-9404.8044164037856</v>
      </c>
      <c r="D38" s="328">
        <f>+'Red C'!B43</f>
        <v>36863</v>
      </c>
      <c r="E38" t="s">
        <v>92</v>
      </c>
      <c r="F38" t="s">
        <v>114</v>
      </c>
    </row>
    <row r="39" spans="1:7" ht="18" customHeight="1" x14ac:dyDescent="0.2">
      <c r="A39" s="302" t="s">
        <v>124</v>
      </c>
      <c r="B39" s="363">
        <f>+KN_Westar!D41</f>
        <v>192192.28</v>
      </c>
      <c r="C39" s="347">
        <f>+B39/$P$13</f>
        <v>29477.343558282209</v>
      </c>
      <c r="D39" s="65">
        <f>+KN_Westar!A41</f>
        <v>36863</v>
      </c>
      <c r="E39" t="s">
        <v>92</v>
      </c>
      <c r="F39" t="s">
        <v>115</v>
      </c>
    </row>
    <row r="40" spans="1:7" ht="18" customHeight="1" x14ac:dyDescent="0.2">
      <c r="A40" s="302" t="s">
        <v>108</v>
      </c>
      <c r="B40" s="320">
        <f>SUM(B30:B39)</f>
        <v>-2822938.02</v>
      </c>
      <c r="C40" s="321">
        <f>SUM(C30:C39)</f>
        <v>-438457.96183545905</v>
      </c>
      <c r="D40" s="325"/>
    </row>
    <row r="41" spans="1:7" ht="18" customHeight="1" x14ac:dyDescent="0.2">
      <c r="B41" s="320"/>
      <c r="C41" s="321"/>
    </row>
    <row r="42" spans="1:7" ht="18" customHeight="1" x14ac:dyDescent="0.2"/>
    <row r="43" spans="1:7" ht="18" customHeight="1" thickBot="1" x14ac:dyDescent="0.25">
      <c r="A43" s="34" t="s">
        <v>102</v>
      </c>
      <c r="B43" s="318">
        <f>+B40+B26</f>
        <v>3869015.0499999993</v>
      </c>
      <c r="C43" s="319">
        <f>+C40+C26</f>
        <v>589246.11108261906</v>
      </c>
    </row>
    <row r="44" spans="1:7" ht="18" customHeight="1" thickTop="1" x14ac:dyDescent="0.2"/>
    <row r="45" spans="1:7" x14ac:dyDescent="0.2">
      <c r="B45" s="254">
        <v>3111077</v>
      </c>
      <c r="C45" s="386"/>
    </row>
    <row r="51" spans="1:5" x14ac:dyDescent="0.2">
      <c r="C51" s="261"/>
      <c r="E51" s="381"/>
    </row>
    <row r="55" spans="1:5" x14ac:dyDescent="0.2">
      <c r="A55" s="34" t="s">
        <v>103</v>
      </c>
    </row>
    <row r="58" spans="1:5" x14ac:dyDescent="0.2">
      <c r="B58" s="322"/>
      <c r="C58" s="346"/>
    </row>
    <row r="60" spans="1:5" x14ac:dyDescent="0.2">
      <c r="B60" s="361"/>
    </row>
    <row r="61" spans="1:5" x14ac:dyDescent="0.2">
      <c r="B61" s="361"/>
    </row>
    <row r="62" spans="1:5" x14ac:dyDescent="0.2">
      <c r="B62" s="361"/>
      <c r="D62" s="64"/>
    </row>
    <row r="63" spans="1:5" x14ac:dyDescent="0.2">
      <c r="B63" s="361"/>
      <c r="C63" s="346"/>
    </row>
    <row r="64" spans="1:5" x14ac:dyDescent="0.2">
      <c r="B64" s="361"/>
    </row>
    <row r="65" spans="2:4" x14ac:dyDescent="0.2">
      <c r="B65" s="361"/>
      <c r="C65" s="346"/>
    </row>
    <row r="66" spans="2:4" x14ac:dyDescent="0.2">
      <c r="B66" s="362"/>
      <c r="C66" s="346"/>
    </row>
    <row r="67" spans="2:4" x14ac:dyDescent="0.2">
      <c r="B67" s="361"/>
    </row>
    <row r="68" spans="2:4" x14ac:dyDescent="0.2">
      <c r="B68" s="361"/>
      <c r="D68" s="64"/>
    </row>
    <row r="69" spans="2:4" x14ac:dyDescent="0.2">
      <c r="B69" s="362"/>
    </row>
    <row r="70" spans="2:4" x14ac:dyDescent="0.2">
      <c r="B70" s="362"/>
      <c r="D70" s="64"/>
    </row>
    <row r="71" spans="2:4" x14ac:dyDescent="0.2">
      <c r="B71" s="361"/>
      <c r="C71" s="261"/>
    </row>
    <row r="72" spans="2:4" x14ac:dyDescent="0.2">
      <c r="B72" s="361"/>
      <c r="C72" s="261"/>
    </row>
    <row r="73" spans="2:4" x14ac:dyDescent="0.2">
      <c r="B73" s="362"/>
      <c r="C73" s="261"/>
      <c r="D73" s="64"/>
    </row>
    <row r="74" spans="2:4" x14ac:dyDescent="0.2">
      <c r="B74" s="362"/>
      <c r="D74" s="64"/>
    </row>
    <row r="75" spans="2:4" x14ac:dyDescent="0.2">
      <c r="B75" s="362"/>
    </row>
    <row r="76" spans="2:4" x14ac:dyDescent="0.2">
      <c r="B76" s="322"/>
      <c r="C76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">
      <c r="A36" s="12"/>
      <c r="B36" s="24">
        <f>SUM(B5:B35)</f>
        <v>8752</v>
      </c>
      <c r="C36" s="24">
        <f>SUM(C5:C35)</f>
        <v>5629</v>
      </c>
      <c r="D36" s="24">
        <f t="shared" si="0"/>
        <v>-3123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">
      <c r="B38" s="257">
        <v>36860</v>
      </c>
      <c r="C38" s="24"/>
      <c r="D38" s="368">
        <v>67259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5" thickBot="1" x14ac:dyDescent="0.25">
      <c r="B40" s="257">
        <v>36863</v>
      </c>
      <c r="C40" s="24"/>
      <c r="D40" s="195">
        <f>+D36+D38</f>
        <v>64136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5" thickTop="1" x14ac:dyDescent="0.2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2" workbookViewId="1">
      <selection activeCell="E7" sqref="E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/>
      <c r="C7" s="11"/>
      <c r="D7" s="11"/>
      <c r="E7" s="11"/>
      <c r="F7" s="25">
        <f t="shared" si="0"/>
        <v>0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74357</v>
      </c>
      <c r="C35" s="11">
        <f>SUM(C4:C34)</f>
        <v>89992</v>
      </c>
      <c r="D35" s="11">
        <f>SUM(D4:D34)</f>
        <v>66662</v>
      </c>
      <c r="E35" s="11">
        <f>SUM(E4:E34)</f>
        <v>74993</v>
      </c>
      <c r="F35" s="11">
        <f>+E35-D35+C35-B35</f>
        <v>23966</v>
      </c>
    </row>
    <row r="36" spans="1:7" x14ac:dyDescent="0.2">
      <c r="A36" s="45"/>
      <c r="C36" s="14">
        <f>+C35-B35</f>
        <v>15635</v>
      </c>
      <c r="D36" s="14"/>
      <c r="E36" s="14">
        <f>+E35-D35</f>
        <v>8331</v>
      </c>
      <c r="F36" s="47"/>
    </row>
    <row r="37" spans="1:7" x14ac:dyDescent="0.2">
      <c r="C37" s="15">
        <f>+summary!P13</f>
        <v>6.52</v>
      </c>
      <c r="D37" s="15"/>
      <c r="E37" s="15">
        <f>+C37</f>
        <v>6.52</v>
      </c>
      <c r="F37" s="24"/>
    </row>
    <row r="38" spans="1:7" x14ac:dyDescent="0.2">
      <c r="C38" s="48">
        <f>+C37*C36</f>
        <v>101940.2</v>
      </c>
      <c r="D38" s="47"/>
      <c r="E38" s="48">
        <f>+E37*E36</f>
        <v>54318.119999999995</v>
      </c>
      <c r="F38" s="46">
        <f>+E38+C38</f>
        <v>156258.32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73">
        <v>622338.78</v>
      </c>
      <c r="D40" s="349"/>
      <c r="E40" s="373">
        <v>-1050867.92</v>
      </c>
      <c r="F40" s="106">
        <f>+E40+C40</f>
        <v>-428529.1399999999</v>
      </c>
      <c r="G40" s="25"/>
    </row>
    <row r="41" spans="1:7" x14ac:dyDescent="0.2">
      <c r="A41" s="57">
        <v>36863</v>
      </c>
      <c r="C41" s="50">
        <f>+C40+C38</f>
        <v>724278.98</v>
      </c>
      <c r="D41" s="50"/>
      <c r="E41" s="50">
        <f>+E40+E38</f>
        <v>-996549.79999999993</v>
      </c>
      <c r="F41" s="106">
        <f>+E41+C41</f>
        <v>-272270.81999999995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42">
        <v>109852</v>
      </c>
      <c r="C5" s="90">
        <v>88421</v>
      </c>
      <c r="D5" s="90">
        <f>+C5-B5</f>
        <v>-21431</v>
      </c>
      <c r="E5" s="292"/>
      <c r="F5" s="29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42">
        <v>80940</v>
      </c>
      <c r="C7" s="90">
        <v>79375</v>
      </c>
      <c r="D7" s="90">
        <f t="shared" si="0"/>
        <v>-1565</v>
      </c>
      <c r="E7" s="292"/>
      <c r="F7" s="290"/>
      <c r="L7" t="s">
        <v>27</v>
      </c>
      <c r="M7">
        <v>7.6</v>
      </c>
    </row>
    <row r="8" spans="1:13" x14ac:dyDescent="0.2">
      <c r="A8" s="87">
        <v>500239</v>
      </c>
      <c r="B8" s="342">
        <v>103563</v>
      </c>
      <c r="C8" s="90">
        <v>94939</v>
      </c>
      <c r="D8" s="90">
        <f t="shared" si="0"/>
        <v>-8624</v>
      </c>
      <c r="E8" s="292"/>
      <c r="F8" s="290"/>
    </row>
    <row r="9" spans="1:13" x14ac:dyDescent="0.2">
      <c r="A9" s="87">
        <v>500293</v>
      </c>
      <c r="B9" s="342">
        <v>61127</v>
      </c>
      <c r="C9" s="90">
        <v>73455</v>
      </c>
      <c r="D9" s="90">
        <f t="shared" si="0"/>
        <v>12328</v>
      </c>
      <c r="E9" s="292"/>
      <c r="F9" s="290"/>
    </row>
    <row r="10" spans="1:13" x14ac:dyDescent="0.2">
      <c r="A10" s="87">
        <v>500302</v>
      </c>
      <c r="B10" s="90"/>
      <c r="C10" s="90">
        <v>954</v>
      </c>
      <c r="D10" s="90">
        <f t="shared" si="0"/>
        <v>954</v>
      </c>
      <c r="E10" s="292"/>
      <c r="F10" s="290"/>
    </row>
    <row r="11" spans="1:13" x14ac:dyDescent="0.2">
      <c r="A11" s="87">
        <v>500303</v>
      </c>
      <c r="B11" s="90">
        <v>38016</v>
      </c>
      <c r="C11" s="90">
        <v>29797</v>
      </c>
      <c r="D11" s="90">
        <f t="shared" si="0"/>
        <v>-8219</v>
      </c>
      <c r="E11" s="292"/>
      <c r="F11" s="290"/>
    </row>
    <row r="12" spans="1:13" x14ac:dyDescent="0.2">
      <c r="A12" s="91">
        <v>500305</v>
      </c>
      <c r="B12" s="90">
        <v>151353</v>
      </c>
      <c r="C12" s="90">
        <v>159991</v>
      </c>
      <c r="D12" s="90">
        <f t="shared" si="0"/>
        <v>8638</v>
      </c>
      <c r="E12" s="293"/>
      <c r="F12" s="290"/>
    </row>
    <row r="13" spans="1:13" x14ac:dyDescent="0.2">
      <c r="A13" s="87">
        <v>500307</v>
      </c>
      <c r="B13" s="90">
        <v>4842</v>
      </c>
      <c r="C13" s="90">
        <v>6633</v>
      </c>
      <c r="D13" s="90">
        <f t="shared" si="0"/>
        <v>1791</v>
      </c>
      <c r="E13" s="292"/>
      <c r="F13" s="290"/>
    </row>
    <row r="14" spans="1:13" x14ac:dyDescent="0.2">
      <c r="A14" s="87">
        <v>500313</v>
      </c>
      <c r="B14" s="90"/>
      <c r="C14" s="342">
        <v>379</v>
      </c>
      <c r="D14" s="90">
        <f t="shared" si="0"/>
        <v>379</v>
      </c>
      <c r="E14" s="292"/>
      <c r="F14" s="29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">
      <c r="A16" s="87">
        <v>500655</v>
      </c>
      <c r="B16" s="90">
        <v>18984</v>
      </c>
      <c r="C16" s="90"/>
      <c r="D16" s="90">
        <f t="shared" si="0"/>
        <v>-18984</v>
      </c>
      <c r="E16" s="292"/>
      <c r="F16" s="290"/>
    </row>
    <row r="17" spans="1:6" x14ac:dyDescent="0.2">
      <c r="A17" s="87">
        <v>500657</v>
      </c>
      <c r="B17" s="356">
        <v>24745</v>
      </c>
      <c r="C17" s="88">
        <v>9811</v>
      </c>
      <c r="D17" s="94">
        <f t="shared" si="0"/>
        <v>-14934</v>
      </c>
      <c r="E17" s="292"/>
      <c r="F17" s="290"/>
    </row>
    <row r="18" spans="1:6" x14ac:dyDescent="0.2">
      <c r="A18" s="87"/>
      <c r="B18" s="88"/>
      <c r="C18" s="88"/>
      <c r="D18" s="88">
        <f>SUM(D5:D17)</f>
        <v>-49667</v>
      </c>
      <c r="E18" s="292"/>
      <c r="F18" s="290"/>
    </row>
    <row r="19" spans="1:6" x14ac:dyDescent="0.2">
      <c r="A19" s="87" t="s">
        <v>88</v>
      </c>
      <c r="B19" s="88"/>
      <c r="C19" s="88"/>
      <c r="D19" s="95">
        <f>+summary!P13</f>
        <v>6.52</v>
      </c>
      <c r="E19" s="294"/>
      <c r="F19" s="290"/>
    </row>
    <row r="20" spans="1:6" x14ac:dyDescent="0.2">
      <c r="A20" s="87"/>
      <c r="B20" s="88"/>
      <c r="C20" s="88"/>
      <c r="D20" s="96">
        <f>+D19*D18</f>
        <v>-323828.83999999997</v>
      </c>
      <c r="E20" s="209"/>
      <c r="F20" s="29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74">
        <v>-119720.43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36863</v>
      </c>
      <c r="B24" s="88"/>
      <c r="C24" s="88"/>
      <c r="D24" s="98">
        <f>+D22+D20</f>
        <v>-443549.26999999996</v>
      </c>
      <c r="E24" s="209"/>
      <c r="F24" s="66"/>
    </row>
    <row r="25" spans="1:6" ht="13.5" thickTop="1" x14ac:dyDescent="0.2">
      <c r="E25" s="295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workbookViewId="1">
      <selection activeCell="B17" sqref="B1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ref="F8:F35" si="5">+D8+C8-E8-B8</f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5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370624</v>
      </c>
      <c r="C36" s="11">
        <f>SUM(C5:C35)</f>
        <v>513655</v>
      </c>
      <c r="D36" s="11"/>
      <c r="E36" s="11">
        <f>SUM(E5:E35)</f>
        <v>154815</v>
      </c>
      <c r="F36" s="11">
        <f>SUM(F5:F35)</f>
        <v>-11784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66">
        <v>-76471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36863</v>
      </c>
      <c r="F41" s="282">
        <f>+F39+F36</f>
        <v>-88255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80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71511</v>
      </c>
      <c r="C39" s="11">
        <f>SUM(C8:C38)</f>
        <v>69450</v>
      </c>
      <c r="D39" s="11">
        <f>SUM(D8:D38)</f>
        <v>-2061</v>
      </c>
      <c r="E39" s="10"/>
      <c r="F39" s="11"/>
      <c r="G39" s="11"/>
      <c r="H39" s="11"/>
    </row>
    <row r="40" spans="1:8" x14ac:dyDescent="0.2">
      <c r="A40" s="26"/>
      <c r="D40" s="75">
        <f>+summary!P13</f>
        <v>6.52</v>
      </c>
      <c r="E40" s="26"/>
      <c r="H40" s="75"/>
    </row>
    <row r="41" spans="1:8" x14ac:dyDescent="0.2">
      <c r="D41" s="197">
        <f>+D40*D39</f>
        <v>-13437.72</v>
      </c>
      <c r="F41" s="254"/>
      <c r="H41" s="197"/>
    </row>
    <row r="42" spans="1:8" x14ac:dyDescent="0.2">
      <c r="A42" s="57">
        <v>36860</v>
      </c>
      <c r="D42" s="345">
        <v>96531</v>
      </c>
      <c r="E42" s="57"/>
      <c r="H42" s="197"/>
    </row>
    <row r="43" spans="1:8" x14ac:dyDescent="0.2">
      <c r="A43" s="57">
        <v>36863</v>
      </c>
      <c r="D43" s="198">
        <f>+D42+D41</f>
        <v>83093.279999999999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topLeftCell="A16" workbookViewId="1">
      <selection activeCell="B40" sqref="B40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77">
        <v>-228771.58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36862</v>
      </c>
      <c r="G7" s="32"/>
      <c r="H7" s="15"/>
      <c r="I7" s="32"/>
      <c r="J7" s="32"/>
    </row>
    <row r="8" spans="1:10" x14ac:dyDescent="0.2">
      <c r="A8" s="255">
        <v>60874</v>
      </c>
      <c r="B8" s="359">
        <v>292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359">
        <v>218</v>
      </c>
      <c r="G10" s="32"/>
      <c r="H10" s="15"/>
      <c r="I10" s="32"/>
      <c r="J10" s="32"/>
    </row>
    <row r="11" spans="1:10" x14ac:dyDescent="0.2">
      <c r="A11" s="255">
        <v>500251</v>
      </c>
      <c r="B11" s="359">
        <f>1200-667</f>
        <v>533</v>
      </c>
      <c r="G11" s="32"/>
      <c r="H11" s="15"/>
      <c r="I11" s="32"/>
      <c r="J11" s="32"/>
    </row>
    <row r="12" spans="1:10" x14ac:dyDescent="0.2">
      <c r="A12" s="255">
        <v>500254</v>
      </c>
      <c r="B12" s="212">
        <f>216-1</f>
        <v>215</v>
      </c>
      <c r="G12" s="32"/>
      <c r="H12" s="15"/>
      <c r="I12" s="32"/>
      <c r="J12" s="32"/>
    </row>
    <row r="13" spans="1:10" x14ac:dyDescent="0.2">
      <c r="A13" s="32">
        <v>500255</v>
      </c>
      <c r="B13" s="273">
        <f>1600-2597</f>
        <v>-997</v>
      </c>
      <c r="G13" s="32"/>
      <c r="H13" s="15"/>
      <c r="I13" s="32"/>
      <c r="J13" s="32"/>
    </row>
    <row r="14" spans="1:10" x14ac:dyDescent="0.2">
      <c r="A14" s="32">
        <v>500262</v>
      </c>
      <c r="B14" s="359">
        <f>830-817</f>
        <v>13</v>
      </c>
      <c r="G14" s="32"/>
      <c r="H14" s="15"/>
      <c r="I14" s="32"/>
      <c r="J14" s="32"/>
    </row>
    <row r="15" spans="1:10" x14ac:dyDescent="0.2">
      <c r="A15" s="297">
        <v>500267</v>
      </c>
      <c r="B15" s="360">
        <f>69005-73694</f>
        <v>-4689</v>
      </c>
      <c r="G15" s="32"/>
      <c r="H15" s="15"/>
      <c r="I15" s="32"/>
      <c r="J15" s="32"/>
    </row>
    <row r="16" spans="1:10" x14ac:dyDescent="0.2">
      <c r="B16" s="14">
        <f>SUM(B8:B15)</f>
        <v>-4415</v>
      </c>
      <c r="G16" s="32"/>
      <c r="H16" s="15"/>
      <c r="I16" s="32"/>
      <c r="J16" s="32"/>
    </row>
    <row r="17" spans="1:10" x14ac:dyDescent="0.2">
      <c r="B17" s="15">
        <f>+B30</f>
        <v>6.52</v>
      </c>
      <c r="C17" s="201">
        <f>+B17*B16</f>
        <v>-28785.8</v>
      </c>
      <c r="G17" s="32"/>
      <c r="H17" s="15"/>
      <c r="I17" s="32"/>
      <c r="J17" s="32"/>
    </row>
    <row r="18" spans="1:10" x14ac:dyDescent="0.2">
      <c r="C18" s="260">
        <f>+C17+C5</f>
        <v>-257557.37999999998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55">
        <v>166767.85999999999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36862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6.52</v>
      </c>
      <c r="C30" s="201">
        <f>+B30*B29</f>
        <v>81865.119999999995</v>
      </c>
    </row>
    <row r="31" spans="1:10" x14ac:dyDescent="0.2">
      <c r="C31" s="260">
        <f>+C30+C24</f>
        <v>248632.97999999998</v>
      </c>
      <c r="E31" s="15"/>
    </row>
    <row r="33" spans="1:6" x14ac:dyDescent="0.2">
      <c r="E33" s="278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75">
        <v>285466.88</v>
      </c>
      <c r="E38" s="15"/>
      <c r="F38" s="272"/>
    </row>
    <row r="40" spans="1:6" x14ac:dyDescent="0.2">
      <c r="A40" s="251">
        <v>36862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560</v>
      </c>
    </row>
    <row r="43" spans="1:6" x14ac:dyDescent="0.2">
      <c r="A43" s="32">
        <v>500392</v>
      </c>
      <c r="B43" s="259">
        <v>145</v>
      </c>
    </row>
    <row r="44" spans="1:6" x14ac:dyDescent="0.2">
      <c r="B44" s="14">
        <f>SUM(B41:B43)</f>
        <v>705</v>
      </c>
    </row>
    <row r="45" spans="1:6" x14ac:dyDescent="0.2">
      <c r="B45" s="201">
        <f>+B30</f>
        <v>6.52</v>
      </c>
      <c r="C45" s="201">
        <f>+B45*B44</f>
        <v>4596.5999999999995</v>
      </c>
    </row>
    <row r="46" spans="1:6" x14ac:dyDescent="0.2">
      <c r="C46" s="260">
        <f>+C45+C38</f>
        <v>290063.48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82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15">
        <v>70678.240000000005</v>
      </c>
      <c r="E51" s="50"/>
    </row>
    <row r="52" spans="1:5" x14ac:dyDescent="0.2">
      <c r="A52" s="32">
        <v>22664</v>
      </c>
      <c r="C52" s="15">
        <v>23612.35</v>
      </c>
    </row>
    <row r="53" spans="1:5" x14ac:dyDescent="0.2">
      <c r="E53" s="15"/>
    </row>
    <row r="56" spans="1:5" x14ac:dyDescent="0.2">
      <c r="C56" s="15"/>
    </row>
    <row r="58" spans="1:5" x14ac:dyDescent="0.2">
      <c r="C58" s="15"/>
    </row>
    <row r="59" spans="1:5" x14ac:dyDescent="0.2">
      <c r="C59" s="15"/>
    </row>
    <row r="62" spans="1:5" x14ac:dyDescent="0.2">
      <c r="C62" s="15">
        <f>+C18+C31+C46+C51+C52</f>
        <v>375429.66999999993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workbookViewId="1">
      <selection activeCell="A17" sqref="A17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/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-2656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8009</v>
      </c>
      <c r="C9" s="11">
        <v>6399</v>
      </c>
      <c r="D9" s="11">
        <v>122</v>
      </c>
      <c r="E9" s="11"/>
      <c r="F9" s="11">
        <v>1620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-1907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7276</v>
      </c>
      <c r="C10" s="11">
        <v>6399</v>
      </c>
      <c r="D10" s="11">
        <v>180</v>
      </c>
      <c r="E10" s="11">
        <v>179</v>
      </c>
      <c r="F10" s="11">
        <v>1545</v>
      </c>
      <c r="G10" s="11">
        <v>1323</v>
      </c>
      <c r="H10" s="11">
        <v>41</v>
      </c>
      <c r="I10" s="11">
        <v>298</v>
      </c>
      <c r="J10" s="25">
        <f t="shared" si="0"/>
        <v>-843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23982</v>
      </c>
      <c r="C39" s="11">
        <f t="shared" si="1"/>
        <v>19197</v>
      </c>
      <c r="D39" s="11">
        <f t="shared" si="1"/>
        <v>416</v>
      </c>
      <c r="E39" s="11">
        <f t="shared" si="1"/>
        <v>179</v>
      </c>
      <c r="F39" s="11">
        <f t="shared" si="1"/>
        <v>4708</v>
      </c>
      <c r="G39" s="11">
        <f t="shared" si="1"/>
        <v>3969</v>
      </c>
      <c r="H39" s="11">
        <f t="shared" si="1"/>
        <v>539</v>
      </c>
      <c r="I39" s="11">
        <f t="shared" si="1"/>
        <v>894</v>
      </c>
      <c r="J39" s="25">
        <f t="shared" si="1"/>
        <v>-5406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6.52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-35247.119999999995</v>
      </c>
      <c r="L41"/>
      <c r="R41" s="138"/>
      <c r="X41" s="138"/>
    </row>
    <row r="42" spans="1:24" x14ac:dyDescent="0.2">
      <c r="A42" s="57">
        <v>36860</v>
      </c>
      <c r="C42" s="15"/>
      <c r="J42" s="369">
        <v>509425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36863</v>
      </c>
      <c r="C43" s="48"/>
      <c r="J43" s="138">
        <f>+J42+J41</f>
        <v>474177.88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D35" sqref="D35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16609</v>
      </c>
      <c r="C9" s="11">
        <v>18277</v>
      </c>
      <c r="D9" s="25">
        <f>+C9-B9</f>
        <v>1668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16587</v>
      </c>
      <c r="C10" s="11">
        <v>16986</v>
      </c>
      <c r="D10" s="25">
        <f t="shared" ref="D10:D38" si="0">+C10-B10</f>
        <v>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50315</v>
      </c>
      <c r="C39" s="11">
        <f>SUM(C8:C38)</f>
        <v>56483</v>
      </c>
      <c r="D39" s="11">
        <f>SUM(D8:D38)</f>
        <v>6168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6.52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40215.360000000001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72">
        <v>-88198.25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36863</v>
      </c>
      <c r="C43" s="48"/>
      <c r="D43" s="110">
        <f>+D42+D41</f>
        <v>-47982.89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A25" sqref="A25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58"/>
      <c r="C6" s="80"/>
      <c r="D6" s="80">
        <f t="shared" ref="D6:D14" si="0">+C6-B6</f>
        <v>0</v>
      </c>
    </row>
    <row r="7" spans="1:8" x14ac:dyDescent="0.2">
      <c r="A7" s="32">
        <v>3531</v>
      </c>
      <c r="B7" s="358">
        <v>-63632</v>
      </c>
      <c r="C7" s="307">
        <v>-53122</v>
      </c>
      <c r="D7" s="80">
        <f t="shared" si="0"/>
        <v>10510</v>
      </c>
    </row>
    <row r="8" spans="1:8" x14ac:dyDescent="0.2">
      <c r="A8" s="32">
        <v>60667</v>
      </c>
      <c r="B8" s="358"/>
      <c r="C8" s="307">
        <f>-30000-23167</f>
        <v>-53167</v>
      </c>
      <c r="D8" s="80">
        <f t="shared" si="0"/>
        <v>-53167</v>
      </c>
      <c r="H8" s="256"/>
    </row>
    <row r="9" spans="1:8" x14ac:dyDescent="0.2">
      <c r="A9" s="32">
        <v>60749</v>
      </c>
      <c r="B9" s="358"/>
      <c r="C9" s="307">
        <v>-5926</v>
      </c>
      <c r="D9" s="80">
        <f t="shared" si="0"/>
        <v>-5926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358">
        <v>-49762</v>
      </c>
      <c r="C11" s="80"/>
      <c r="D11" s="80">
        <f t="shared" si="0"/>
        <v>49762</v>
      </c>
      <c r="H11" s="256"/>
    </row>
    <row r="12" spans="1:8" x14ac:dyDescent="0.2">
      <c r="A12" s="32">
        <v>62960</v>
      </c>
      <c r="B12" s="358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1179</v>
      </c>
    </row>
    <row r="19" spans="1:5" x14ac:dyDescent="0.2">
      <c r="A19" s="32" t="s">
        <v>88</v>
      </c>
      <c r="B19" s="69"/>
      <c r="C19" s="69"/>
      <c r="D19" s="73">
        <f>+summary!P13</f>
        <v>6.52</v>
      </c>
    </row>
    <row r="20" spans="1:5" x14ac:dyDescent="0.2">
      <c r="B20" s="69"/>
      <c r="C20" s="69"/>
      <c r="D20" s="75">
        <f>+D19*D18</f>
        <v>7687.08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80">
        <v>67709.97</v>
      </c>
      <c r="E22" s="256"/>
    </row>
    <row r="23" spans="1:5" x14ac:dyDescent="0.2">
      <c r="B23" s="69"/>
      <c r="C23" s="80"/>
      <c r="D23" s="305"/>
      <c r="E23" s="256"/>
    </row>
    <row r="24" spans="1:5" ht="12" thickBot="1" x14ac:dyDescent="0.25">
      <c r="A24" s="49">
        <v>36862</v>
      </c>
      <c r="B24" s="69"/>
      <c r="C24" s="69"/>
      <c r="D24" s="306">
        <f>+D22+D20</f>
        <v>75397.05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C9" sqref="C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342">
        <v>-5784</v>
      </c>
      <c r="C5" s="90">
        <v>-7760</v>
      </c>
      <c r="D5" s="90">
        <f t="shared" ref="D5:D13" si="0">+C5-B5</f>
        <v>-1976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42">
        <v>-156652</v>
      </c>
      <c r="C7" s="90">
        <v>-178365</v>
      </c>
      <c r="D7" s="90">
        <f t="shared" si="0"/>
        <v>-21713</v>
      </c>
      <c r="E7" s="292"/>
      <c r="F7" s="70"/>
    </row>
    <row r="8" spans="1:13" x14ac:dyDescent="0.2">
      <c r="A8" s="87">
        <v>58710</v>
      </c>
      <c r="B8" s="342">
        <v>-28729</v>
      </c>
      <c r="C8" s="357">
        <v>-18430</v>
      </c>
      <c r="D8" s="90">
        <f t="shared" si="0"/>
        <v>10299</v>
      </c>
      <c r="E8" s="292"/>
      <c r="F8" s="70"/>
    </row>
    <row r="9" spans="1:13" x14ac:dyDescent="0.2">
      <c r="A9" s="87">
        <v>60921</v>
      </c>
      <c r="B9" s="342">
        <v>-78270</v>
      </c>
      <c r="C9" s="90">
        <v>-41870</v>
      </c>
      <c r="D9" s="90">
        <f t="shared" si="0"/>
        <v>36400</v>
      </c>
      <c r="E9" s="292"/>
      <c r="F9" s="70"/>
    </row>
    <row r="10" spans="1:13" x14ac:dyDescent="0.2">
      <c r="A10" s="87">
        <v>78026</v>
      </c>
      <c r="B10" s="342">
        <v>841</v>
      </c>
      <c r="C10" s="90"/>
      <c r="D10" s="90">
        <f t="shared" si="0"/>
        <v>-841</v>
      </c>
      <c r="E10" s="292"/>
      <c r="F10" s="290"/>
    </row>
    <row r="11" spans="1:13" x14ac:dyDescent="0.2">
      <c r="A11" s="87">
        <v>500084</v>
      </c>
      <c r="B11" s="342">
        <v>-3857</v>
      </c>
      <c r="C11" s="90">
        <v>-6000</v>
      </c>
      <c r="D11" s="90">
        <f t="shared" si="0"/>
        <v>-2143</v>
      </c>
      <c r="E11" s="293"/>
      <c r="F11" s="290"/>
    </row>
    <row r="12" spans="1:13" x14ac:dyDescent="0.2">
      <c r="A12" s="91">
        <v>500085</v>
      </c>
      <c r="B12" s="342"/>
      <c r="C12" s="90">
        <v>-9902</v>
      </c>
      <c r="D12" s="90">
        <f t="shared" si="0"/>
        <v>-9902</v>
      </c>
      <c r="E12" s="292"/>
      <c r="F12" s="290"/>
    </row>
    <row r="13" spans="1:13" x14ac:dyDescent="0.2">
      <c r="A13" s="87">
        <v>500097</v>
      </c>
      <c r="B13" s="90"/>
      <c r="C13" s="90"/>
      <c r="D13" s="90">
        <f t="shared" si="0"/>
        <v>0</v>
      </c>
      <c r="E13" s="292"/>
      <c r="F13" s="290"/>
    </row>
    <row r="14" spans="1:13" x14ac:dyDescent="0.2">
      <c r="A14" s="87"/>
      <c r="B14" s="90"/>
      <c r="C14" s="90"/>
      <c r="D14" s="90"/>
      <c r="E14" s="292"/>
      <c r="F14" s="290"/>
    </row>
    <row r="15" spans="1:13" x14ac:dyDescent="0.2">
      <c r="A15" s="87"/>
      <c r="B15" s="90"/>
      <c r="C15" s="90"/>
      <c r="D15" s="90"/>
      <c r="E15" s="292"/>
      <c r="F15" s="290"/>
    </row>
    <row r="16" spans="1:13" x14ac:dyDescent="0.2">
      <c r="A16" s="87"/>
      <c r="B16" s="88"/>
      <c r="C16" s="88"/>
      <c r="D16" s="94"/>
      <c r="E16" s="292"/>
      <c r="F16" s="290"/>
    </row>
    <row r="17" spans="1:7" x14ac:dyDescent="0.2">
      <c r="A17" s="87"/>
      <c r="B17" s="88"/>
      <c r="C17" s="88"/>
      <c r="D17" s="88">
        <f>SUM(D5:D16)</f>
        <v>10124</v>
      </c>
      <c r="E17" s="292"/>
      <c r="F17" s="290"/>
    </row>
    <row r="18" spans="1:7" x14ac:dyDescent="0.2">
      <c r="A18" s="87" t="s">
        <v>88</v>
      </c>
      <c r="B18" s="88"/>
      <c r="C18" s="88"/>
      <c r="D18" s="95">
        <f>+summary!P13</f>
        <v>6.52</v>
      </c>
      <c r="E18" s="294"/>
      <c r="F18" s="290"/>
    </row>
    <row r="19" spans="1:7" x14ac:dyDescent="0.2">
      <c r="A19" s="87"/>
      <c r="B19" s="88"/>
      <c r="C19" s="88"/>
      <c r="D19" s="96">
        <f>+D18*D17</f>
        <v>66008.479999999996</v>
      </c>
      <c r="E19" s="209"/>
      <c r="F19" s="291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74">
        <v>328992.46999999997</v>
      </c>
      <c r="E21" s="209"/>
      <c r="F21" s="66"/>
    </row>
    <row r="22" spans="1:7" x14ac:dyDescent="0.2">
      <c r="A22" s="87"/>
      <c r="B22" s="88"/>
      <c r="C22" s="88"/>
      <c r="D22" s="353"/>
      <c r="E22" s="209"/>
      <c r="F22" s="66"/>
    </row>
    <row r="23" spans="1:7" ht="13.5" thickBot="1" x14ac:dyDescent="0.25">
      <c r="A23" s="99">
        <v>36862</v>
      </c>
      <c r="B23" s="88"/>
      <c r="C23" s="88"/>
      <c r="D23" s="98">
        <f>+D21+D19</f>
        <v>395000.94999999995</v>
      </c>
      <c r="E23" s="209"/>
      <c r="F23" s="66"/>
    </row>
    <row r="24" spans="1:7" ht="13.5" thickTop="1" x14ac:dyDescent="0.2">
      <c r="E24" s="295"/>
    </row>
    <row r="25" spans="1:7" x14ac:dyDescent="0.2">
      <c r="E25" s="295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6"/>
      <c r="E36" s="69"/>
      <c r="F36" s="70"/>
      <c r="G36" s="32"/>
    </row>
    <row r="37" spans="1:7" x14ac:dyDescent="0.2">
      <c r="B37" s="69"/>
      <c r="C37" s="69"/>
      <c r="D37" s="326"/>
      <c r="E37" s="69"/>
      <c r="F37" s="70"/>
      <c r="G37" s="32"/>
    </row>
    <row r="38" spans="1:7" x14ac:dyDescent="0.2">
      <c r="B38" s="69"/>
      <c r="C38" s="69"/>
      <c r="D38" s="326"/>
      <c r="E38" s="69"/>
      <c r="F38" s="70"/>
      <c r="G38" s="32"/>
    </row>
    <row r="39" spans="1:7" x14ac:dyDescent="0.2">
      <c r="B39" s="69"/>
      <c r="C39" s="69"/>
      <c r="D39" s="326"/>
      <c r="E39" s="69"/>
      <c r="F39" s="70"/>
      <c r="G39" s="32"/>
    </row>
    <row r="40" spans="1:7" x14ac:dyDescent="0.2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">
      <c r="B45" s="69"/>
      <c r="C45" s="69"/>
      <c r="D45" s="327"/>
      <c r="E45" s="292"/>
      <c r="F45" s="290"/>
      <c r="G45" s="206"/>
    </row>
    <row r="46" spans="1:7" x14ac:dyDescent="0.2">
      <c r="A46" s="32"/>
      <c r="B46" s="69"/>
      <c r="C46" s="69"/>
      <c r="D46" s="292"/>
      <c r="E46" s="292"/>
      <c r="F46" s="290"/>
      <c r="G46" s="206"/>
    </row>
    <row r="47" spans="1:7" x14ac:dyDescent="0.2">
      <c r="A47" s="32"/>
      <c r="B47" s="69"/>
      <c r="C47" s="69"/>
      <c r="D47" s="294"/>
      <c r="E47" s="294"/>
      <c r="F47" s="290"/>
      <c r="G47" s="206"/>
    </row>
    <row r="48" spans="1:7" x14ac:dyDescent="0.2">
      <c r="B48" s="69"/>
      <c r="C48" s="69"/>
      <c r="D48" s="292"/>
      <c r="E48" s="292"/>
      <c r="F48" s="291"/>
      <c r="G48" s="206"/>
    </row>
    <row r="49" spans="1:7" x14ac:dyDescent="0.2">
      <c r="B49" s="69"/>
      <c r="C49" s="69"/>
      <c r="D49" s="292"/>
      <c r="E49" s="292"/>
      <c r="F49" s="291"/>
      <c r="G49" s="206"/>
    </row>
    <row r="50" spans="1:7" x14ac:dyDescent="0.2">
      <c r="D50" s="323"/>
      <c r="E50" s="323"/>
      <c r="F50" s="324"/>
      <c r="G50" s="325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6" workbookViewId="1">
      <selection activeCell="A41" sqref="A41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165906</v>
      </c>
      <c r="C35" s="11">
        <f t="shared" ref="C35:I35" si="1">SUM(C4:C34)</f>
        <v>192400</v>
      </c>
      <c r="D35" s="11">
        <f t="shared" si="1"/>
        <v>1180959</v>
      </c>
      <c r="E35" s="11">
        <f t="shared" si="1"/>
        <v>1163845</v>
      </c>
      <c r="F35" s="11">
        <f t="shared" si="1"/>
        <v>117704</v>
      </c>
      <c r="G35" s="11">
        <f t="shared" si="1"/>
        <v>133853</v>
      </c>
      <c r="H35" s="11">
        <f t="shared" si="1"/>
        <v>477295</v>
      </c>
      <c r="I35" s="11">
        <f t="shared" si="1"/>
        <v>448000</v>
      </c>
      <c r="J35" s="11">
        <f>SUM(J4:J34)</f>
        <v>-3766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367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36863</v>
      </c>
      <c r="J40" s="36">
        <f>+J38+J35</f>
        <v>-38127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/>
      <c r="C5" s="90"/>
      <c r="D5" s="90"/>
      <c r="E5" s="90"/>
      <c r="F5" s="90">
        <f t="shared" si="0"/>
        <v>0</v>
      </c>
    </row>
    <row r="6" spans="1:6" x14ac:dyDescent="0.2">
      <c r="A6">
        <v>4</v>
      </c>
      <c r="B6" s="90"/>
      <c r="C6" s="90"/>
      <c r="D6" s="90"/>
      <c r="E6" s="90"/>
      <c r="F6" s="90">
        <f t="shared" si="0"/>
        <v>0</v>
      </c>
    </row>
    <row r="7" spans="1:6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4">
        <f>SUM(B3:B33)</f>
        <v>30279</v>
      </c>
      <c r="C34" s="304">
        <f>SUM(C3:C33)</f>
        <v>44000</v>
      </c>
      <c r="D34" s="14">
        <f>SUM(D3:D33)</f>
        <v>0</v>
      </c>
      <c r="E34" s="14">
        <f>SUM(E3:E33)</f>
        <v>0</v>
      </c>
      <c r="F34" s="14">
        <f>SUM(F3:F33)</f>
        <v>13721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367">
        <v>138520</v>
      </c>
    </row>
    <row r="38" spans="1:6" x14ac:dyDescent="0.2">
      <c r="A38" s="267">
        <v>36862</v>
      </c>
      <c r="B38" s="14"/>
      <c r="C38" s="14"/>
      <c r="D38" s="14"/>
      <c r="E38" s="14"/>
      <c r="F38" s="24">
        <f>+F37+F34</f>
        <v>152241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workbookViewId="1">
      <selection activeCell="B7" sqref="B7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210074</v>
      </c>
      <c r="C35" s="11">
        <f>SUM(C4:C34)</f>
        <v>211822</v>
      </c>
      <c r="D35" s="11">
        <f>SUM(D4:D34)</f>
        <v>1748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343">
        <v>84262</v>
      </c>
    </row>
    <row r="39" spans="1:4" x14ac:dyDescent="0.2">
      <c r="A39" s="2"/>
      <c r="D39" s="24"/>
    </row>
    <row r="40" spans="1:4" x14ac:dyDescent="0.2">
      <c r="A40" s="57">
        <v>36863</v>
      </c>
      <c r="D40" s="36">
        <f>+D38+D35</f>
        <v>86010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E6" sqref="E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42257</v>
      </c>
      <c r="C35" s="11">
        <f t="shared" ref="C35:I35" si="1">SUM(C4:C34)</f>
        <v>38807</v>
      </c>
      <c r="D35" s="11">
        <f t="shared" si="1"/>
        <v>21467</v>
      </c>
      <c r="E35" s="11">
        <f t="shared" si="1"/>
        <v>20000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-4917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6.52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-32058.839999999997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83">
        <v>-576716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36862</v>
      </c>
      <c r="J41" s="384">
        <f>+J39+J37</f>
        <v>-608774.84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1" workbookViewId="1">
      <selection activeCell="C29" sqref="C29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46575</v>
      </c>
      <c r="D8" s="24">
        <f t="shared" si="0"/>
        <v>263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0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0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132597</v>
      </c>
      <c r="C37" s="24">
        <f>SUM(C6:C36)+850+14+4-2000</f>
        <v>131630</v>
      </c>
      <c r="D37" s="24">
        <f>SUM(D6:D36)</f>
        <v>165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6.52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1075.8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0">
        <v>191116.48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36863</v>
      </c>
      <c r="B41" s="14"/>
      <c r="C41" s="14"/>
      <c r="D41" s="104">
        <f>+D40+D39</f>
        <v>192192.28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B9" sqref="B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/>
      <c r="C9" s="11"/>
      <c r="D9" s="25">
        <f t="shared" ref="D9:D37" si="0">+C9-B9</f>
        <v>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1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1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350496</v>
      </c>
      <c r="C38" s="11">
        <f>SUM(C7:C37)</f>
        <v>364894</v>
      </c>
      <c r="D38" s="11">
        <f>SUM(D7:D37)</f>
        <v>14398</v>
      </c>
    </row>
    <row r="39" spans="1:4" x14ac:dyDescent="0.2">
      <c r="A39" s="26"/>
      <c r="C39" s="14"/>
      <c r="D39" s="106">
        <f>+summary!P12</f>
        <v>6.34</v>
      </c>
    </row>
    <row r="40" spans="1:4" x14ac:dyDescent="0.2">
      <c r="D40" s="138">
        <f>+D39*D38</f>
        <v>91283.319999999992</v>
      </c>
    </row>
    <row r="41" spans="1:4" x14ac:dyDescent="0.2">
      <c r="A41" s="57">
        <v>36860</v>
      </c>
      <c r="C41" s="15"/>
      <c r="D41" s="376">
        <v>214357</v>
      </c>
    </row>
    <row r="42" spans="1:4" x14ac:dyDescent="0.2">
      <c r="A42" s="57">
        <v>36862</v>
      </c>
      <c r="D42" s="350">
        <f>+D41+D40</f>
        <v>305640.32000000001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workbookViewId="1">
      <selection activeCell="E8" sqref="E8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29061</v>
      </c>
      <c r="C36" s="44">
        <f>SUM(C5:C35)</f>
        <v>0</v>
      </c>
      <c r="D36" s="43">
        <f>SUM(D5:D35)</f>
        <v>0</v>
      </c>
      <c r="E36" s="44">
        <f>SUM(E5:E35)</f>
        <v>25000</v>
      </c>
      <c r="F36" s="11">
        <f>SUM(F5:F35)</f>
        <v>4061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29061</v>
      </c>
      <c r="D37" s="24"/>
      <c r="E37" s="24">
        <f>+D36-E36</f>
        <v>-25000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367">
        <v>28279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36863</v>
      </c>
      <c r="C42" s="14"/>
      <c r="D42" s="50"/>
      <c r="E42" s="50"/>
      <c r="F42" s="51">
        <f>+F41+F36</f>
        <v>32340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32" sqref="C32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816086</v>
      </c>
      <c r="C35" s="11">
        <f>SUM(C4:C34)</f>
        <v>826133</v>
      </c>
      <c r="D35" s="11">
        <f>SUM(D4:D34)</f>
        <v>10047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367">
        <v>159788</v>
      </c>
    </row>
    <row r="39" spans="1:30" x14ac:dyDescent="0.2">
      <c r="A39" s="12"/>
      <c r="D39" s="24"/>
    </row>
    <row r="40" spans="1:30" x14ac:dyDescent="0.2">
      <c r="A40" s="251">
        <v>36863</v>
      </c>
      <c r="D40" s="24">
        <f>+D38+D35</f>
        <v>169835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2" sqref="C32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/>
      <c r="C7" s="11"/>
      <c r="D7" s="25">
        <f t="shared" si="0"/>
        <v>0</v>
      </c>
      <c r="F7" s="10"/>
      <c r="G7" s="11"/>
      <c r="H7" s="11"/>
      <c r="I7" s="25"/>
      <c r="K7" s="25"/>
    </row>
    <row r="8" spans="1:11" x14ac:dyDescent="0.2">
      <c r="A8" s="10">
        <v>5</v>
      </c>
      <c r="B8" s="11"/>
      <c r="C8" s="11"/>
      <c r="D8" s="25">
        <f t="shared" si="0"/>
        <v>0</v>
      </c>
      <c r="F8" s="10"/>
      <c r="G8" s="11"/>
      <c r="H8" s="11"/>
      <c r="I8" s="25"/>
    </row>
    <row r="9" spans="1:11" x14ac:dyDescent="0.2">
      <c r="A9" s="10">
        <v>6</v>
      </c>
      <c r="B9" s="11"/>
      <c r="C9" s="11"/>
      <c r="D9" s="25">
        <f t="shared" si="0"/>
        <v>0</v>
      </c>
      <c r="F9" s="10"/>
      <c r="G9" s="11"/>
      <c r="H9" s="11"/>
      <c r="I9" s="25"/>
    </row>
    <row r="10" spans="1:11" x14ac:dyDescent="0.2">
      <c r="A10" s="10">
        <v>7</v>
      </c>
      <c r="B10" s="11"/>
      <c r="C10" s="11"/>
      <c r="D10" s="25">
        <f t="shared" si="0"/>
        <v>0</v>
      </c>
      <c r="F10" s="10"/>
      <c r="G10" s="11"/>
      <c r="H10" s="11"/>
      <c r="I10" s="25"/>
    </row>
    <row r="11" spans="1:11" x14ac:dyDescent="0.2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2225096</v>
      </c>
      <c r="C35" s="11">
        <f>SUM(C4:C34)</f>
        <v>2214665</v>
      </c>
      <c r="D35" s="11">
        <f>SUM(D4:D34)</f>
        <v>-10431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71">
        <v>85315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36863</v>
      </c>
      <c r="D40" s="36">
        <f>+D38+D35</f>
        <v>74884</v>
      </c>
      <c r="I40" s="24"/>
    </row>
    <row r="42" spans="1:45" x14ac:dyDescent="0.2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workbookViewId="1">
      <selection activeCell="C7" sqref="C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187</v>
      </c>
      <c r="D5" s="11"/>
      <c r="E5" s="11">
        <v>35000</v>
      </c>
      <c r="F5" s="11"/>
      <c r="G5" s="11"/>
      <c r="H5" s="11">
        <f t="shared" ref="H5:H34" si="0">+G5-F5+D5-E5+B5-C5</f>
        <v>568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4649</v>
      </c>
      <c r="C6" s="11">
        <v>187</v>
      </c>
      <c r="D6" s="11"/>
      <c r="E6" s="11"/>
      <c r="F6" s="11"/>
      <c r="G6" s="11"/>
      <c r="H6" s="11">
        <f t="shared" si="0"/>
        <v>4462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/>
      <c r="D7" s="11"/>
      <c r="E7" s="11"/>
      <c r="F7" s="11"/>
      <c r="G7" s="11"/>
      <c r="H7" s="11">
        <f t="shared" si="0"/>
        <v>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73699</v>
      </c>
      <c r="C35" s="44">
        <f t="shared" si="1"/>
        <v>18199</v>
      </c>
      <c r="D35" s="11">
        <f t="shared" si="1"/>
        <v>0</v>
      </c>
      <c r="E35" s="44">
        <f t="shared" si="1"/>
        <v>49579</v>
      </c>
      <c r="F35" s="11">
        <f t="shared" si="1"/>
        <v>0</v>
      </c>
      <c r="G35" s="11">
        <f t="shared" si="1"/>
        <v>0</v>
      </c>
      <c r="H35" s="11">
        <f t="shared" si="1"/>
        <v>5921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6.52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38604.92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69">
        <v>26084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36863</v>
      </c>
      <c r="F39" s="47"/>
      <c r="G39" s="47"/>
      <c r="H39" s="137">
        <f>+H38+H37</f>
        <v>64688.92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A39" sqref="A39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10.140625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/>
      <c r="E7" s="129"/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621414</v>
      </c>
      <c r="E36" s="11">
        <f t="shared" si="15"/>
        <v>614534</v>
      </c>
      <c r="F36" s="11">
        <f t="shared" si="15"/>
        <v>0</v>
      </c>
      <c r="G36" s="11">
        <f t="shared" si="15"/>
        <v>0</v>
      </c>
      <c r="H36" s="11">
        <f t="shared" si="15"/>
        <v>6880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9">
        <v>-6793</v>
      </c>
      <c r="D37" s="365"/>
      <c r="E37" s="378">
        <v>174842</v>
      </c>
      <c r="F37" s="24"/>
      <c r="G37" s="24"/>
      <c r="H37" s="24">
        <f>+E37+C37</f>
        <v>168049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36862</v>
      </c>
      <c r="B38" s="2" t="s">
        <v>49</v>
      </c>
      <c r="C38" s="131">
        <f>+C37+C36-B36</f>
        <v>-6793</v>
      </c>
      <c r="D38" s="262"/>
      <c r="E38" s="131">
        <f>+E37+D36-E36</f>
        <v>181722</v>
      </c>
      <c r="F38" s="262"/>
      <c r="G38" s="131"/>
      <c r="H38" s="131">
        <f>+H37+H36</f>
        <v>174929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workbookViewId="1">
      <selection activeCell="A14" sqref="A1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/>
      <c r="C9" s="11"/>
      <c r="D9" s="25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263982</v>
      </c>
      <c r="C37" s="11">
        <f>SUM(C6:C36)</f>
        <v>259672</v>
      </c>
      <c r="D37" s="11">
        <f>SUM(D6:D36)</f>
        <v>-4310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">
      <c r="A39" s="57">
        <v>36860</v>
      </c>
      <c r="C39" s="15"/>
      <c r="D39" s="367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">
      <c r="A40" s="57">
        <v>36863</v>
      </c>
      <c r="C40" s="48"/>
      <c r="D40" s="25">
        <f>+D39+D37</f>
        <v>-20201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workbookViewId="1">
      <selection activeCell="B17" sqref="B1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/>
      <c r="C11" s="11"/>
      <c r="D11" s="11">
        <f t="shared" si="0"/>
        <v>0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/>
      <c r="C12" s="11"/>
      <c r="D12" s="11">
        <f t="shared" si="0"/>
        <v>0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/>
      <c r="C13" s="11"/>
      <c r="D13" s="11">
        <f t="shared" si="0"/>
        <v>0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/>
      <c r="C14" s="11"/>
      <c r="D14" s="11">
        <f t="shared" si="0"/>
        <v>0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/>
      <c r="C15" s="11"/>
      <c r="D15" s="11">
        <f t="shared" si="0"/>
        <v>0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/>
      <c r="C16" s="11"/>
      <c r="D16" s="11">
        <f t="shared" si="0"/>
        <v>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/>
      <c r="C25" s="11"/>
      <c r="D25" s="11">
        <f t="shared" si="0"/>
        <v>0</v>
      </c>
      <c r="E25" s="348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469561</v>
      </c>
      <c r="C39" s="150">
        <f>SUM(C8:C38)</f>
        <v>462992</v>
      </c>
      <c r="D39" s="152">
        <f>SUM(D8:D38)</f>
        <v>-6569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6.34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-41647.46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4">
        <v>-17979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36863</v>
      </c>
      <c r="C43" s="142"/>
      <c r="D43" s="253">
        <f>+D42+D41</f>
        <v>-59626.46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142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52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19</vt:i4>
      </vt:variant>
    </vt:vector>
  </HeadingPairs>
  <TitlesOfParts>
    <vt:vector size="43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2000-11-30T16:27:30Z</cp:lastPrinted>
  <dcterms:created xsi:type="dcterms:W3CDTF">2000-03-28T16:52:23Z</dcterms:created>
  <dcterms:modified xsi:type="dcterms:W3CDTF">2014-09-05T10:01:09Z</dcterms:modified>
</cp:coreProperties>
</file>