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599"/>
    <workbookView xWindow="360" yWindow="90" windowWidth="11340" windowHeight="6795" tabRatio="601"/>
  </bookViews>
  <sheets>
    <sheet name="summary" sheetId="63" r:id="rId1"/>
    <sheet name="williams" sheetId="2" r:id="rId2"/>
    <sheet name="Lonestar" sheetId="5" r:id="rId3"/>
    <sheet name="PG&amp;E" sheetId="28" r:id="rId4"/>
    <sheet name="SoCal" sheetId="6" r:id="rId5"/>
    <sheet name="PGETX" sheetId="9" r:id="rId6"/>
    <sheet name="El Paso" sheetId="11" r:id="rId7"/>
    <sheet name="Amoco" sheetId="12" r:id="rId8"/>
    <sheet name="Red C" sheetId="15" r:id="rId9"/>
    <sheet name="Oasis" sheetId="16" r:id="rId10"/>
    <sheet name="Conoco" sheetId="13" r:id="rId11"/>
    <sheet name="Agave" sheetId="8" r:id="rId12"/>
    <sheet name="NW" sheetId="7" r:id="rId13"/>
    <sheet name="transcol" sheetId="19" r:id="rId14"/>
    <sheet name="Duke" sheetId="20" r:id="rId15"/>
    <sheet name="mewborne" sheetId="17" r:id="rId16"/>
    <sheet name="Amoco Abo" sheetId="18" r:id="rId17"/>
    <sheet name="NNG" sheetId="65" r:id="rId18"/>
    <sheet name="PNM" sheetId="64" r:id="rId19"/>
    <sheet name="NGPL" sheetId="67" r:id="rId20"/>
    <sheet name="Mojave" sheetId="68" r:id="rId21"/>
    <sheet name="EOG" sheetId="70" r:id="rId22"/>
    <sheet name="KN_Westar" sheetId="22" r:id="rId23"/>
    <sheet name="Continental" sheetId="71" r:id="rId24"/>
    <sheet name="burlington" sheetId="69" r:id="rId25"/>
  </sheets>
  <externalReferences>
    <externalReference r:id="rId26"/>
    <externalReference r:id="rId27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7">Amoco!$I$3:$L$40</definedName>
    <definedName name="_xlnm.Print_Area" localSheetId="16">'Amoco Abo'!$M$5:$P$43</definedName>
    <definedName name="_xlnm.Print_Area" localSheetId="10">Conoco!$A$1:$F$41</definedName>
    <definedName name="_xlnm.Print_Area" localSheetId="14">Duke!$A$2:$C$49</definedName>
    <definedName name="_xlnm.Print_Area" localSheetId="6">'El Paso'!$A$2:$H$38</definedName>
    <definedName name="_xlnm.Print_Area" localSheetId="21">EOG!$A$1:$J$41</definedName>
    <definedName name="_xlnm.Print_Area" localSheetId="22">KN_Westar!$AD$2:$AI$51</definedName>
    <definedName name="_xlnm.Print_Area" localSheetId="2">Lonestar!$A$2:$F$42</definedName>
    <definedName name="_xlnm.Print_Area" localSheetId="15">mewborne!$A$5:$J$43</definedName>
    <definedName name="_xlnm.Print_Area" localSheetId="17">NNG!$A$1:$D$25</definedName>
    <definedName name="_xlnm.Print_Area" localSheetId="12">NW!$M$345:$R$385</definedName>
    <definedName name="_xlnm.Print_Area" localSheetId="9">Oasis!$R$2:$U$40</definedName>
    <definedName name="_xlnm.Print_Area" localSheetId="3">'PG&amp;E'!$A$1:$D$40</definedName>
    <definedName name="_xlnm.Print_Area" localSheetId="5">PGETX!$A$1:$H$39</definedName>
    <definedName name="_xlnm.Print_Area" localSheetId="8">'Red C'!$A$2:$D$43</definedName>
    <definedName name="_xlnm.Print_Area" localSheetId="4">SoCal!$A$1:$D$43</definedName>
    <definedName name="_xlnm.Print_Area" localSheetId="1">williams!$A$1:$J$40</definedName>
    <definedName name="REVAL">#REF!</definedName>
    <definedName name="softball">#REF!</definedName>
    <definedName name="WRITEOFFS">#REF!</definedName>
  </definedNames>
  <calcPr calcId="152511"/>
</workbook>
</file>

<file path=xl/calcChain.xml><?xml version="1.0" encoding="utf-8"?>
<calcChain xmlns="http://schemas.openxmlformats.org/spreadsheetml/2006/main">
  <c r="D5" i="8" l="1"/>
  <c r="D6" i="8"/>
  <c r="B7" i="8"/>
  <c r="D7" i="8" s="1"/>
  <c r="D18" i="8" s="1"/>
  <c r="D8" i="8"/>
  <c r="D9" i="8"/>
  <c r="D10" i="8"/>
  <c r="D11" i="8"/>
  <c r="D12" i="8"/>
  <c r="D13" i="8"/>
  <c r="D14" i="8"/>
  <c r="D15" i="8"/>
  <c r="D16" i="8"/>
  <c r="D17" i="8"/>
  <c r="D19" i="8"/>
  <c r="D6" i="12"/>
  <c r="D37" i="12" s="1"/>
  <c r="D40" i="12" s="1"/>
  <c r="C37" i="63" s="1"/>
  <c r="B37" i="63" s="1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8" i="18"/>
  <c r="D9" i="18"/>
  <c r="D10" i="18"/>
  <c r="D39" i="18" s="1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B39" i="18"/>
  <c r="C39" i="18"/>
  <c r="D40" i="18"/>
  <c r="D7" i="69"/>
  <c r="D38" i="69" s="1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C36" i="13" s="1"/>
  <c r="C38" i="13" s="1"/>
  <c r="C41" i="13" s="1"/>
  <c r="D35" i="13"/>
  <c r="E35" i="13"/>
  <c r="F35" i="13" s="1"/>
  <c r="E36" i="13"/>
  <c r="C37" i="13"/>
  <c r="E37" i="13"/>
  <c r="E38" i="13" s="1"/>
  <c r="F40" i="13"/>
  <c r="F8" i="71"/>
  <c r="F39" i="71" s="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B10" i="20"/>
  <c r="B16" i="20" s="1"/>
  <c r="B11" i="20"/>
  <c r="B12" i="20"/>
  <c r="B13" i="20"/>
  <c r="B14" i="20"/>
  <c r="B15" i="20"/>
  <c r="B29" i="20"/>
  <c r="B44" i="20"/>
  <c r="H5" i="11"/>
  <c r="H6" i="11"/>
  <c r="E7" i="11"/>
  <c r="H7" i="11" s="1"/>
  <c r="E8" i="11"/>
  <c r="H8" i="11"/>
  <c r="AB8" i="11"/>
  <c r="AN8" i="11" s="1"/>
  <c r="AC8" i="11"/>
  <c r="AF8" i="11"/>
  <c r="AI8" i="11"/>
  <c r="AL8" i="11"/>
  <c r="AM8" i="11"/>
  <c r="AO8" i="11"/>
  <c r="AP8" i="11"/>
  <c r="E9" i="11"/>
  <c r="H9" i="11" s="1"/>
  <c r="AC9" i="11"/>
  <c r="AF9" i="11"/>
  <c r="AI9" i="11"/>
  <c r="AL9" i="11"/>
  <c r="AL48" i="11" s="1"/>
  <c r="AM9" i="11"/>
  <c r="AN9" i="11"/>
  <c r="AO9" i="11"/>
  <c r="AP9" i="11"/>
  <c r="E10" i="11"/>
  <c r="H10" i="11" s="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E12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E14" i="11"/>
  <c r="H14" i="11" s="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P20" i="11" s="1"/>
  <c r="AI20" i="11"/>
  <c r="AL20" i="11"/>
  <c r="AM20" i="11"/>
  <c r="AN20" i="11"/>
  <c r="AO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P27" i="11" s="1"/>
  <c r="AF27" i="11"/>
  <c r="AI27" i="11"/>
  <c r="AL27" i="11"/>
  <c r="AM27" i="11"/>
  <c r="AN27" i="11"/>
  <c r="AO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P34" i="11" s="1"/>
  <c r="AF34" i="11"/>
  <c r="AI34" i="11"/>
  <c r="AL34" i="11"/>
  <c r="AM34" i="11"/>
  <c r="AN34" i="11"/>
  <c r="AO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F36" i="11"/>
  <c r="G36" i="11"/>
  <c r="AC36" i="11"/>
  <c r="AE36" i="11"/>
  <c r="AP36" i="11" s="1"/>
  <c r="AI36" i="11"/>
  <c r="AL36" i="11"/>
  <c r="AM36" i="11"/>
  <c r="AN36" i="11"/>
  <c r="AO36" i="11"/>
  <c r="H37" i="11"/>
  <c r="AA37" i="11"/>
  <c r="AC37" i="11"/>
  <c r="AF37" i="11"/>
  <c r="AI37" i="11"/>
  <c r="AL37" i="11"/>
  <c r="AM37" i="11"/>
  <c r="AN37" i="11"/>
  <c r="AO37" i="11"/>
  <c r="AP37" i="11"/>
  <c r="C38" i="11"/>
  <c r="AC38" i="11"/>
  <c r="AE38" i="11"/>
  <c r="AF38" i="1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P47" i="11" s="1"/>
  <c r="AL47" i="11"/>
  <c r="AM47" i="11"/>
  <c r="AN47" i="11"/>
  <c r="AO47" i="11"/>
  <c r="AM48" i="11"/>
  <c r="AN48" i="11"/>
  <c r="AO48" i="11"/>
  <c r="AP48" i="11"/>
  <c r="J4" i="70"/>
  <c r="J35" i="70" s="1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6" i="70"/>
  <c r="D66" i="70"/>
  <c r="D67" i="70"/>
  <c r="D68" i="70"/>
  <c r="D69" i="70"/>
  <c r="D75" i="70"/>
  <c r="D6" i="22"/>
  <c r="D37" i="22" s="1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B37" i="22"/>
  <c r="C37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C37" i="5" s="1"/>
  <c r="D36" i="5"/>
  <c r="E37" i="5" s="1"/>
  <c r="E36" i="5"/>
  <c r="F36" i="5"/>
  <c r="F42" i="5" s="1"/>
  <c r="C23" i="63" s="1"/>
  <c r="B23" i="63" s="1"/>
  <c r="J8" i="17"/>
  <c r="J9" i="17"/>
  <c r="J39" i="17" s="1"/>
  <c r="J41" i="17" s="1"/>
  <c r="J43" i="17" s="1"/>
  <c r="B19" i="63" s="1"/>
  <c r="C19" i="63" s="1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40" i="17"/>
  <c r="B4" i="68"/>
  <c r="D4" i="68" s="1"/>
  <c r="D35" i="68" s="1"/>
  <c r="D40" i="68" s="1"/>
  <c r="C15" i="63" s="1"/>
  <c r="B15" i="63" s="1"/>
  <c r="B5" i="68"/>
  <c r="D5" i="68"/>
  <c r="D6" i="68"/>
  <c r="D7" i="68"/>
  <c r="B8" i="68"/>
  <c r="D8" i="68"/>
  <c r="B9" i="68"/>
  <c r="D9" i="68" s="1"/>
  <c r="B10" i="68"/>
  <c r="D10" i="68"/>
  <c r="B11" i="68"/>
  <c r="D11" i="68"/>
  <c r="D12" i="68"/>
  <c r="B13" i="68"/>
  <c r="D13" i="68"/>
  <c r="B14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C35" i="68"/>
  <c r="F3" i="67"/>
  <c r="F4" i="67"/>
  <c r="F5" i="67"/>
  <c r="F6" i="67"/>
  <c r="F7" i="67"/>
  <c r="F34" i="67" s="1"/>
  <c r="F38" i="67" s="1"/>
  <c r="C14" i="63" s="1"/>
  <c r="B14" i="63" s="1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7" i="67"/>
  <c r="D6" i="65"/>
  <c r="D7" i="65"/>
  <c r="B8" i="65"/>
  <c r="D8" i="65" s="1"/>
  <c r="D18" i="65" s="1"/>
  <c r="D9" i="65"/>
  <c r="D10" i="65"/>
  <c r="D11" i="65"/>
  <c r="D12" i="65"/>
  <c r="D13" i="65"/>
  <c r="D14" i="65"/>
  <c r="C5" i="7"/>
  <c r="F5" i="7"/>
  <c r="F36" i="7" s="1"/>
  <c r="F41" i="7" s="1"/>
  <c r="C32" i="63" s="1"/>
  <c r="Z5" i="7"/>
  <c r="AD5" i="7"/>
  <c r="AF5" i="7" s="1"/>
  <c r="AH5" i="7" s="1"/>
  <c r="C6" i="7"/>
  <c r="F6" i="7"/>
  <c r="Z6" i="7"/>
  <c r="AD6" i="7"/>
  <c r="AF6" i="7" s="1"/>
  <c r="F7" i="7"/>
  <c r="Z7" i="7"/>
  <c r="AD7" i="7" s="1"/>
  <c r="AF7" i="7" s="1"/>
  <c r="F8" i="7"/>
  <c r="Z8" i="7"/>
  <c r="AD8" i="7"/>
  <c r="AF8" i="7" s="1"/>
  <c r="F9" i="7"/>
  <c r="Z9" i="7"/>
  <c r="AD9" i="7"/>
  <c r="AF9" i="7"/>
  <c r="C10" i="7"/>
  <c r="F10" i="7"/>
  <c r="Z10" i="7"/>
  <c r="AD10" i="7"/>
  <c r="AF10" i="7"/>
  <c r="C11" i="7"/>
  <c r="F11" i="7"/>
  <c r="Z11" i="7"/>
  <c r="AD11" i="7"/>
  <c r="AF11" i="7"/>
  <c r="C12" i="7"/>
  <c r="F12" i="7"/>
  <c r="Z12" i="7"/>
  <c r="AD12" i="7"/>
  <c r="AF12" i="7"/>
  <c r="C13" i="7"/>
  <c r="F13" i="7"/>
  <c r="Z13" i="7"/>
  <c r="AD13" i="7"/>
  <c r="AF13" i="7"/>
  <c r="C14" i="7"/>
  <c r="F14" i="7"/>
  <c r="Z14" i="7"/>
  <c r="AD14" i="7"/>
  <c r="AF14" i="7"/>
  <c r="F15" i="7"/>
  <c r="Z15" i="7"/>
  <c r="AD15" i="7"/>
  <c r="AF15" i="7"/>
  <c r="F16" i="7"/>
  <c r="Z16" i="7"/>
  <c r="AD16" i="7"/>
  <c r="AF16" i="7"/>
  <c r="F17" i="7"/>
  <c r="Z17" i="7"/>
  <c r="AD17" i="7" s="1"/>
  <c r="AF17" i="7" s="1"/>
  <c r="F18" i="7"/>
  <c r="AI18" i="7"/>
  <c r="F19" i="7"/>
  <c r="Z19" i="7"/>
  <c r="AD19" i="7"/>
  <c r="AF19" i="7"/>
  <c r="AG19" i="7"/>
  <c r="AG20" i="7" s="1"/>
  <c r="AH19" i="7"/>
  <c r="AI19" i="7" s="1"/>
  <c r="F20" i="7"/>
  <c r="Z20" i="7"/>
  <c r="AD20" i="7" s="1"/>
  <c r="AF20" i="7" s="1"/>
  <c r="F21" i="7"/>
  <c r="Z21" i="7"/>
  <c r="AD21" i="7" s="1"/>
  <c r="AF21" i="7" s="1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E36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 s="1"/>
  <c r="D40" i="16" s="1"/>
  <c r="C18" i="63" s="1"/>
  <c r="B18" i="63" s="1"/>
  <c r="D4" i="28"/>
  <c r="D5" i="28"/>
  <c r="D6" i="28"/>
  <c r="D35" i="28" s="1"/>
  <c r="D40" i="28" s="1"/>
  <c r="C13" i="63" s="1"/>
  <c r="B13" i="63" s="1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H4" i="9"/>
  <c r="H5" i="9"/>
  <c r="H6" i="9"/>
  <c r="H7" i="9"/>
  <c r="H8" i="9"/>
  <c r="H9" i="9"/>
  <c r="H10" i="9"/>
  <c r="H35" i="9" s="1"/>
  <c r="H37" i="9" s="1"/>
  <c r="H39" i="9" s="1"/>
  <c r="B26" i="63" s="1"/>
  <c r="C26" i="63" s="1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6" i="9"/>
  <c r="D5" i="64"/>
  <c r="D17" i="64" s="1"/>
  <c r="D6" i="64"/>
  <c r="D7" i="64"/>
  <c r="D8" i="64"/>
  <c r="D9" i="64"/>
  <c r="D10" i="64"/>
  <c r="D11" i="64"/>
  <c r="D12" i="64"/>
  <c r="D13" i="64"/>
  <c r="E40" i="64"/>
  <c r="E43" i="64" s="1"/>
  <c r="D43" i="64" s="1"/>
  <c r="E41" i="64"/>
  <c r="E42" i="64"/>
  <c r="C43" i="64"/>
  <c r="E44" i="64"/>
  <c r="D8" i="15"/>
  <c r="D39" i="15" s="1"/>
  <c r="AD8" i="15"/>
  <c r="AH8" i="15"/>
  <c r="AL8" i="15"/>
  <c r="AP8" i="15"/>
  <c r="AT8" i="15"/>
  <c r="D9" i="15"/>
  <c r="AD9" i="15"/>
  <c r="AH9" i="15"/>
  <c r="AL9" i="15"/>
  <c r="AL39" i="15" s="1"/>
  <c r="AP9" i="15"/>
  <c r="AT9" i="15"/>
  <c r="D10" i="15"/>
  <c r="AD10" i="15"/>
  <c r="AH10" i="15"/>
  <c r="AL10" i="15"/>
  <c r="AP10" i="15"/>
  <c r="AT10" i="15"/>
  <c r="D11" i="15"/>
  <c r="AD11" i="15"/>
  <c r="AH11" i="15"/>
  <c r="AL11" i="15"/>
  <c r="AP11" i="15"/>
  <c r="AT11" i="15"/>
  <c r="D12" i="15"/>
  <c r="AD12" i="15"/>
  <c r="AH12" i="15"/>
  <c r="AL12" i="15"/>
  <c r="AP12" i="15"/>
  <c r="AT12" i="15"/>
  <c r="D13" i="15"/>
  <c r="AD13" i="15"/>
  <c r="AH13" i="15"/>
  <c r="AL13" i="15"/>
  <c r="AP13" i="15"/>
  <c r="AT13" i="15"/>
  <c r="D14" i="15"/>
  <c r="AD14" i="15"/>
  <c r="AH14" i="15"/>
  <c r="AL14" i="15"/>
  <c r="AP14" i="15"/>
  <c r="AT14" i="15"/>
  <c r="D15" i="15"/>
  <c r="AD15" i="15"/>
  <c r="AH15" i="15"/>
  <c r="AL15" i="15"/>
  <c r="AP15" i="15"/>
  <c r="AT15" i="15"/>
  <c r="D16" i="15"/>
  <c r="AD16" i="15"/>
  <c r="AH16" i="15"/>
  <c r="AL16" i="15"/>
  <c r="AO16" i="15"/>
  <c r="AP16" i="15" s="1"/>
  <c r="AS16" i="15"/>
  <c r="AT16" i="15"/>
  <c r="D17" i="15"/>
  <c r="AD17" i="15"/>
  <c r="AH17" i="15"/>
  <c r="AL17" i="15"/>
  <c r="AP17" i="15"/>
  <c r="AT17" i="15"/>
  <c r="D18" i="15"/>
  <c r="AD18" i="15"/>
  <c r="AH18" i="15"/>
  <c r="AL18" i="15"/>
  <c r="AP18" i="15"/>
  <c r="AT18" i="15"/>
  <c r="D19" i="15"/>
  <c r="AD19" i="15"/>
  <c r="AH19" i="15"/>
  <c r="AL19" i="15"/>
  <c r="AP19" i="15"/>
  <c r="AT19" i="15"/>
  <c r="D20" i="15"/>
  <c r="AD20" i="15"/>
  <c r="AH20" i="15"/>
  <c r="AL20" i="15"/>
  <c r="AP20" i="15"/>
  <c r="AT20" i="15"/>
  <c r="D21" i="15"/>
  <c r="AD21" i="15"/>
  <c r="AH21" i="15"/>
  <c r="AL21" i="15"/>
  <c r="AO21" i="15"/>
  <c r="AP21" i="15" s="1"/>
  <c r="AT21" i="15"/>
  <c r="D22" i="15"/>
  <c r="AD22" i="15"/>
  <c r="AH22" i="15"/>
  <c r="AL22" i="15"/>
  <c r="AO22" i="15"/>
  <c r="AP22" i="15"/>
  <c r="AT22" i="15"/>
  <c r="D23" i="15"/>
  <c r="AD23" i="15"/>
  <c r="AH23" i="15"/>
  <c r="AL23" i="15"/>
  <c r="AO23" i="15"/>
  <c r="AP23" i="15" s="1"/>
  <c r="AT23" i="15"/>
  <c r="D24" i="15"/>
  <c r="AD24" i="15"/>
  <c r="AH24" i="15"/>
  <c r="AL24" i="15"/>
  <c r="AO24" i="15"/>
  <c r="AP24" i="15"/>
  <c r="AT24" i="15"/>
  <c r="D25" i="15"/>
  <c r="AD25" i="15"/>
  <c r="AH25" i="15"/>
  <c r="AL25" i="15"/>
  <c r="AP25" i="15"/>
  <c r="AT25" i="15"/>
  <c r="D26" i="15"/>
  <c r="AD26" i="15"/>
  <c r="AH26" i="15"/>
  <c r="AL26" i="15"/>
  <c r="AO26" i="15"/>
  <c r="AP26" i="15"/>
  <c r="AT26" i="15"/>
  <c r="D27" i="15"/>
  <c r="AD27" i="15"/>
  <c r="AH27" i="15"/>
  <c r="AL27" i="15"/>
  <c r="AO27" i="15"/>
  <c r="AP27" i="15" s="1"/>
  <c r="AT27" i="15"/>
  <c r="D28" i="15"/>
  <c r="AD28" i="15"/>
  <c r="AG28" i="15"/>
  <c r="AH28" i="15" s="1"/>
  <c r="AL28" i="15"/>
  <c r="AP28" i="15"/>
  <c r="AT28" i="15"/>
  <c r="D29" i="15"/>
  <c r="AD29" i="15"/>
  <c r="AH29" i="15"/>
  <c r="AL29" i="15"/>
  <c r="AP29" i="15"/>
  <c r="AT29" i="15"/>
  <c r="D30" i="15"/>
  <c r="AD30" i="15"/>
  <c r="AH30" i="15"/>
  <c r="AL30" i="15"/>
  <c r="AP30" i="15"/>
  <c r="AS30" i="15"/>
  <c r="AT30" i="15" s="1"/>
  <c r="D31" i="15"/>
  <c r="AD31" i="15"/>
  <c r="AH31" i="15"/>
  <c r="AL31" i="15"/>
  <c r="AP31" i="15"/>
  <c r="AT31" i="15"/>
  <c r="D32" i="15"/>
  <c r="AD32" i="15"/>
  <c r="AH32" i="15"/>
  <c r="AL32" i="15"/>
  <c r="AP32" i="15"/>
  <c r="AT32" i="15"/>
  <c r="D33" i="15"/>
  <c r="AD33" i="15"/>
  <c r="AH33" i="15"/>
  <c r="AL33" i="15"/>
  <c r="AP33" i="15"/>
  <c r="AT33" i="15"/>
  <c r="D34" i="15"/>
  <c r="AD34" i="15"/>
  <c r="AH34" i="15"/>
  <c r="AL34" i="15"/>
  <c r="AP34" i="15"/>
  <c r="AT34" i="15"/>
  <c r="D35" i="15"/>
  <c r="AD35" i="15"/>
  <c r="AH35" i="15"/>
  <c r="AL35" i="15"/>
  <c r="AP35" i="15"/>
  <c r="AS35" i="15"/>
  <c r="AT35" i="15"/>
  <c r="D36" i="15"/>
  <c r="AD36" i="15"/>
  <c r="AH36" i="15"/>
  <c r="AL36" i="15"/>
  <c r="AP36" i="15"/>
  <c r="AT36" i="15"/>
  <c r="D37" i="15"/>
  <c r="AD37" i="15"/>
  <c r="AH37" i="15"/>
  <c r="AL37" i="15"/>
  <c r="AP37" i="15"/>
  <c r="AT37" i="15"/>
  <c r="D38" i="15"/>
  <c r="AD38" i="15"/>
  <c r="AH38" i="15"/>
  <c r="AL38" i="15"/>
  <c r="AP38" i="15"/>
  <c r="AT38" i="15"/>
  <c r="B39" i="15"/>
  <c r="C39" i="15"/>
  <c r="AB39" i="15"/>
  <c r="AC39" i="15"/>
  <c r="AD39" i="15"/>
  <c r="AD45" i="15" s="1"/>
  <c r="AF39" i="15"/>
  <c r="AJ39" i="15"/>
  <c r="AK39" i="15"/>
  <c r="AN39" i="15"/>
  <c r="AO39" i="15"/>
  <c r="AR39" i="15"/>
  <c r="AF52" i="15"/>
  <c r="AF54" i="15"/>
  <c r="AF57" i="15" s="1"/>
  <c r="AF56" i="15"/>
  <c r="D86" i="15"/>
  <c r="D101" i="15" s="1"/>
  <c r="I86" i="15"/>
  <c r="D87" i="15"/>
  <c r="I87" i="15"/>
  <c r="I114" i="15" s="1"/>
  <c r="D88" i="15"/>
  <c r="I88" i="15"/>
  <c r="D89" i="15"/>
  <c r="I89" i="15"/>
  <c r="D90" i="15"/>
  <c r="I90" i="15"/>
  <c r="D91" i="15"/>
  <c r="I91" i="15"/>
  <c r="B92" i="15"/>
  <c r="B101" i="15" s="1"/>
  <c r="D92" i="15"/>
  <c r="I92" i="15"/>
  <c r="D93" i="15"/>
  <c r="I93" i="15"/>
  <c r="D94" i="15"/>
  <c r="I94" i="15"/>
  <c r="D95" i="15"/>
  <c r="I95" i="15"/>
  <c r="D96" i="15"/>
  <c r="I96" i="15"/>
  <c r="D97" i="15"/>
  <c r="I97" i="15"/>
  <c r="D98" i="15"/>
  <c r="I98" i="15"/>
  <c r="D99" i="15"/>
  <c r="I99" i="15"/>
  <c r="C100" i="15"/>
  <c r="I100" i="15"/>
  <c r="I101" i="15"/>
  <c r="I102" i="15"/>
  <c r="I103" i="15"/>
  <c r="I104" i="15"/>
  <c r="I105" i="15"/>
  <c r="I106" i="15"/>
  <c r="I107" i="15"/>
  <c r="D108" i="15"/>
  <c r="I108" i="15"/>
  <c r="I109" i="15"/>
  <c r="I110" i="15"/>
  <c r="I111" i="15"/>
  <c r="I112" i="15"/>
  <c r="G113" i="15"/>
  <c r="I113" i="15" s="1"/>
  <c r="D126" i="15"/>
  <c r="D127" i="15"/>
  <c r="D128" i="15"/>
  <c r="D129" i="15"/>
  <c r="D130" i="15"/>
  <c r="D131" i="15"/>
  <c r="B132" i="15"/>
  <c r="D132" i="15" s="1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B166" i="15"/>
  <c r="C166" i="15"/>
  <c r="B168" i="15"/>
  <c r="B174" i="15" s="1"/>
  <c r="B176" i="15" s="1"/>
  <c r="C168" i="15"/>
  <c r="C174" i="15" s="1"/>
  <c r="D169" i="15"/>
  <c r="D170" i="15"/>
  <c r="D171" i="15"/>
  <c r="D172" i="15"/>
  <c r="D173" i="15"/>
  <c r="C175" i="15"/>
  <c r="B178" i="15"/>
  <c r="C178" i="15"/>
  <c r="B180" i="15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B35" i="6"/>
  <c r="C35" i="6"/>
  <c r="D35" i="6"/>
  <c r="D40" i="6" s="1"/>
  <c r="C21" i="63" s="1"/>
  <c r="B21" i="63" s="1"/>
  <c r="D12" i="63"/>
  <c r="P12" i="63"/>
  <c r="D39" i="69" s="1"/>
  <c r="D40" i="69" s="1"/>
  <c r="D42" i="69" s="1"/>
  <c r="B20" i="63" s="1"/>
  <c r="C20" i="63" s="1"/>
  <c r="D13" i="63"/>
  <c r="P13" i="63"/>
  <c r="B30" i="20" s="1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D32" i="63"/>
  <c r="D33" i="63"/>
  <c r="B34" i="63"/>
  <c r="C34" i="63"/>
  <c r="D35" i="63"/>
  <c r="D36" i="63"/>
  <c r="D37" i="63"/>
  <c r="D38" i="63"/>
  <c r="D39" i="63"/>
  <c r="D40" i="63"/>
  <c r="D8" i="19"/>
  <c r="D9" i="19"/>
  <c r="D10" i="19"/>
  <c r="D39" i="19" s="1"/>
  <c r="D41" i="19" s="1"/>
  <c r="D43" i="19" s="1"/>
  <c r="B25" i="63" s="1"/>
  <c r="C25" i="63" s="1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40" i="19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 s="1"/>
  <c r="C22" i="63" s="1"/>
  <c r="B22" i="63" s="1"/>
  <c r="D66" i="2"/>
  <c r="D68" i="2" s="1"/>
  <c r="D69" i="2" s="1"/>
  <c r="D67" i="2"/>
  <c r="D75" i="2"/>
  <c r="D20" i="8" l="1"/>
  <c r="D24" i="8" s="1"/>
  <c r="B35" i="63" s="1"/>
  <c r="C35" i="63" s="1"/>
  <c r="E41" i="13"/>
  <c r="F41" i="13" s="1"/>
  <c r="B36" i="63" s="1"/>
  <c r="C36" i="63" s="1"/>
  <c r="F38" i="13"/>
  <c r="C30" i="20"/>
  <c r="C31" i="20" s="1"/>
  <c r="B17" i="20"/>
  <c r="C17" i="20" s="1"/>
  <c r="C18" i="20" s="1"/>
  <c r="B45" i="20"/>
  <c r="C45" i="20" s="1"/>
  <c r="C46" i="20" s="1"/>
  <c r="H36" i="11"/>
  <c r="H38" i="11" s="1"/>
  <c r="C12" i="63" s="1"/>
  <c r="C176" i="15"/>
  <c r="D176" i="15" s="1"/>
  <c r="D133" i="15"/>
  <c r="C101" i="15"/>
  <c r="AT39" i="15"/>
  <c r="AP39" i="15"/>
  <c r="AP45" i="15" s="1"/>
  <c r="AI5" i="7"/>
  <c r="AH6" i="7"/>
  <c r="AG21" i="7"/>
  <c r="AH39" i="15"/>
  <c r="AH45" i="15" s="1"/>
  <c r="B32" i="63"/>
  <c r="J37" i="70"/>
  <c r="J41" i="70" s="1"/>
  <c r="B33" i="63" s="1"/>
  <c r="C33" i="63" s="1"/>
  <c r="AL45" i="15"/>
  <c r="B102" i="15"/>
  <c r="D41" i="18"/>
  <c r="D43" i="18" s="1"/>
  <c r="B27" i="63" s="1"/>
  <c r="C27" i="63" s="1"/>
  <c r="B35" i="68"/>
  <c r="E36" i="11"/>
  <c r="E38" i="11" s="1"/>
  <c r="D40" i="15"/>
  <c r="D41" i="15" s="1"/>
  <c r="D43" i="15" s="1"/>
  <c r="B40" i="63" s="1"/>
  <c r="C40" i="63" s="1"/>
  <c r="B133" i="15"/>
  <c r="B136" i="15" s="1"/>
  <c r="D18" i="64"/>
  <c r="D19" i="64" s="1"/>
  <c r="D23" i="64" s="1"/>
  <c r="B16" i="63" s="1"/>
  <c r="C16" i="63" s="1"/>
  <c r="AG5" i="7"/>
  <c r="AG6" i="7" s="1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D19" i="65"/>
  <c r="D20" i="65" s="1"/>
  <c r="D24" i="65" s="1"/>
  <c r="B39" i="63" s="1"/>
  <c r="C39" i="63" s="1"/>
  <c r="AF36" i="11"/>
  <c r="AS39" i="15"/>
  <c r="AF20" i="11"/>
  <c r="F40" i="71"/>
  <c r="F41" i="71" s="1"/>
  <c r="F43" i="71" s="1"/>
  <c r="B38" i="63" s="1"/>
  <c r="C38" i="63" s="1"/>
  <c r="C41" i="63" s="1"/>
  <c r="AH20" i="7"/>
  <c r="C180" i="15"/>
  <c r="G114" i="15"/>
  <c r="AG39" i="15"/>
  <c r="D38" i="22"/>
  <c r="D39" i="22" s="1"/>
  <c r="D41" i="22" s="1"/>
  <c r="B24" i="63" s="1"/>
  <c r="C24" i="63" s="1"/>
  <c r="AH7" i="7" l="1"/>
  <c r="AI6" i="7"/>
  <c r="B103" i="15"/>
  <c r="B105" i="15" s="1"/>
  <c r="D105" i="15" s="1"/>
  <c r="D102" i="15"/>
  <c r="D103" i="15" s="1"/>
  <c r="C103" i="15" s="1"/>
  <c r="C62" i="20"/>
  <c r="B17" i="63" s="1"/>
  <c r="C17" i="63" s="1"/>
  <c r="AP51" i="15"/>
  <c r="AP48" i="15"/>
  <c r="B12" i="63"/>
  <c r="B28" i="63" s="1"/>
  <c r="C28" i="63"/>
  <c r="C44" i="63" s="1"/>
  <c r="AH21" i="7"/>
  <c r="AI21" i="7" s="1"/>
  <c r="AI20" i="7"/>
  <c r="B41" i="63"/>
  <c r="C133" i="15"/>
  <c r="AI7" i="7" l="1"/>
  <c r="AH8" i="7"/>
  <c r="B44" i="63"/>
  <c r="AH9" i="7" l="1"/>
  <c r="AI8" i="7"/>
  <c r="AH10" i="7" l="1"/>
  <c r="AI9" i="7"/>
  <c r="AH11" i="7" l="1"/>
  <c r="AI10" i="7"/>
  <c r="AH12" i="7" l="1"/>
  <c r="AI11" i="7"/>
  <c r="AH13" i="7" l="1"/>
  <c r="AI12" i="7"/>
  <c r="AH14" i="7" l="1"/>
  <c r="AI13" i="7"/>
  <c r="AH15" i="7" l="1"/>
  <c r="AI14" i="7"/>
  <c r="AH16" i="7" l="1"/>
  <c r="AI15" i="7"/>
  <c r="AI16" i="7" l="1"/>
  <c r="AH17" i="7"/>
  <c r="AI17" i="7" s="1"/>
</calcChain>
</file>

<file path=xl/sharedStrings.xml><?xml version="1.0" encoding="utf-8"?>
<sst xmlns="http://schemas.openxmlformats.org/spreadsheetml/2006/main" count="355" uniqueCount="130">
  <si>
    <t>Volume</t>
  </si>
  <si>
    <t>Northwest</t>
  </si>
  <si>
    <t>Mewborne</t>
  </si>
  <si>
    <t>Amoco Abo</t>
  </si>
  <si>
    <t xml:space="preserve">Agave imbalance   </t>
  </si>
  <si>
    <t>Positive = due Transwestern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</si>
  <si>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</si>
  <si>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</si>
  <si>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</si>
  <si>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</si>
  <si>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</si>
  <si>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</si>
  <si>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</si>
  <si>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</si>
  <si>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</si>
  <si>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</si>
  <si>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</si>
  <si>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</si>
  <si>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</si>
  <si>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</si>
  <si>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</si>
  <si>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</si>
  <si>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</si>
  <si>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</si>
  <si>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</si>
  <si>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</si>
  <si>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</si>
  <si>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</si>
  <si>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</si>
  <si>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</si>
  <si>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</si>
  <si>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</si>
  <si>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</si>
  <si>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</si>
  <si>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 xml:space="preserve">PG&amp;E </t>
  </si>
  <si>
    <t>SoCal</t>
  </si>
  <si>
    <t>PG&amp;E TX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</si>
  <si>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</si>
  <si>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</si>
  <si>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</si>
  <si>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</si>
  <si>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</si>
  <si>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</si>
  <si>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</si>
  <si>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</si>
  <si>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</si>
  <si>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</si>
  <si>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</si>
  <si>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</si>
  <si>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</si>
  <si>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</si>
  <si>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</si>
  <si>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</si>
  <si>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</si>
  <si>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</si>
  <si>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</si>
  <si>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</si>
  <si>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</si>
  <si>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</si>
  <si>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</si>
  <si>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</si>
  <si>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</si>
  <si>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</si>
  <si>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</si>
  <si>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</si>
  <si>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</si>
  <si>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</si>
  <si>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</si>
  <si>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</si>
  <si>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</si>
  <si>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</si>
  <si>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</si>
  <si>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</si>
  <si>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</si>
  <si>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</si>
  <si>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</si>
  <si>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</si>
  <si>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</si>
  <si>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</si>
  <si>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</si>
  <si>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</si>
  <si>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</si>
  <si>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</si>
  <si>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</si>
  <si>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</si>
  <si>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</si>
  <si>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</si>
  <si>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As of Date</t>
  </si>
  <si>
    <t>INDEX</t>
  </si>
  <si>
    <t>PNM</t>
  </si>
  <si>
    <t xml:space="preserve">PNM imbalance   </t>
  </si>
  <si>
    <t>Volumetric</t>
  </si>
  <si>
    <t>Dollar Valued</t>
  </si>
  <si>
    <t xml:space="preserve">                         - payback should be done on Volumetric receivable</t>
  </si>
  <si>
    <t xml:space="preserve">                         - payback should not be done on Volumetric payables</t>
  </si>
  <si>
    <t xml:space="preserve">                         - payback should not be done on Dollar valued receivables</t>
  </si>
  <si>
    <t>Duke Energy Trading and Marketing</t>
  </si>
  <si>
    <t>NNG</t>
  </si>
  <si>
    <t>Index is high - payback should be done on Dollar Valued payables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</si>
  <si>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</si>
  <si>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</si>
  <si>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</si>
  <si>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</si>
  <si>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</si>
  <si>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</si>
  <si>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</si>
  <si>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</si>
  <si>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</si>
  <si>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</si>
  <si>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</si>
  <si>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 xml:space="preserve">Milagro </t>
  </si>
  <si>
    <t>This balance is cashed out every month</t>
  </si>
  <si>
    <t>Terry Kowalke</t>
  </si>
  <si>
    <t>Cynthia Rivers</t>
  </si>
  <si>
    <t>Amy Mulligan</t>
  </si>
  <si>
    <t>Bert Hernandez</t>
  </si>
  <si>
    <t>MS rep</t>
  </si>
  <si>
    <t>Linda Ward</t>
  </si>
  <si>
    <t>Hernandez</t>
  </si>
  <si>
    <t xml:space="preserve">Duke </t>
  </si>
  <si>
    <t>EOG</t>
  </si>
  <si>
    <t>Pronghorn</t>
  </si>
  <si>
    <t>Pitchfork Ranch</t>
  </si>
  <si>
    <t>Tristi Draw</t>
  </si>
  <si>
    <t>OneOk Westex-Ward</t>
  </si>
  <si>
    <t>Pan-Alberta-shipper</t>
  </si>
  <si>
    <t>no payback to date</t>
  </si>
  <si>
    <t>This balance is cashed out every month $214,357 is the 11/30/00 balance</t>
  </si>
  <si>
    <t>Contintental</t>
  </si>
  <si>
    <t>Continental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</si>
</sst>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6" formatCode="mm/dd/yy"/>
  </numFmts>
  <fonts count="3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9"/>
      <color indexed="12"/>
      <name val="Arial"/>
      <family val="2"/>
    </font>
    <font>
      <sz val="8"/>
      <color indexed="12"/>
      <name val="Arial"/>
      <family val="2"/>
    </font>
    <font>
      <sz val="8"/>
      <color indexed="14"/>
      <name val="Arial"/>
      <family val="2"/>
    </font>
    <font>
      <sz val="9"/>
      <color indexed="60"/>
      <name val="Arial"/>
      <family val="2"/>
    </font>
    <font>
      <sz val="9"/>
      <color indexed="14"/>
      <name val="Arial"/>
      <family val="2"/>
    </font>
    <font>
      <sz val="8"/>
      <color indexed="60"/>
      <name val="Arial"/>
      <family val="2"/>
    </font>
    <font>
      <sz val="8"/>
      <color indexed="5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17" fontId="3" fillId="0" borderId="0" xfId="1" applyNumberFormat="1" applyFont="1" applyBorder="1"/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7" fontId="9" fillId="2" borderId="2" xfId="0" applyNumberFormat="1" applyFont="1" applyFill="1" applyBorder="1"/>
    <xf numFmtId="166" fontId="0" fillId="0" borderId="0" xfId="1" applyNumberFormat="1" applyFont="1"/>
    <xf numFmtId="166" fontId="9" fillId="0" borderId="0" xfId="0" applyNumberFormat="1" applyFont="1" applyFill="1"/>
    <xf numFmtId="17" fontId="4" fillId="0" borderId="0" xfId="0" applyNumberFormat="1" applyFont="1" applyFill="1" applyAlignment="1">
      <alignment horizontal="center"/>
    </xf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7" fontId="0" fillId="0" borderId="0" xfId="0" applyNumberFormat="1"/>
    <xf numFmtId="166" fontId="17" fillId="0" borderId="0" xfId="1" applyNumberFormat="1" applyFon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66" fontId="3" fillId="2" borderId="3" xfId="0" applyNumberFormat="1" applyFont="1" applyFill="1" applyBorder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7" fontId="3" fillId="0" borderId="3" xfId="1" applyNumberFormat="1" applyFont="1" applyFill="1" applyBorder="1"/>
    <xf numFmtId="37" fontId="22" fillId="0" borderId="0" xfId="1" applyNumberFormat="1" applyFont="1" applyFill="1"/>
    <xf numFmtId="0" fontId="29" fillId="0" borderId="0" xfId="0" applyFont="1"/>
    <xf numFmtId="5" fontId="29" fillId="0" borderId="0" xfId="0" applyNumberFormat="1" applyFont="1" applyAlignment="1">
      <alignment horizontal="right"/>
    </xf>
    <xf numFmtId="37" fontId="29" fillId="0" borderId="0" xfId="1" applyNumberFormat="1" applyFont="1" applyAlignment="1">
      <alignment horizontal="right"/>
    </xf>
    <xf numFmtId="0" fontId="29" fillId="0" borderId="0" xfId="0" applyFont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7" fontId="0" fillId="0" borderId="10" xfId="0" applyNumberFormat="1" applyBorder="1"/>
    <xf numFmtId="7" fontId="0" fillId="0" borderId="11" xfId="0" applyNumberFormat="1" applyBorder="1"/>
    <xf numFmtId="5" fontId="0" fillId="0" borderId="3" xfId="0" applyNumberFormat="1" applyBorder="1"/>
    <xf numFmtId="37" fontId="0" fillId="0" borderId="3" xfId="1" applyNumberFormat="1" applyFont="1" applyBorder="1"/>
    <xf numFmtId="5" fontId="0" fillId="0" borderId="0" xfId="0" applyNumberFormat="1" applyBorder="1"/>
    <xf numFmtId="37" fontId="0" fillId="0" borderId="0" xfId="1" applyNumberFormat="1" applyFont="1" applyBorder="1"/>
    <xf numFmtId="171" fontId="0" fillId="0" borderId="0" xfId="1" applyNumberFormat="1" applyFont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14" fontId="0" fillId="0" borderId="0" xfId="0" applyNumberFormat="1" applyBorder="1"/>
    <xf numFmtId="10" fontId="0" fillId="0" borderId="0" xfId="1" applyNumberFormat="1" applyFont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5" fontId="25" fillId="4" borderId="0" xfId="1" applyNumberFormat="1" applyFont="1" applyFill="1" applyBorder="1"/>
    <xf numFmtId="39" fontId="0" fillId="0" borderId="0" xfId="1" applyNumberFormat="1" applyFont="1"/>
    <xf numFmtId="37" fontId="0" fillId="0" borderId="1" xfId="1" applyNumberFormat="1" applyFont="1" applyBorder="1"/>
    <xf numFmtId="166" fontId="4" fillId="0" borderId="0" xfId="0" applyNumberFormat="1" applyFont="1" applyBorder="1"/>
    <xf numFmtId="44" fontId="9" fillId="0" borderId="0" xfId="2" applyFont="1" applyFill="1"/>
    <xf numFmtId="192" fontId="3" fillId="2" borderId="0" xfId="1" applyNumberFormat="1" applyFont="1" applyFill="1"/>
    <xf numFmtId="0" fontId="0" fillId="0" borderId="1" xfId="0" applyBorder="1"/>
    <xf numFmtId="166" fontId="11" fillId="0" borderId="0" xfId="0" applyNumberFormat="1" applyFont="1"/>
    <xf numFmtId="7" fontId="8" fillId="0" borderId="0" xfId="1" applyNumberFormat="1" applyFont="1" applyFill="1"/>
    <xf numFmtId="0" fontId="14" fillId="0" borderId="0" xfId="0" applyFont="1" applyBorder="1"/>
    <xf numFmtId="37" fontId="30" fillId="0" borderId="0" xfId="1" applyNumberFormat="1" applyFont="1" applyFill="1"/>
    <xf numFmtId="37" fontId="31" fillId="0" borderId="0" xfId="1" applyNumberFormat="1" applyFont="1" applyFill="1"/>
    <xf numFmtId="166" fontId="32" fillId="0" borderId="0" xfId="1" applyNumberFormat="1" applyFont="1"/>
    <xf numFmtId="166" fontId="32" fillId="0" borderId="1" xfId="1" applyNumberFormat="1" applyFont="1" applyBorder="1"/>
    <xf numFmtId="167" fontId="0" fillId="0" borderId="0" xfId="0" applyNumberFormat="1"/>
    <xf numFmtId="167" fontId="0" fillId="0" borderId="0" xfId="1" applyNumberFormat="1" applyFont="1"/>
    <xf numFmtId="5" fontId="0" fillId="0" borderId="1" xfId="0" applyNumberFormat="1" applyBorder="1"/>
    <xf numFmtId="5" fontId="14" fillId="0" borderId="0" xfId="0" applyNumberFormat="1" applyFont="1" applyBorder="1"/>
    <xf numFmtId="37" fontId="3" fillId="0" borderId="0" xfId="1" applyNumberFormat="1" applyFont="1"/>
    <xf numFmtId="5" fontId="3" fillId="5" borderId="0" xfId="0" applyNumberFormat="1" applyFont="1" applyFill="1"/>
    <xf numFmtId="37" fontId="3" fillId="5" borderId="0" xfId="1" applyNumberFormat="1" applyFont="1" applyFill="1" applyBorder="1"/>
    <xf numFmtId="43" fontId="0" fillId="0" borderId="0" xfId="0" applyNumberFormat="1"/>
    <xf numFmtId="7" fontId="9" fillId="0" borderId="0" xfId="0" applyNumberFormat="1" applyFont="1" applyFill="1" applyBorder="1"/>
    <xf numFmtId="5" fontId="3" fillId="2" borderId="0" xfId="1" applyNumberFormat="1" applyFont="1" applyFill="1"/>
    <xf numFmtId="210" fontId="0" fillId="0" borderId="0" xfId="1" applyNumberFormat="1" applyFont="1"/>
    <xf numFmtId="166" fontId="25" fillId="0" borderId="0" xfId="1" applyNumberFormat="1" applyFont="1" applyFill="1" applyAlignment="1"/>
    <xf numFmtId="168" fontId="0" fillId="0" borderId="0" xfId="0" applyNumberFormat="1"/>
    <xf numFmtId="39" fontId="0" fillId="0" borderId="0" xfId="0" applyNumberFormat="1"/>
    <xf numFmtId="37" fontId="33" fillId="0" borderId="0" xfId="1" applyNumberFormat="1" applyFont="1" applyFill="1"/>
    <xf numFmtId="37" fontId="34" fillId="0" borderId="0" xfId="1" applyNumberFormat="1" applyFont="1" applyFill="1"/>
    <xf numFmtId="37" fontId="34" fillId="0" borderId="0" xfId="1" applyNumberFormat="1" applyFont="1"/>
    <xf numFmtId="166" fontId="35" fillId="0" borderId="0" xfId="1" applyNumberFormat="1" applyFont="1"/>
    <xf numFmtId="166" fontId="25" fillId="3" borderId="1" xfId="0" applyNumberFormat="1" applyFont="1" applyFill="1" applyBorder="1"/>
    <xf numFmtId="37" fontId="3" fillId="3" borderId="0" xfId="1" applyNumberFormat="1" applyFont="1" applyFill="1"/>
    <xf numFmtId="166" fontId="3" fillId="3" borderId="1" xfId="1" applyNumberFormat="1" applyFont="1" applyFill="1" applyBorder="1"/>
    <xf numFmtId="7" fontId="22" fillId="3" borderId="1" xfId="1" applyNumberFormat="1" applyFont="1" applyFill="1" applyBorder="1"/>
    <xf numFmtId="5" fontId="3" fillId="3" borderId="1" xfId="0" applyNumberFormat="1" applyFont="1" applyFill="1" applyBorder="1"/>
    <xf numFmtId="7" fontId="25" fillId="3" borderId="1" xfId="0" applyNumberFormat="1" applyFont="1" applyFill="1" applyBorder="1"/>
    <xf numFmtId="166" fontId="3" fillId="3" borderId="0" xfId="1" applyNumberFormat="1" applyFont="1" applyFill="1" applyBorder="1"/>
    <xf numFmtId="5" fontId="3" fillId="3" borderId="0" xfId="1" applyNumberFormat="1" applyFont="1" applyFill="1"/>
    <xf numFmtId="7" fontId="3" fillId="3" borderId="0" xfId="1" applyNumberFormat="1" applyFont="1" applyFill="1"/>
    <xf numFmtId="44" fontId="9" fillId="3" borderId="0" xfId="2" applyFont="1" applyFill="1"/>
    <xf numFmtId="7" fontId="8" fillId="3" borderId="1" xfId="1" applyNumberFormat="1" applyFont="1" applyFill="1" applyBorder="1"/>
    <xf numFmtId="37" fontId="36" fillId="0" borderId="0" xfId="1" applyNumberFormat="1" applyFont="1" applyFill="1"/>
    <xf numFmtId="7" fontId="22" fillId="0" borderId="0" xfId="0" applyNumberFormat="1" applyFont="1"/>
    <xf numFmtId="7" fontId="9" fillId="3" borderId="0" xfId="0" applyNumberFormat="1" applyFont="1" applyFill="1"/>
    <xf numFmtId="7" fontId="22" fillId="3" borderId="0" xfId="0" applyNumberFormat="1" applyFont="1" applyFill="1"/>
    <xf numFmtId="180" fontId="11" fillId="0" borderId="0" xfId="0" applyNumberFormat="1" applyFont="1" applyBorder="1"/>
    <xf numFmtId="5" fontId="22" fillId="3" borderId="0" xfId="0" applyNumberFormat="1" applyFont="1" applyFill="1" applyAlignment="1">
      <alignment horizontal="left" indent="2"/>
    </xf>
    <xf numFmtId="7" fontId="3" fillId="3" borderId="0" xfId="0" applyNumberFormat="1" applyFont="1" applyFill="1"/>
    <xf numFmtId="43" fontId="4" fillId="0" borderId="0" xfId="1" applyFont="1" applyAlignment="1">
      <alignment horizontal="center"/>
    </xf>
    <xf numFmtId="5" fontId="14" fillId="0" borderId="1" xfId="0" applyNumberFormat="1" applyFont="1" applyBorder="1"/>
    <xf numFmtId="37" fontId="14" fillId="0" borderId="1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ipim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200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heet4"/>
      <sheetName val="Texaco"/>
      <sheetName val="Richardson"/>
      <sheetName val="Aquila"/>
      <sheetName val="SoCal"/>
      <sheetName val="SoCo Energy Mktg-CA"/>
      <sheetName val="Williams"/>
      <sheetName val="Amoco Trading"/>
      <sheetName val="Various"/>
      <sheetName val="ENA"/>
      <sheetName val="Reliant"/>
      <sheetName val="Duke"/>
      <sheetName val="USGT"/>
      <sheetName val="Enserch"/>
      <sheetName val="So Co "/>
      <sheetName val="PGE EnergyTrading"/>
      <sheetName val="Burlington"/>
      <sheetName val="Dynegy"/>
      <sheetName val="Tenaska"/>
      <sheetName val="Sempra"/>
      <sheetName val="Red Cedar"/>
      <sheetName val="Utilicorp"/>
      <sheetName val="Arizona"/>
      <sheetName val="GPM"/>
      <sheetName val="Tezas-Ohio"/>
      <sheetName val="SMUD"/>
      <sheetName val="El Paso"/>
      <sheetName val="OneOK"/>
      <sheetName val="OneOK Energy"/>
      <sheetName val="Sheet12"/>
      <sheetName val="Sheet11"/>
      <sheetName val="Sheet10"/>
      <sheetName val="Sheet9"/>
      <sheetName val="Sheet1"/>
    </sheetNames>
    <sheetDataSet>
      <sheetData sheetId="0">
        <row r="42">
          <cell r="C42">
            <v>-316386.95</v>
          </cell>
        </row>
        <row r="43">
          <cell r="C43">
            <v>-337202.85000000003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00"/>
    </sheetNames>
    <sheetDataSet>
      <sheetData sheetId="0">
        <row r="39">
          <cell r="K39">
            <v>7.61</v>
          </cell>
          <cell r="M39">
            <v>7.74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7"/>
  <sheetViews>
    <sheetView tabSelected="1" topLeftCell="A10" workbookViewId="0">
      <selection activeCell="B15" sqref="B15"/>
    </sheetView>
    <sheetView tabSelected="1" topLeftCell="A4" workbookViewId="1">
      <selection activeCell="D38" sqref="D38"/>
    </sheetView>
  </sheetViews>
  <sheetFormatPr defaultRowHeight="12.75" x14ac:dyDescent="0.2"/>
  <cols>
    <col min="1" max="1" width="20.5703125" style="302" customWidth="1"/>
    <col min="2" max="2" width="11.85546875" style="254" customWidth="1"/>
    <col min="3" max="3" width="11.28515625" style="303" customWidth="1"/>
    <col min="4" max="4" width="10.7109375" bestFit="1" customWidth="1"/>
    <col min="5" max="5" width="12" bestFit="1" customWidth="1"/>
    <col min="6" max="6" width="15.140625" customWidth="1"/>
  </cols>
  <sheetData>
    <row r="2" spans="1:16" ht="15.75" x14ac:dyDescent="0.25">
      <c r="A2" s="53" t="s">
        <v>98</v>
      </c>
    </row>
    <row r="3" spans="1:16" ht="15.75" x14ac:dyDescent="0.25">
      <c r="A3" s="53" t="s">
        <v>93</v>
      </c>
    </row>
    <row r="4" spans="1:16" ht="15" customHeight="1" x14ac:dyDescent="0.25">
      <c r="A4" s="53" t="s">
        <v>95</v>
      </c>
    </row>
    <row r="5" spans="1:16" ht="15" customHeight="1" x14ac:dyDescent="0.25">
      <c r="A5" s="53" t="s">
        <v>94</v>
      </c>
    </row>
    <row r="6" spans="1:16" ht="12.95" customHeight="1" x14ac:dyDescent="0.2"/>
    <row r="7" spans="1:16" ht="18" customHeight="1" x14ac:dyDescent="0.2"/>
    <row r="8" spans="1:16" ht="18" customHeight="1" x14ac:dyDescent="0.2">
      <c r="A8" s="34" t="s">
        <v>5</v>
      </c>
    </row>
    <row r="9" spans="1:16" ht="18" customHeight="1" x14ac:dyDescent="0.2">
      <c r="A9" s="34" t="s">
        <v>6</v>
      </c>
      <c r="B9" s="271"/>
    </row>
    <row r="10" spans="1:16" ht="18" customHeight="1" x14ac:dyDescent="0.2"/>
    <row r="11" spans="1:16" ht="18" customHeight="1" x14ac:dyDescent="0.2">
      <c r="A11" s="308" t="s">
        <v>100</v>
      </c>
      <c r="B11" s="309" t="s">
        <v>18</v>
      </c>
      <c r="C11" s="310" t="s">
        <v>0</v>
      </c>
      <c r="D11" s="311" t="s">
        <v>87</v>
      </c>
      <c r="E11" s="308" t="s">
        <v>101</v>
      </c>
      <c r="F11" s="349" t="s">
        <v>116</v>
      </c>
      <c r="G11" s="308" t="s">
        <v>109</v>
      </c>
      <c r="O11" s="312" t="s">
        <v>84</v>
      </c>
      <c r="P11" s="313"/>
    </row>
    <row r="12" spans="1:16" ht="18" customHeight="1" x14ac:dyDescent="0.2">
      <c r="A12" s="302" t="s">
        <v>37</v>
      </c>
      <c r="B12" s="320">
        <f>+C12*$P$13</f>
        <v>1827297.9000000001</v>
      </c>
      <c r="C12" s="321">
        <f>+'El Paso'!H38</f>
        <v>236085</v>
      </c>
      <c r="D12" s="65">
        <f>+'El Paso'!A38</f>
        <v>36871</v>
      </c>
      <c r="E12" t="s">
        <v>91</v>
      </c>
      <c r="F12" t="s">
        <v>113</v>
      </c>
      <c r="O12" s="314" t="s">
        <v>31</v>
      </c>
      <c r="P12" s="316">
        <f>+'[2]1200'!$K$39</f>
        <v>7.61</v>
      </c>
    </row>
    <row r="13" spans="1:16" ht="18" customHeight="1" x14ac:dyDescent="0.2">
      <c r="A13" s="302" t="s">
        <v>34</v>
      </c>
      <c r="B13" s="254">
        <f>+C13*$P$13</f>
        <v>1460925</v>
      </c>
      <c r="C13" s="303">
        <f>+'PG&amp;E'!D40</f>
        <v>188750</v>
      </c>
      <c r="D13" s="65">
        <f>+'PG&amp;E'!A40</f>
        <v>36871</v>
      </c>
      <c r="E13" t="s">
        <v>91</v>
      </c>
      <c r="F13" t="s">
        <v>117</v>
      </c>
      <c r="O13" s="315" t="s">
        <v>32</v>
      </c>
      <c r="P13" s="317">
        <f>+'[2]1200'!$M$39</f>
        <v>7.74</v>
      </c>
    </row>
    <row r="14" spans="1:16" ht="18" customHeight="1" x14ac:dyDescent="0.2">
      <c r="A14" s="302" t="s">
        <v>99</v>
      </c>
      <c r="B14" s="320">
        <f>+C14*$P$13</f>
        <v>1177284.96</v>
      </c>
      <c r="C14" s="321">
        <f>+NGPL!F38</f>
        <v>152104</v>
      </c>
      <c r="D14" s="65">
        <f>+NGPL!A38</f>
        <v>36871</v>
      </c>
      <c r="E14" t="s">
        <v>91</v>
      </c>
      <c r="F14" t="s">
        <v>114</v>
      </c>
    </row>
    <row r="15" spans="1:16" ht="18" customHeight="1" x14ac:dyDescent="0.2">
      <c r="A15" s="302" t="s">
        <v>105</v>
      </c>
      <c r="B15" s="254">
        <f>+C15*$P$13</f>
        <v>716383.44000000006</v>
      </c>
      <c r="C15" s="303">
        <f>+Mojave!D40</f>
        <v>92556</v>
      </c>
      <c r="D15" s="65">
        <f>+Mojave!A40</f>
        <v>36871</v>
      </c>
      <c r="E15" t="s">
        <v>91</v>
      </c>
      <c r="F15" t="s">
        <v>113</v>
      </c>
    </row>
    <row r="16" spans="1:16" ht="18" customHeight="1" x14ac:dyDescent="0.2">
      <c r="A16" s="302" t="s">
        <v>89</v>
      </c>
      <c r="B16" s="320">
        <f>+PNM!$D$23</f>
        <v>617844.62</v>
      </c>
      <c r="C16" s="321">
        <f>+B16/$P$13</f>
        <v>79824.886304909553</v>
      </c>
      <c r="D16" s="65">
        <f>+PNM!A23</f>
        <v>36871</v>
      </c>
      <c r="E16" t="s">
        <v>92</v>
      </c>
      <c r="F16" t="s">
        <v>113</v>
      </c>
    </row>
    <row r="17" spans="1:7" ht="18" customHeight="1" x14ac:dyDescent="0.2">
      <c r="A17" s="302" t="s">
        <v>119</v>
      </c>
      <c r="B17" s="254">
        <f>+Duke!C62</f>
        <v>556434.16</v>
      </c>
      <c r="C17" s="303">
        <f>+B17/$P$13</f>
        <v>71890.718346253227</v>
      </c>
      <c r="D17" s="65">
        <f>+Duke!A40</f>
        <v>36871</v>
      </c>
      <c r="E17" t="s">
        <v>92</v>
      </c>
      <c r="F17" t="s">
        <v>112</v>
      </c>
    </row>
    <row r="18" spans="1:7" ht="18" customHeight="1" x14ac:dyDescent="0.2">
      <c r="A18" s="302" t="s">
        <v>8</v>
      </c>
      <c r="B18" s="320">
        <f>+C18*$P$13</f>
        <v>530027.46</v>
      </c>
      <c r="C18" s="321">
        <f>+Oasis!D40</f>
        <v>68479</v>
      </c>
      <c r="D18" s="65">
        <f>+Oasis!B40</f>
        <v>36871</v>
      </c>
      <c r="E18" t="s">
        <v>91</v>
      </c>
      <c r="F18" t="s">
        <v>117</v>
      </c>
    </row>
    <row r="19" spans="1:7" ht="18" customHeight="1" x14ac:dyDescent="0.2">
      <c r="A19" s="302" t="s">
        <v>2</v>
      </c>
      <c r="B19" s="320">
        <f>+mewborne!$J$43</f>
        <v>513675.75</v>
      </c>
      <c r="C19" s="321">
        <f>+B19/$P$13</f>
        <v>66366.375968992244</v>
      </c>
      <c r="D19" s="65">
        <f>+mewborne!A43</f>
        <v>36871</v>
      </c>
      <c r="E19" t="s">
        <v>92</v>
      </c>
      <c r="F19" t="s">
        <v>114</v>
      </c>
    </row>
    <row r="20" spans="1:7" ht="18" customHeight="1" x14ac:dyDescent="0.2">
      <c r="A20" s="352" t="s">
        <v>106</v>
      </c>
      <c r="B20" s="320">
        <f>+burlington!D42</f>
        <v>416448.16000000003</v>
      </c>
      <c r="C20" s="321">
        <f>+B20/$P$12</f>
        <v>54723.80551905388</v>
      </c>
      <c r="D20" s="328">
        <f>+burlington!A42</f>
        <v>36871</v>
      </c>
      <c r="E20" s="325" t="s">
        <v>92</v>
      </c>
      <c r="F20" t="s">
        <v>114</v>
      </c>
      <c r="G20" t="s">
        <v>127</v>
      </c>
    </row>
    <row r="21" spans="1:7" ht="18" customHeight="1" x14ac:dyDescent="0.2">
      <c r="A21" s="302" t="s">
        <v>35</v>
      </c>
      <c r="B21" s="320">
        <f>+C21*$P$13</f>
        <v>398486.16000000003</v>
      </c>
      <c r="C21" s="321">
        <f>+SoCal!D40</f>
        <v>51484</v>
      </c>
      <c r="D21" s="65">
        <f>+SoCal!A40</f>
        <v>36871</v>
      </c>
      <c r="E21" t="s">
        <v>91</v>
      </c>
      <c r="F21" t="s">
        <v>113</v>
      </c>
    </row>
    <row r="22" spans="1:7" ht="18" customHeight="1" x14ac:dyDescent="0.2">
      <c r="A22" s="302" t="s">
        <v>30</v>
      </c>
      <c r="B22" s="320">
        <f>+C22*$P$12</f>
        <v>274447.04000000004</v>
      </c>
      <c r="C22" s="321">
        <f>+williams!J40</f>
        <v>36064</v>
      </c>
      <c r="D22" s="65">
        <f>+williams!A40</f>
        <v>36871</v>
      </c>
      <c r="E22" t="s">
        <v>91</v>
      </c>
      <c r="F22" t="s">
        <v>118</v>
      </c>
    </row>
    <row r="23" spans="1:7" ht="18" customHeight="1" x14ac:dyDescent="0.2">
      <c r="A23" s="302" t="s">
        <v>33</v>
      </c>
      <c r="B23" s="320">
        <f>+C23*$P$13</f>
        <v>187733.7</v>
      </c>
      <c r="C23" s="321">
        <f>+Lonestar!F42</f>
        <v>24255</v>
      </c>
      <c r="D23" s="328">
        <f>+Lonestar!B42</f>
        <v>36871</v>
      </c>
      <c r="E23" t="s">
        <v>91</v>
      </c>
      <c r="F23" t="s">
        <v>117</v>
      </c>
    </row>
    <row r="24" spans="1:7" ht="18" customHeight="1" x14ac:dyDescent="0.2">
      <c r="A24" s="302" t="s">
        <v>124</v>
      </c>
      <c r="B24" s="320">
        <f>+KN_Westar!D41</f>
        <v>173546.44</v>
      </c>
      <c r="C24" s="321">
        <f>+B24/$P$13</f>
        <v>22422.020671834623</v>
      </c>
      <c r="D24" s="65">
        <f>+KN_Westar!A41</f>
        <v>36871</v>
      </c>
      <c r="E24" t="s">
        <v>92</v>
      </c>
      <c r="F24" t="s">
        <v>115</v>
      </c>
    </row>
    <row r="25" spans="1:7" ht="18" customHeight="1" x14ac:dyDescent="0.2">
      <c r="A25" s="302" t="s">
        <v>77</v>
      </c>
      <c r="B25" s="360">
        <f>+transcol!$D$43</f>
        <v>87187.65</v>
      </c>
      <c r="C25" s="321">
        <f>+B25/$P$13</f>
        <v>11264.554263565891</v>
      </c>
      <c r="D25" s="65">
        <f>+transcol!A43</f>
        <v>36871</v>
      </c>
      <c r="E25" t="s">
        <v>92</v>
      </c>
      <c r="F25" t="s">
        <v>114</v>
      </c>
    </row>
    <row r="26" spans="1:7" ht="18" customHeight="1" x14ac:dyDescent="0.2">
      <c r="A26" s="302" t="s">
        <v>36</v>
      </c>
      <c r="B26" s="320">
        <f>+PGETX!$H$39</f>
        <v>20676.96</v>
      </c>
      <c r="C26" s="321">
        <f>+B26/$P$13</f>
        <v>2671.441860465116</v>
      </c>
      <c r="D26" s="65">
        <f>+PGETX!E39</f>
        <v>36871</v>
      </c>
      <c r="E26" t="s">
        <v>92</v>
      </c>
      <c r="F26" t="s">
        <v>117</v>
      </c>
      <c r="G26" t="s">
        <v>111</v>
      </c>
    </row>
    <row r="27" spans="1:7" ht="18" customHeight="1" x14ac:dyDescent="0.2">
      <c r="A27" s="302" t="s">
        <v>3</v>
      </c>
      <c r="B27" s="359">
        <f>+'Amoco Abo'!$D$43</f>
        <v>2294.6500000000087</v>
      </c>
      <c r="C27" s="345">
        <f>+B27/$P$13</f>
        <v>296.46640826873499</v>
      </c>
      <c r="D27" s="65">
        <f>+'Amoco Abo'!A43</f>
        <v>36871</v>
      </c>
      <c r="E27" t="s">
        <v>92</v>
      </c>
      <c r="F27" t="s">
        <v>112</v>
      </c>
    </row>
    <row r="28" spans="1:7" ht="18" customHeight="1" x14ac:dyDescent="0.2">
      <c r="A28" s="302" t="s">
        <v>107</v>
      </c>
      <c r="B28" s="254">
        <f>SUM(B12:B27)</f>
        <v>8960694.0500000026</v>
      </c>
      <c r="C28" s="303">
        <f>SUM(C12:C27)</f>
        <v>1159237.2693433433</v>
      </c>
    </row>
    <row r="29" spans="1:7" ht="18" customHeight="1" x14ac:dyDescent="0.2"/>
    <row r="30" spans="1:7" ht="18" customHeight="1" x14ac:dyDescent="0.2"/>
    <row r="31" spans="1:7" ht="18" customHeight="1" x14ac:dyDescent="0.2">
      <c r="A31" s="308" t="s">
        <v>100</v>
      </c>
      <c r="B31" s="309" t="s">
        <v>18</v>
      </c>
      <c r="C31" s="310" t="s">
        <v>0</v>
      </c>
      <c r="D31" s="311" t="s">
        <v>87</v>
      </c>
      <c r="E31" s="308" t="s">
        <v>101</v>
      </c>
      <c r="F31" s="349" t="s">
        <v>116</v>
      </c>
      <c r="G31" s="308" t="s">
        <v>109</v>
      </c>
    </row>
    <row r="32" spans="1:7" ht="18" customHeight="1" x14ac:dyDescent="0.2">
      <c r="A32" s="302" t="s">
        <v>1</v>
      </c>
      <c r="B32" s="320">
        <f>+C32*$P$12</f>
        <v>-806416.48</v>
      </c>
      <c r="C32" s="321">
        <f>+NW!$F$41</f>
        <v>-105968</v>
      </c>
      <c r="D32" s="328">
        <f>+NW!B41</f>
        <v>36871</v>
      </c>
      <c r="E32" t="s">
        <v>91</v>
      </c>
      <c r="F32" t="s">
        <v>113</v>
      </c>
    </row>
    <row r="33" spans="1:7" ht="18" customHeight="1" x14ac:dyDescent="0.2">
      <c r="A33" s="302" t="s">
        <v>120</v>
      </c>
      <c r="B33" s="320">
        <f>+EOG!J41</f>
        <v>-657136.48</v>
      </c>
      <c r="C33" s="321">
        <f>+B33/$P$13</f>
        <v>-84901.354005167959</v>
      </c>
      <c r="D33" s="328">
        <f>+EOG!A41</f>
        <v>36871</v>
      </c>
      <c r="E33" t="s">
        <v>92</v>
      </c>
      <c r="F33" t="s">
        <v>117</v>
      </c>
    </row>
    <row r="34" spans="1:7" ht="18" customHeight="1" x14ac:dyDescent="0.2">
      <c r="A34" s="34" t="s">
        <v>125</v>
      </c>
      <c r="B34" s="320">
        <f>+[1]summary!$C$42+[1]summary!$C$43</f>
        <v>-653589.80000000005</v>
      </c>
      <c r="C34" s="321">
        <f>+B34/$P$13</f>
        <v>-84443.126614987079</v>
      </c>
      <c r="D34" s="65">
        <v>36860</v>
      </c>
      <c r="E34" t="s">
        <v>92</v>
      </c>
      <c r="F34" t="s">
        <v>112</v>
      </c>
      <c r="G34" s="34" t="s">
        <v>126</v>
      </c>
    </row>
    <row r="35" spans="1:7" ht="18" customHeight="1" x14ac:dyDescent="0.2">
      <c r="A35" s="352" t="s">
        <v>85</v>
      </c>
      <c r="B35" s="320">
        <f>+Agave!$D$24</f>
        <v>-346540.16000000003</v>
      </c>
      <c r="C35" s="321">
        <f>+B35/$P$13</f>
        <v>-44772.630490956079</v>
      </c>
      <c r="D35" s="328">
        <f>+Agave!A24</f>
        <v>36871</v>
      </c>
      <c r="E35" s="325" t="s">
        <v>92</v>
      </c>
      <c r="F35" t="s">
        <v>117</v>
      </c>
    </row>
    <row r="36" spans="1:7" ht="18" customHeight="1" x14ac:dyDescent="0.2">
      <c r="A36" s="302" t="s">
        <v>86</v>
      </c>
      <c r="B36" s="320">
        <f>+Conoco!$F$41</f>
        <v>-322738.81999999983</v>
      </c>
      <c r="C36" s="321">
        <f>+B36/$P$12</f>
        <v>-42409.831800262786</v>
      </c>
      <c r="D36" s="65">
        <f>+Conoco!A41</f>
        <v>36871</v>
      </c>
      <c r="E36" t="s">
        <v>92</v>
      </c>
      <c r="F36" t="s">
        <v>114</v>
      </c>
    </row>
    <row r="37" spans="1:7" ht="18" customHeight="1" x14ac:dyDescent="0.2">
      <c r="A37" s="302" t="s">
        <v>7</v>
      </c>
      <c r="B37" s="320">
        <f>+C37*$P$12</f>
        <v>-273998.05</v>
      </c>
      <c r="C37" s="321">
        <f>+Amoco!D40</f>
        <v>-36005</v>
      </c>
      <c r="D37" s="65">
        <f>+Amoco!A40</f>
        <v>36871</v>
      </c>
      <c r="E37" t="s">
        <v>91</v>
      </c>
      <c r="F37" t="s">
        <v>114</v>
      </c>
    </row>
    <row r="38" spans="1:7" ht="18" customHeight="1" x14ac:dyDescent="0.2">
      <c r="A38" s="302" t="s">
        <v>129</v>
      </c>
      <c r="B38" s="320">
        <f>+Continental!F43</f>
        <v>-206595.50999999998</v>
      </c>
      <c r="C38" s="321">
        <f>+B38/P12</f>
        <v>-27147.898817345595</v>
      </c>
      <c r="D38" s="65">
        <f>+Continental!A43</f>
        <v>36871</v>
      </c>
      <c r="E38" t="s">
        <v>92</v>
      </c>
      <c r="F38" t="s">
        <v>114</v>
      </c>
    </row>
    <row r="39" spans="1:7" ht="18" customHeight="1" x14ac:dyDescent="0.2">
      <c r="A39" s="302" t="s">
        <v>97</v>
      </c>
      <c r="B39" s="320">
        <f>+NNG!$D$24</f>
        <v>-200420.55</v>
      </c>
      <c r="C39" s="321">
        <f>+B39/$P$13</f>
        <v>-25894.127906976741</v>
      </c>
      <c r="D39" s="65">
        <f>+NNG!A24</f>
        <v>36871</v>
      </c>
      <c r="E39" t="s">
        <v>92</v>
      </c>
      <c r="F39" t="s">
        <v>115</v>
      </c>
      <c r="G39" s="34"/>
    </row>
    <row r="40" spans="1:7" ht="18" customHeight="1" x14ac:dyDescent="0.2">
      <c r="A40" s="302" t="s">
        <v>25</v>
      </c>
      <c r="B40" s="394">
        <f>+'Red C'!$D$43</f>
        <v>-80460.37</v>
      </c>
      <c r="C40" s="395">
        <f>+B40/$P$12</f>
        <v>-10572.978975032851</v>
      </c>
      <c r="D40" s="328">
        <f>+'Red C'!B43</f>
        <v>36871</v>
      </c>
      <c r="E40" t="s">
        <v>92</v>
      </c>
      <c r="F40" t="s">
        <v>114</v>
      </c>
    </row>
    <row r="41" spans="1:7" ht="18" customHeight="1" x14ac:dyDescent="0.2">
      <c r="A41" s="302" t="s">
        <v>108</v>
      </c>
      <c r="B41" s="320">
        <f>SUM(B32:B40)</f>
        <v>-3547896.2199999993</v>
      </c>
      <c r="C41" s="321">
        <f>SUM(C32:C40)</f>
        <v>-462114.94861072913</v>
      </c>
      <c r="D41" s="325"/>
    </row>
    <row r="42" spans="1:7" ht="18" customHeight="1" x14ac:dyDescent="0.2">
      <c r="B42" s="320"/>
      <c r="C42" s="321"/>
    </row>
    <row r="43" spans="1:7" ht="18" customHeight="1" x14ac:dyDescent="0.2"/>
    <row r="44" spans="1:7" ht="18" customHeight="1" thickBot="1" x14ac:dyDescent="0.25">
      <c r="A44" s="34" t="s">
        <v>102</v>
      </c>
      <c r="B44" s="318">
        <f>+B41+B28</f>
        <v>5412797.8300000038</v>
      </c>
      <c r="C44" s="319">
        <f>+C41+C28</f>
        <v>697122.32073261426</v>
      </c>
    </row>
    <row r="45" spans="1:7" ht="18" customHeight="1" thickTop="1" x14ac:dyDescent="0.2"/>
    <row r="46" spans="1:7" x14ac:dyDescent="0.2">
      <c r="C46" s="367"/>
    </row>
    <row r="52" spans="1:5" x14ac:dyDescent="0.2">
      <c r="C52" s="261"/>
      <c r="E52" s="364"/>
    </row>
    <row r="56" spans="1:5" x14ac:dyDescent="0.2">
      <c r="A56" s="34" t="s">
        <v>103</v>
      </c>
    </row>
    <row r="59" spans="1:5" x14ac:dyDescent="0.2">
      <c r="B59" s="322"/>
      <c r="C59" s="344"/>
    </row>
    <row r="60" spans="1:5" x14ac:dyDescent="0.2">
      <c r="B60" s="261"/>
    </row>
    <row r="61" spans="1:5" x14ac:dyDescent="0.2">
      <c r="B61" s="261"/>
    </row>
    <row r="62" spans="1:5" x14ac:dyDescent="0.2">
      <c r="B62" s="261"/>
    </row>
    <row r="63" spans="1:5" x14ac:dyDescent="0.2">
      <c r="B63" s="261"/>
      <c r="D63" s="64"/>
    </row>
    <row r="64" spans="1:5" x14ac:dyDescent="0.2">
      <c r="B64" s="261"/>
      <c r="C64" s="367"/>
    </row>
    <row r="65" spans="2:5" x14ac:dyDescent="0.2">
      <c r="B65" s="261"/>
      <c r="C65" s="367"/>
      <c r="D65" s="357"/>
      <c r="E65" s="369"/>
    </row>
    <row r="66" spans="2:5" x14ac:dyDescent="0.2">
      <c r="B66" s="261"/>
      <c r="C66" s="367"/>
      <c r="D66" s="272"/>
    </row>
    <row r="67" spans="2:5" x14ac:dyDescent="0.2">
      <c r="B67" s="261"/>
      <c r="C67" s="367"/>
      <c r="D67" s="272"/>
    </row>
    <row r="68" spans="2:5" x14ac:dyDescent="0.2">
      <c r="B68" s="261"/>
      <c r="C68" s="367"/>
      <c r="D68" s="31"/>
    </row>
    <row r="69" spans="2:5" x14ac:dyDescent="0.2">
      <c r="B69" s="261"/>
      <c r="C69" s="367"/>
      <c r="D69" s="370"/>
    </row>
    <row r="70" spans="2:5" x14ac:dyDescent="0.2">
      <c r="B70" s="358"/>
    </row>
    <row r="71" spans="2:5" x14ac:dyDescent="0.2">
      <c r="B71" s="358"/>
      <c r="D71" s="64"/>
    </row>
    <row r="72" spans="2:5" x14ac:dyDescent="0.2">
      <c r="B72" s="357"/>
      <c r="C72" s="261"/>
    </row>
    <row r="73" spans="2:5" x14ac:dyDescent="0.2">
      <c r="B73" s="357"/>
      <c r="C73" s="261"/>
    </row>
    <row r="74" spans="2:5" x14ac:dyDescent="0.2">
      <c r="B74" s="358"/>
      <c r="C74" s="261"/>
      <c r="D74" s="64"/>
    </row>
    <row r="75" spans="2:5" x14ac:dyDescent="0.2">
      <c r="B75" s="358"/>
      <c r="D75" s="64"/>
    </row>
    <row r="76" spans="2:5" x14ac:dyDescent="0.2">
      <c r="B76" s="358"/>
    </row>
    <row r="77" spans="2:5" x14ac:dyDescent="0.2">
      <c r="B77" s="322"/>
      <c r="C77" s="329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D45" sqref="D45"/>
    </sheetView>
    <sheetView topLeftCell="A11" workbookViewId="1">
      <selection activeCell="C40" sqref="C40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74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22</v>
      </c>
      <c r="C4" s="58" t="s">
        <v>21</v>
      </c>
      <c r="D4" s="194" t="s">
        <v>48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5594</v>
      </c>
      <c r="C5" s="24">
        <v>5629</v>
      </c>
      <c r="D5" s="24">
        <f>+C5-B5</f>
        <v>35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1579</v>
      </c>
      <c r="C6" s="51">
        <v>0</v>
      </c>
      <c r="D6" s="24">
        <f t="shared" ref="D6:D36" si="0">+C6-B6</f>
        <v>-1579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1579</v>
      </c>
      <c r="C7" s="51"/>
      <c r="D7" s="24">
        <f t="shared" si="0"/>
        <v>-1579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8761</v>
      </c>
      <c r="C8" s="24">
        <v>9183</v>
      </c>
      <c r="D8" s="24">
        <f t="shared" si="0"/>
        <v>422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1579</v>
      </c>
      <c r="C9" s="24">
        <v>1731</v>
      </c>
      <c r="D9" s="24">
        <f t="shared" si="0"/>
        <v>152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31709</v>
      </c>
      <c r="C10" s="24">
        <v>31353</v>
      </c>
      <c r="D10" s="24">
        <f t="shared" si="0"/>
        <v>-356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33157</v>
      </c>
      <c r="C11" s="24">
        <v>33253</v>
      </c>
      <c r="D11" s="24">
        <f t="shared" si="0"/>
        <v>96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16709</v>
      </c>
      <c r="C12" s="24">
        <v>17206</v>
      </c>
      <c r="D12" s="24">
        <f t="shared" si="0"/>
        <v>497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16519</v>
      </c>
      <c r="C13" s="24">
        <v>16796</v>
      </c>
      <c r="D13" s="24">
        <f t="shared" si="0"/>
        <v>277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16519</v>
      </c>
      <c r="C14" s="24">
        <v>16678</v>
      </c>
      <c r="D14" s="24">
        <f t="shared" si="0"/>
        <v>159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26519</v>
      </c>
      <c r="C15" s="24">
        <v>26815</v>
      </c>
      <c r="D15" s="24">
        <f t="shared" si="0"/>
        <v>296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25"/>
      <c r="W34" s="325"/>
      <c r="X34" s="325"/>
      <c r="Y34" s="325"/>
      <c r="Z34" s="149"/>
      <c r="AA34" s="150"/>
      <c r="AB34" s="150"/>
      <c r="AC34" s="150"/>
      <c r="AD34" s="325"/>
      <c r="AE34" s="325"/>
      <c r="AF34" s="325"/>
      <c r="AG34" s="325"/>
      <c r="AH34" s="325"/>
      <c r="AI34" s="325"/>
      <c r="AJ34" s="325"/>
      <c r="AK34" s="325"/>
      <c r="AL34" s="325"/>
      <c r="AM34" s="325"/>
      <c r="AN34" s="325"/>
      <c r="AO34" s="325"/>
      <c r="AP34" s="325"/>
      <c r="AQ34" s="325"/>
      <c r="AR34" s="325"/>
      <c r="AS34" s="325"/>
      <c r="AT34" s="325"/>
      <c r="AU34" s="325"/>
      <c r="AV34" s="325"/>
      <c r="AW34" s="325"/>
      <c r="AX34" s="325"/>
      <c r="AY34" s="325"/>
      <c r="AZ34" s="325"/>
      <c r="BA34" s="325"/>
      <c r="BB34" s="325"/>
      <c r="BC34" s="325"/>
      <c r="BD34" s="325"/>
      <c r="BE34" s="325"/>
      <c r="BF34" s="325"/>
      <c r="BG34" s="325"/>
      <c r="BH34" s="325"/>
      <c r="BI34" s="325"/>
      <c r="BJ34" s="325"/>
      <c r="BK34" s="325"/>
      <c r="BL34" s="325"/>
      <c r="BM34" s="325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25"/>
      <c r="W35" s="325"/>
      <c r="X35" s="325"/>
      <c r="Y35" s="325"/>
      <c r="Z35" s="149"/>
      <c r="AA35" s="150"/>
      <c r="AB35" s="150"/>
      <c r="AC35" s="150"/>
      <c r="AD35" s="325"/>
      <c r="AE35" s="325"/>
      <c r="AF35" s="325"/>
      <c r="AG35" s="325"/>
      <c r="AH35" s="325"/>
      <c r="AI35" s="325"/>
      <c r="AJ35" s="325"/>
      <c r="AK35" s="325"/>
      <c r="AL35" s="325"/>
      <c r="AM35" s="325"/>
      <c r="AN35" s="325"/>
      <c r="AO35" s="325"/>
      <c r="AP35" s="325"/>
      <c r="AQ35" s="325"/>
      <c r="AR35" s="325"/>
      <c r="AS35" s="325"/>
      <c r="AT35" s="325"/>
      <c r="AU35" s="325"/>
      <c r="AV35" s="325"/>
      <c r="AW35" s="325"/>
      <c r="AX35" s="325"/>
      <c r="AY35" s="325"/>
      <c r="AZ35" s="325"/>
      <c r="BA35" s="325"/>
      <c r="BB35" s="325"/>
      <c r="BC35" s="325"/>
      <c r="BD35" s="325"/>
      <c r="BE35" s="325"/>
      <c r="BF35" s="325"/>
      <c r="BG35" s="325"/>
      <c r="BH35" s="325"/>
      <c r="BI35" s="325"/>
      <c r="BJ35" s="325"/>
      <c r="BK35" s="325"/>
      <c r="BL35" s="325"/>
      <c r="BM35" s="325"/>
    </row>
    <row r="36" spans="1:65" ht="14.1" customHeight="1" x14ac:dyDescent="0.2">
      <c r="A36" s="12"/>
      <c r="B36" s="24">
        <f>SUM(B5:B35)</f>
        <v>160224</v>
      </c>
      <c r="C36" s="24">
        <f>SUM(C5:C35)</f>
        <v>158644</v>
      </c>
      <c r="D36" s="24">
        <f t="shared" si="0"/>
        <v>-1580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25"/>
      <c r="W36" s="325"/>
      <c r="X36" s="325"/>
      <c r="Y36" s="325"/>
      <c r="Z36" s="149"/>
      <c r="AA36" s="150"/>
      <c r="AB36" s="150"/>
      <c r="AC36" s="150"/>
      <c r="AD36" s="325"/>
      <c r="AE36" s="325"/>
      <c r="AF36" s="325"/>
      <c r="AG36" s="325"/>
      <c r="AH36" s="325"/>
      <c r="AI36" s="325"/>
      <c r="AJ36" s="325"/>
      <c r="AK36" s="325"/>
      <c r="AL36" s="325"/>
      <c r="AM36" s="325"/>
      <c r="AN36" s="325"/>
      <c r="AO36" s="325"/>
      <c r="AP36" s="325"/>
      <c r="AQ36" s="325"/>
      <c r="AR36" s="325"/>
      <c r="AS36" s="325"/>
      <c r="AT36" s="325"/>
      <c r="AU36" s="325"/>
      <c r="AV36" s="325"/>
      <c r="AW36" s="325"/>
      <c r="AX36" s="325"/>
      <c r="AY36" s="325"/>
      <c r="AZ36" s="325"/>
      <c r="BA36" s="325"/>
      <c r="BB36" s="325"/>
      <c r="BC36" s="325"/>
      <c r="BD36" s="325"/>
      <c r="BE36" s="325"/>
      <c r="BF36" s="325"/>
      <c r="BG36" s="325"/>
      <c r="BH36" s="325"/>
      <c r="BI36" s="325"/>
      <c r="BJ36" s="325"/>
      <c r="BK36" s="325"/>
      <c r="BL36" s="325"/>
      <c r="BM36" s="325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25"/>
      <c r="W37" s="325"/>
      <c r="X37" s="325"/>
      <c r="Y37" s="325"/>
      <c r="Z37" s="206"/>
      <c r="AA37" s="208"/>
      <c r="AB37" s="208"/>
      <c r="AC37" s="208"/>
      <c r="AD37" s="325"/>
      <c r="AE37" s="325"/>
      <c r="AF37" s="325"/>
      <c r="AG37" s="325"/>
      <c r="AH37" s="325"/>
      <c r="AI37" s="325"/>
      <c r="AJ37" s="325"/>
      <c r="AK37" s="325"/>
      <c r="AL37" s="325"/>
      <c r="AM37" s="325"/>
      <c r="AN37" s="325"/>
      <c r="AO37" s="325"/>
      <c r="AP37" s="325"/>
      <c r="AQ37" s="325"/>
      <c r="AR37" s="325"/>
      <c r="AS37" s="325"/>
      <c r="AT37" s="325"/>
      <c r="AU37" s="325"/>
      <c r="AV37" s="325"/>
      <c r="AW37" s="325"/>
      <c r="AX37" s="325"/>
      <c r="AY37" s="325"/>
      <c r="AZ37" s="325"/>
      <c r="BA37" s="325"/>
      <c r="BB37" s="325"/>
      <c r="BC37" s="325"/>
      <c r="BD37" s="325"/>
      <c r="BE37" s="325"/>
      <c r="BF37" s="325"/>
      <c r="BG37" s="325"/>
      <c r="BH37" s="325"/>
      <c r="BI37" s="325"/>
      <c r="BJ37" s="325"/>
      <c r="BK37" s="325"/>
      <c r="BL37" s="325"/>
      <c r="BM37" s="325"/>
    </row>
    <row r="38" spans="1:65" x14ac:dyDescent="0.2">
      <c r="B38" s="257">
        <v>36860</v>
      </c>
      <c r="C38" s="24"/>
      <c r="D38" s="377">
        <v>70059</v>
      </c>
      <c r="E38" s="2"/>
      <c r="G38" s="24"/>
      <c r="H38" s="24"/>
      <c r="I38" s="150"/>
      <c r="J38" s="325"/>
      <c r="K38" s="150"/>
      <c r="L38" s="150"/>
      <c r="M38" s="150"/>
      <c r="N38" s="325"/>
      <c r="O38" s="150"/>
      <c r="P38" s="150"/>
      <c r="Q38" s="150"/>
      <c r="R38" s="325"/>
      <c r="S38" s="150"/>
      <c r="T38" s="150"/>
      <c r="U38" s="150"/>
      <c r="V38" s="325"/>
      <c r="W38" s="325"/>
      <c r="X38" s="325"/>
      <c r="Y38" s="325"/>
      <c r="Z38" s="325"/>
      <c r="AA38" s="150"/>
      <c r="AB38" s="150"/>
      <c r="AC38" s="150"/>
      <c r="AD38" s="325"/>
      <c r="AE38" s="325"/>
      <c r="AF38" s="325"/>
      <c r="AG38" s="325"/>
      <c r="AH38" s="325"/>
      <c r="AI38" s="325"/>
      <c r="AJ38" s="325"/>
      <c r="AK38" s="325"/>
      <c r="AL38" s="325"/>
      <c r="AM38" s="325"/>
      <c r="AN38" s="325"/>
      <c r="AO38" s="325"/>
      <c r="AP38" s="325"/>
      <c r="AQ38" s="325"/>
      <c r="AR38" s="325"/>
      <c r="AS38" s="325"/>
      <c r="AT38" s="325"/>
      <c r="AU38" s="325"/>
      <c r="AV38" s="325"/>
      <c r="AW38" s="325"/>
      <c r="AX38" s="325"/>
      <c r="AY38" s="325"/>
      <c r="AZ38" s="325"/>
      <c r="BA38" s="325"/>
      <c r="BB38" s="325"/>
      <c r="BC38" s="325"/>
      <c r="BD38" s="325"/>
      <c r="BE38" s="325"/>
      <c r="BF38" s="325"/>
      <c r="BG38" s="325"/>
      <c r="BH38" s="325"/>
      <c r="BI38" s="325"/>
      <c r="BJ38" s="325"/>
      <c r="BK38" s="325"/>
      <c r="BL38" s="325"/>
      <c r="BM38" s="325"/>
    </row>
    <row r="39" spans="1:65" x14ac:dyDescent="0.2">
      <c r="B39" s="257"/>
      <c r="C39" s="24"/>
      <c r="D39" s="24"/>
      <c r="E39" s="2"/>
      <c r="G39" s="24"/>
      <c r="H39" s="24"/>
      <c r="I39" s="150"/>
      <c r="J39" s="325"/>
      <c r="K39" s="150"/>
      <c r="L39" s="150"/>
      <c r="M39" s="150"/>
      <c r="N39" s="325"/>
      <c r="O39" s="150"/>
      <c r="P39" s="150"/>
      <c r="Q39" s="150"/>
      <c r="R39" s="325"/>
      <c r="S39" s="150"/>
      <c r="T39" s="150"/>
      <c r="U39" s="150"/>
      <c r="V39" s="325"/>
      <c r="W39" s="325"/>
      <c r="X39" s="325"/>
      <c r="Y39" s="325"/>
      <c r="Z39" s="325"/>
      <c r="AA39" s="150"/>
      <c r="AB39" s="150"/>
      <c r="AC39" s="150"/>
      <c r="AD39" s="325"/>
      <c r="AE39" s="325"/>
      <c r="AF39" s="325"/>
      <c r="AG39" s="325"/>
      <c r="AH39" s="325"/>
      <c r="AI39" s="325"/>
      <c r="AJ39" s="325"/>
      <c r="AK39" s="325"/>
      <c r="AL39" s="325"/>
      <c r="AM39" s="325"/>
      <c r="AN39" s="325"/>
      <c r="AO39" s="325"/>
      <c r="AP39" s="325"/>
      <c r="AQ39" s="325"/>
      <c r="AR39" s="325"/>
      <c r="AS39" s="325"/>
      <c r="AT39" s="325"/>
      <c r="AU39" s="325"/>
      <c r="AV39" s="325"/>
      <c r="AW39" s="325"/>
      <c r="AX39" s="325"/>
      <c r="AY39" s="325"/>
      <c r="AZ39" s="325"/>
      <c r="BA39" s="325"/>
      <c r="BB39" s="325"/>
      <c r="BC39" s="325"/>
      <c r="BD39" s="325"/>
      <c r="BE39" s="325"/>
      <c r="BF39" s="325"/>
      <c r="BG39" s="325"/>
      <c r="BH39" s="325"/>
      <c r="BI39" s="325"/>
      <c r="BJ39" s="325"/>
      <c r="BK39" s="325"/>
      <c r="BL39" s="325"/>
      <c r="BM39" s="325"/>
    </row>
    <row r="40" spans="1:65" ht="13.5" thickBot="1" x14ac:dyDescent="0.25">
      <c r="B40" s="257">
        <v>36871</v>
      </c>
      <c r="C40" s="24"/>
      <c r="D40" s="195">
        <f>+D36+D38</f>
        <v>68479</v>
      </c>
      <c r="E40" s="196"/>
      <c r="G40" s="24"/>
      <c r="H40" s="24"/>
      <c r="I40" s="150"/>
      <c r="J40" s="325"/>
      <c r="K40" s="150"/>
      <c r="L40" s="150"/>
      <c r="M40" s="150"/>
      <c r="N40" s="325"/>
      <c r="O40" s="150"/>
      <c r="P40" s="150"/>
      <c r="Q40" s="169"/>
      <c r="R40" s="325"/>
      <c r="S40" s="150"/>
      <c r="T40" s="150"/>
      <c r="U40" s="169"/>
      <c r="V40" s="325"/>
      <c r="W40" s="325"/>
      <c r="X40" s="325"/>
      <c r="Y40" s="325"/>
      <c r="Z40" s="325"/>
      <c r="AA40" s="150"/>
      <c r="AB40" s="150"/>
      <c r="AC40" s="169"/>
      <c r="AD40" s="325"/>
      <c r="AE40" s="325"/>
      <c r="AF40" s="325"/>
      <c r="AG40" s="325"/>
      <c r="AH40" s="325"/>
      <c r="AI40" s="325"/>
      <c r="AJ40" s="325"/>
      <c r="AK40" s="325"/>
      <c r="AL40" s="325"/>
      <c r="AM40" s="325"/>
      <c r="AN40" s="325"/>
      <c r="AO40" s="325"/>
      <c r="AP40" s="325"/>
      <c r="AQ40" s="325"/>
      <c r="AR40" s="325"/>
      <c r="AS40" s="325"/>
      <c r="AT40" s="325"/>
      <c r="AU40" s="325"/>
      <c r="AV40" s="325"/>
      <c r="AW40" s="325"/>
      <c r="AX40" s="325"/>
      <c r="AY40" s="325"/>
      <c r="AZ40" s="325"/>
      <c r="BA40" s="325"/>
      <c r="BB40" s="325"/>
      <c r="BC40" s="325"/>
      <c r="BD40" s="325"/>
      <c r="BE40" s="325"/>
      <c r="BF40" s="325"/>
      <c r="BG40" s="325"/>
      <c r="BH40" s="325"/>
      <c r="BI40" s="325"/>
      <c r="BJ40" s="325"/>
      <c r="BK40" s="325"/>
      <c r="BL40" s="325"/>
      <c r="BM40" s="325"/>
    </row>
    <row r="41" spans="1:65" ht="13.5" thickTop="1" x14ac:dyDescent="0.2">
      <c r="B41" s="258"/>
      <c r="C41"/>
      <c r="D41"/>
      <c r="E41" s="2"/>
      <c r="I41" s="325"/>
      <c r="J41" s="325"/>
      <c r="K41" s="325"/>
      <c r="L41" s="325"/>
      <c r="M41" s="325"/>
      <c r="N41" s="325"/>
      <c r="O41" s="325"/>
      <c r="P41" s="325"/>
      <c r="Q41" s="325"/>
      <c r="R41" s="325"/>
      <c r="S41" s="325"/>
      <c r="T41" s="325"/>
      <c r="U41" s="325"/>
      <c r="V41" s="325"/>
      <c r="W41" s="325"/>
      <c r="X41" s="325"/>
      <c r="Y41" s="325"/>
      <c r="Z41" s="325"/>
      <c r="AA41" s="325"/>
      <c r="AB41" s="325"/>
      <c r="AC41" s="325"/>
      <c r="AD41" s="325"/>
      <c r="AE41" s="325"/>
      <c r="AF41" s="325"/>
      <c r="AG41" s="325"/>
      <c r="AH41" s="325"/>
      <c r="AI41" s="325"/>
      <c r="AJ41" s="325"/>
      <c r="AK41" s="325"/>
      <c r="AL41" s="325"/>
      <c r="AM41" s="325"/>
      <c r="AN41" s="325"/>
      <c r="AO41" s="325"/>
      <c r="AP41" s="325"/>
      <c r="AQ41" s="325"/>
      <c r="AR41" s="325"/>
      <c r="AS41" s="325"/>
      <c r="AT41" s="325"/>
      <c r="AU41" s="325"/>
      <c r="AV41" s="325"/>
      <c r="AW41" s="325"/>
      <c r="AX41" s="325"/>
      <c r="AY41" s="325"/>
      <c r="AZ41" s="325"/>
      <c r="BA41" s="325"/>
      <c r="BB41" s="325"/>
      <c r="BC41" s="325"/>
      <c r="BD41" s="325"/>
      <c r="BE41" s="325"/>
      <c r="BF41" s="325"/>
      <c r="BG41" s="325"/>
      <c r="BH41" s="325"/>
      <c r="BI41" s="325"/>
      <c r="BJ41" s="325"/>
      <c r="BK41" s="325"/>
      <c r="BL41" s="325"/>
      <c r="BM41" s="325"/>
    </row>
    <row r="42" spans="1:65" x14ac:dyDescent="0.2">
      <c r="B42" s="2"/>
      <c r="C42"/>
      <c r="D42"/>
      <c r="I42" s="325"/>
      <c r="J42" s="325"/>
      <c r="K42" s="325"/>
      <c r="L42" s="325"/>
      <c r="M42" s="325"/>
      <c r="N42" s="325"/>
      <c r="O42" s="325"/>
      <c r="P42" s="325"/>
      <c r="Q42" s="325"/>
      <c r="R42" s="325"/>
      <c r="S42" s="325"/>
      <c r="T42" s="325"/>
      <c r="U42" s="325"/>
      <c r="V42" s="325"/>
      <c r="W42" s="325"/>
      <c r="X42" s="325"/>
      <c r="Y42" s="325"/>
      <c r="Z42" s="325"/>
      <c r="AA42" s="325"/>
      <c r="AB42" s="325"/>
      <c r="AC42" s="325"/>
      <c r="AD42" s="325"/>
      <c r="AE42" s="325"/>
      <c r="AF42" s="325"/>
      <c r="AG42" s="325"/>
      <c r="AH42" s="325"/>
      <c r="AI42" s="325"/>
      <c r="AJ42" s="325"/>
      <c r="AK42" s="325"/>
      <c r="AL42" s="325"/>
      <c r="AM42" s="325"/>
      <c r="AN42" s="325"/>
      <c r="AO42" s="325"/>
      <c r="AP42" s="325"/>
      <c r="AQ42" s="325"/>
      <c r="AR42" s="325"/>
      <c r="AS42" s="325"/>
      <c r="AT42" s="325"/>
      <c r="AU42" s="325"/>
      <c r="AV42" s="325"/>
      <c r="AW42" s="325"/>
      <c r="AX42" s="325"/>
      <c r="AY42" s="325"/>
      <c r="AZ42" s="325"/>
      <c r="BA42" s="325"/>
      <c r="BB42" s="325"/>
      <c r="BC42" s="325"/>
      <c r="BD42" s="325"/>
      <c r="BE42" s="325"/>
      <c r="BF42" s="325"/>
      <c r="BG42" s="325"/>
      <c r="BH42" s="325"/>
      <c r="BI42" s="325"/>
      <c r="BJ42" s="325"/>
      <c r="BK42" s="325"/>
      <c r="BL42" s="325"/>
      <c r="BM42" s="325"/>
    </row>
    <row r="43" spans="1:65" x14ac:dyDescent="0.2">
      <c r="B43"/>
      <c r="C43"/>
      <c r="D43"/>
      <c r="I43" s="325"/>
      <c r="J43" s="325"/>
      <c r="K43" s="325"/>
      <c r="L43" s="325"/>
      <c r="M43" s="325"/>
      <c r="N43" s="325"/>
      <c r="O43" s="325"/>
      <c r="P43" s="325"/>
      <c r="Q43" s="325"/>
      <c r="R43" s="325"/>
      <c r="S43" s="325"/>
      <c r="T43" s="325"/>
      <c r="U43" s="325"/>
      <c r="V43" s="325"/>
      <c r="W43" s="325"/>
      <c r="X43" s="325"/>
      <c r="Y43" s="325"/>
      <c r="Z43" s="325"/>
      <c r="AA43" s="325"/>
      <c r="AB43" s="325"/>
      <c r="AC43" s="325"/>
      <c r="AD43" s="325"/>
      <c r="AE43" s="325"/>
      <c r="AF43" s="325"/>
      <c r="AG43" s="325"/>
      <c r="AH43" s="325"/>
      <c r="AI43" s="325"/>
      <c r="AJ43" s="325"/>
      <c r="AK43" s="325"/>
      <c r="AL43" s="325"/>
      <c r="AM43" s="325"/>
      <c r="AN43" s="325"/>
      <c r="AO43" s="325"/>
      <c r="AP43" s="325"/>
      <c r="AQ43" s="325"/>
      <c r="AR43" s="325"/>
      <c r="AS43" s="325"/>
      <c r="AT43" s="325"/>
      <c r="AU43" s="325"/>
      <c r="AV43" s="325"/>
      <c r="AW43" s="325"/>
      <c r="AX43" s="325"/>
      <c r="AY43" s="325"/>
      <c r="AZ43" s="325"/>
      <c r="BA43" s="325"/>
      <c r="BB43" s="325"/>
      <c r="BC43" s="325"/>
      <c r="BD43" s="325"/>
      <c r="BE43" s="325"/>
      <c r="BF43" s="325"/>
      <c r="BG43" s="325"/>
      <c r="BH43" s="325"/>
      <c r="BI43" s="325"/>
      <c r="BJ43" s="325"/>
      <c r="BK43" s="325"/>
      <c r="BL43" s="325"/>
      <c r="BM43" s="325"/>
    </row>
    <row r="44" spans="1:65" x14ac:dyDescent="0.2">
      <c r="B44"/>
      <c r="C44"/>
      <c r="D44"/>
      <c r="I44" s="325"/>
      <c r="J44" s="325"/>
      <c r="K44" s="325"/>
      <c r="L44" s="325"/>
      <c r="M44" s="325"/>
      <c r="N44" s="325"/>
      <c r="O44" s="325"/>
      <c r="P44" s="325"/>
      <c r="Q44" s="325"/>
      <c r="R44" s="325"/>
      <c r="S44" s="325"/>
      <c r="T44" s="325"/>
      <c r="U44" s="325"/>
      <c r="V44" s="325"/>
      <c r="W44" s="325"/>
      <c r="X44" s="325"/>
      <c r="Y44" s="325"/>
      <c r="Z44" s="325"/>
      <c r="AA44" s="325"/>
      <c r="AB44" s="325"/>
      <c r="AC44" s="325"/>
      <c r="AD44" s="325"/>
      <c r="AE44" s="325"/>
      <c r="AF44" s="325"/>
      <c r="AG44" s="325"/>
      <c r="AH44" s="325"/>
      <c r="AI44" s="325"/>
      <c r="AJ44" s="325"/>
      <c r="AK44" s="325"/>
      <c r="AL44" s="325"/>
      <c r="AM44" s="325"/>
      <c r="AN44" s="325"/>
      <c r="AO44" s="325"/>
      <c r="AP44" s="325"/>
      <c r="AQ44" s="325"/>
      <c r="AR44" s="325"/>
      <c r="AS44" s="325"/>
      <c r="AT44" s="325"/>
      <c r="AU44" s="325"/>
      <c r="AV44" s="325"/>
      <c r="AW44" s="325"/>
      <c r="AX44" s="325"/>
      <c r="AY44" s="325"/>
      <c r="AZ44" s="325"/>
      <c r="BA44" s="325"/>
      <c r="BB44" s="325"/>
      <c r="BC44" s="325"/>
      <c r="BD44" s="325"/>
      <c r="BE44" s="325"/>
      <c r="BF44" s="325"/>
      <c r="BG44" s="325"/>
      <c r="BH44" s="325"/>
      <c r="BI44" s="325"/>
      <c r="BJ44" s="325"/>
      <c r="BK44" s="325"/>
      <c r="BL44" s="325"/>
      <c r="BM44" s="325"/>
    </row>
    <row r="45" spans="1:65" x14ac:dyDescent="0.2">
      <c r="B45"/>
      <c r="C45"/>
      <c r="D45"/>
    </row>
    <row r="46" spans="1:65" x14ac:dyDescent="0.2">
      <c r="B46"/>
      <c r="C46"/>
      <c r="E46" s="31"/>
    </row>
    <row r="47" spans="1:65" x14ac:dyDescent="0.2">
      <c r="B47"/>
      <c r="C47"/>
      <c r="D47"/>
    </row>
    <row r="48" spans="1:65" x14ac:dyDescent="0.2">
      <c r="B48"/>
      <c r="C48"/>
      <c r="D48" s="31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workbookViewId="0">
      <selection activeCell="F17" sqref="F17"/>
    </sheetView>
    <sheetView workbookViewId="1">
      <selection activeCell="A41" sqref="A41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" style="32" bestFit="1" customWidth="1"/>
    <col min="4" max="4" width="8.85546875" style="32" customWidth="1"/>
    <col min="5" max="5" width="12.5703125" style="32" bestFit="1" customWidth="1"/>
    <col min="6" max="6" width="11.28515625" style="32" bestFit="1" customWidth="1"/>
    <col min="7" max="7" width="9.140625" style="2"/>
    <col min="8" max="8" width="9.140625" style="32"/>
    <col min="9" max="9" width="10.5703125" style="32" bestFit="1" customWidth="1"/>
    <col min="10" max="10" width="9.140625" style="32"/>
    <col min="11" max="11" width="11.28515625" style="32" bestFit="1" customWidth="1"/>
    <col min="12" max="12" width="11.28515625" style="32" customWidth="1"/>
    <col min="13" max="13" width="9.28515625" style="32" bestFit="1" customWidth="1"/>
    <col min="14" max="14" width="10.140625" style="32" customWidth="1"/>
    <col min="15" max="15" width="11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7" x14ac:dyDescent="0.2">
      <c r="A1" s="37"/>
    </row>
    <row r="2" spans="1:7" x14ac:dyDescent="0.2">
      <c r="A2" s="2"/>
      <c r="B2" s="12" t="s">
        <v>51</v>
      </c>
      <c r="C2" s="205"/>
      <c r="D2" s="12" t="s">
        <v>52</v>
      </c>
      <c r="E2" s="12"/>
      <c r="F2" s="4"/>
    </row>
    <row r="3" spans="1:7" x14ac:dyDescent="0.2">
      <c r="A3" s="39" t="s">
        <v>12</v>
      </c>
      <c r="B3" s="39" t="s">
        <v>21</v>
      </c>
      <c r="C3" s="39" t="s">
        <v>22</v>
      </c>
      <c r="D3" s="39" t="s">
        <v>21</v>
      </c>
      <c r="E3" s="39" t="s">
        <v>22</v>
      </c>
      <c r="F3" s="6"/>
      <c r="G3" s="25"/>
    </row>
    <row r="4" spans="1:7" x14ac:dyDescent="0.2">
      <c r="A4" s="41">
        <v>1</v>
      </c>
      <c r="B4" s="11">
        <v>29632</v>
      </c>
      <c r="C4" s="11">
        <v>30000</v>
      </c>
      <c r="D4" s="11">
        <v>22925</v>
      </c>
      <c r="E4" s="11">
        <v>25000</v>
      </c>
      <c r="F4" s="25">
        <f>+E4+C4-D4-B4</f>
        <v>2443</v>
      </c>
      <c r="G4" s="25"/>
    </row>
    <row r="5" spans="1:7" x14ac:dyDescent="0.2">
      <c r="A5" s="41">
        <v>2</v>
      </c>
      <c r="B5" s="11">
        <v>19946</v>
      </c>
      <c r="C5" s="11">
        <v>30000</v>
      </c>
      <c r="D5" s="11">
        <v>25047</v>
      </c>
      <c r="E5" s="11">
        <v>25000</v>
      </c>
      <c r="F5" s="25">
        <f t="shared" ref="F5:F34" si="0">+E5+C5-D5-B5</f>
        <v>10007</v>
      </c>
      <c r="G5" s="25"/>
    </row>
    <row r="6" spans="1:7" x14ac:dyDescent="0.2">
      <c r="A6" s="41">
        <v>3</v>
      </c>
      <c r="B6" s="11">
        <v>24779</v>
      </c>
      <c r="C6" s="11">
        <v>29992</v>
      </c>
      <c r="D6" s="11">
        <v>18690</v>
      </c>
      <c r="E6" s="11">
        <v>24993</v>
      </c>
      <c r="F6" s="25">
        <f t="shared" si="0"/>
        <v>11516</v>
      </c>
      <c r="G6" s="25"/>
    </row>
    <row r="7" spans="1:7" x14ac:dyDescent="0.2">
      <c r="A7" s="41">
        <v>4</v>
      </c>
      <c r="B7" s="11">
        <v>22643</v>
      </c>
      <c r="C7" s="11">
        <v>30000</v>
      </c>
      <c r="D7" s="11">
        <v>17753</v>
      </c>
      <c r="E7" s="11">
        <v>25000</v>
      </c>
      <c r="F7" s="25">
        <f t="shared" si="0"/>
        <v>14604</v>
      </c>
      <c r="G7" s="25"/>
    </row>
    <row r="8" spans="1:7" x14ac:dyDescent="0.2">
      <c r="A8" s="41">
        <v>5</v>
      </c>
      <c r="B8" s="11">
        <v>25628</v>
      </c>
      <c r="C8" s="11">
        <v>30000</v>
      </c>
      <c r="D8" s="11">
        <v>17735</v>
      </c>
      <c r="E8" s="11">
        <v>25000</v>
      </c>
      <c r="F8" s="25">
        <f t="shared" si="0"/>
        <v>11637</v>
      </c>
      <c r="G8" s="25"/>
    </row>
    <row r="9" spans="1:7" x14ac:dyDescent="0.2">
      <c r="A9" s="41">
        <v>6</v>
      </c>
      <c r="B9" s="11">
        <v>26763</v>
      </c>
      <c r="C9" s="11">
        <v>30000</v>
      </c>
      <c r="D9" s="11">
        <v>32416</v>
      </c>
      <c r="E9" s="11">
        <v>25000</v>
      </c>
      <c r="F9" s="25">
        <f t="shared" si="0"/>
        <v>-4179</v>
      </c>
      <c r="G9" s="25"/>
    </row>
    <row r="10" spans="1:7" x14ac:dyDescent="0.2">
      <c r="A10" s="41">
        <v>7</v>
      </c>
      <c r="B10" s="11">
        <v>27062</v>
      </c>
      <c r="C10" s="11">
        <v>30300</v>
      </c>
      <c r="D10" s="11">
        <v>35161</v>
      </c>
      <c r="E10" s="11">
        <v>25000</v>
      </c>
      <c r="F10" s="25">
        <f t="shared" si="0"/>
        <v>-6923</v>
      </c>
      <c r="G10" s="25"/>
    </row>
    <row r="11" spans="1:7" x14ac:dyDescent="0.2">
      <c r="A11" s="41">
        <v>8</v>
      </c>
      <c r="B11" s="11">
        <v>28834</v>
      </c>
      <c r="C11" s="11">
        <v>29390</v>
      </c>
      <c r="D11" s="11">
        <v>36121</v>
      </c>
      <c r="E11" s="11">
        <v>32222</v>
      </c>
      <c r="F11" s="25">
        <f t="shared" si="0"/>
        <v>-3343</v>
      </c>
      <c r="G11" s="25"/>
    </row>
    <row r="12" spans="1:7" x14ac:dyDescent="0.2">
      <c r="A12" s="41">
        <v>9</v>
      </c>
      <c r="B12" s="11">
        <v>29402</v>
      </c>
      <c r="C12" s="11">
        <v>30000</v>
      </c>
      <c r="D12" s="11">
        <v>33579</v>
      </c>
      <c r="E12" s="11">
        <v>25000</v>
      </c>
      <c r="F12" s="25">
        <f t="shared" si="0"/>
        <v>-7981</v>
      </c>
      <c r="G12" s="25"/>
    </row>
    <row r="13" spans="1:7" x14ac:dyDescent="0.2">
      <c r="A13" s="41">
        <v>10</v>
      </c>
      <c r="B13" s="11">
        <v>29274</v>
      </c>
      <c r="C13" s="11">
        <v>30000</v>
      </c>
      <c r="D13" s="11">
        <v>33462</v>
      </c>
      <c r="E13" s="11">
        <v>25000</v>
      </c>
      <c r="F13" s="25">
        <f t="shared" si="0"/>
        <v>-7736</v>
      </c>
      <c r="G13" s="25"/>
    </row>
    <row r="14" spans="1:7" x14ac:dyDescent="0.2">
      <c r="A14" s="41">
        <v>11</v>
      </c>
      <c r="B14" s="11">
        <v>27694</v>
      </c>
      <c r="C14" s="11">
        <v>30000</v>
      </c>
      <c r="D14" s="11">
        <v>33683</v>
      </c>
      <c r="E14" s="11">
        <v>25000</v>
      </c>
      <c r="F14" s="25">
        <f t="shared" si="0"/>
        <v>-6377</v>
      </c>
      <c r="G14" s="25"/>
    </row>
    <row r="15" spans="1:7" x14ac:dyDescent="0.2">
      <c r="A15" s="41">
        <v>12</v>
      </c>
      <c r="B15" s="11"/>
      <c r="C15" s="11"/>
      <c r="D15" s="11"/>
      <c r="E15" s="11"/>
      <c r="F15" s="25">
        <f t="shared" si="0"/>
        <v>0</v>
      </c>
      <c r="G15" s="25"/>
    </row>
    <row r="16" spans="1:7" x14ac:dyDescent="0.2">
      <c r="A16" s="41">
        <v>13</v>
      </c>
      <c r="B16" s="11"/>
      <c r="C16" s="11"/>
      <c r="D16" s="11"/>
      <c r="E16" s="11"/>
      <c r="F16" s="25">
        <f t="shared" si="0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0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0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0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0"/>
        <v>0</v>
      </c>
      <c r="G20" s="25"/>
    </row>
    <row r="21" spans="1:7" x14ac:dyDescent="0.2">
      <c r="A21" s="41">
        <v>18</v>
      </c>
      <c r="B21" s="11"/>
      <c r="C21" s="11"/>
      <c r="D21" s="11"/>
      <c r="E21" s="11"/>
      <c r="F21" s="25">
        <f t="shared" si="0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0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0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0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0"/>
        <v>0</v>
      </c>
      <c r="G25" s="25"/>
    </row>
    <row r="26" spans="1:7" x14ac:dyDescent="0.2">
      <c r="A26" s="41">
        <v>23</v>
      </c>
      <c r="B26" s="11"/>
      <c r="C26" s="11"/>
      <c r="D26" s="11"/>
      <c r="E26" s="11"/>
      <c r="F26" s="25">
        <f t="shared" si="0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0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291657</v>
      </c>
      <c r="C35" s="11">
        <f>SUM(C4:C34)</f>
        <v>329682</v>
      </c>
      <c r="D35" s="11">
        <f>SUM(D4:D34)</f>
        <v>306572</v>
      </c>
      <c r="E35" s="11">
        <f>SUM(E4:E34)</f>
        <v>282215</v>
      </c>
      <c r="F35" s="11">
        <f>+E35-D35+C35-B35</f>
        <v>13668</v>
      </c>
    </row>
    <row r="36" spans="1:7" x14ac:dyDescent="0.2">
      <c r="A36" s="45"/>
      <c r="C36" s="14">
        <f>+C35-B35</f>
        <v>38025</v>
      </c>
      <c r="D36" s="14"/>
      <c r="E36" s="14">
        <f>+E35-D35</f>
        <v>-24357</v>
      </c>
      <c r="F36" s="47"/>
    </row>
    <row r="37" spans="1:7" x14ac:dyDescent="0.2">
      <c r="C37" s="15">
        <f>+summary!P13</f>
        <v>7.74</v>
      </c>
      <c r="D37" s="15"/>
      <c r="E37" s="15">
        <f>+C37</f>
        <v>7.74</v>
      </c>
      <c r="F37" s="24"/>
    </row>
    <row r="38" spans="1:7" x14ac:dyDescent="0.2">
      <c r="C38" s="48">
        <f>+C37*C36</f>
        <v>294313.5</v>
      </c>
      <c r="D38" s="47"/>
      <c r="E38" s="48">
        <f>+E37*E36</f>
        <v>-188523.18</v>
      </c>
      <c r="F38" s="46">
        <f>+E38+C38</f>
        <v>105790.32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36860</v>
      </c>
      <c r="C40" s="384">
        <v>622338.78</v>
      </c>
      <c r="D40" s="347"/>
      <c r="E40" s="384">
        <v>-1050867.92</v>
      </c>
      <c r="F40" s="106">
        <f>+E40+C40</f>
        <v>-428529.1399999999</v>
      </c>
      <c r="G40" s="25"/>
    </row>
    <row r="41" spans="1:7" x14ac:dyDescent="0.2">
      <c r="A41" s="57">
        <v>36871</v>
      </c>
      <c r="C41" s="50">
        <f>+C40+C38</f>
        <v>916652.28</v>
      </c>
      <c r="D41" s="50"/>
      <c r="E41" s="50">
        <f>+E40+E38</f>
        <v>-1239391.0999999999</v>
      </c>
      <c r="F41" s="106">
        <f>+E41+C41</f>
        <v>-322738.81999999983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1"/>
      <c r="G43" s="25"/>
    </row>
    <row r="44" spans="1:7" ht="12.75" x14ac:dyDescent="0.2">
      <c r="A44" s="41"/>
      <c r="B44" s="11"/>
      <c r="C44" s="281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D13" sqref="D13"/>
    </sheetView>
    <sheetView workbookViewId="1">
      <selection activeCell="C8" sqref="C8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9"/>
      <c r="D3" s="88"/>
    </row>
    <row r="4" spans="1:13" x14ac:dyDescent="0.2">
      <c r="A4" s="87"/>
      <c r="B4" s="265" t="s">
        <v>21</v>
      </c>
      <c r="C4" s="265" t="s">
        <v>22</v>
      </c>
      <c r="D4" s="266" t="s">
        <v>54</v>
      </c>
    </row>
    <row r="5" spans="1:13" x14ac:dyDescent="0.2">
      <c r="A5" s="87">
        <v>56339</v>
      </c>
      <c r="B5" s="372">
        <v>401509</v>
      </c>
      <c r="C5" s="90">
        <v>366092</v>
      </c>
      <c r="D5" s="90">
        <f>+C5-B5</f>
        <v>-35417</v>
      </c>
      <c r="E5" s="292"/>
      <c r="F5" s="290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92"/>
      <c r="F6" s="290"/>
      <c r="K6" s="65">
        <v>36531</v>
      </c>
      <c r="L6" t="s">
        <v>26</v>
      </c>
      <c r="M6">
        <v>0.5</v>
      </c>
    </row>
    <row r="7" spans="1:13" x14ac:dyDescent="0.2">
      <c r="A7" s="87">
        <v>500238</v>
      </c>
      <c r="B7" s="372">
        <f>266613+26262</f>
        <v>292875</v>
      </c>
      <c r="C7" s="90">
        <v>312601</v>
      </c>
      <c r="D7" s="90">
        <f t="shared" si="0"/>
        <v>19726</v>
      </c>
      <c r="E7" s="292"/>
      <c r="F7" s="290"/>
      <c r="L7" t="s">
        <v>27</v>
      </c>
      <c r="M7">
        <v>7.6</v>
      </c>
    </row>
    <row r="8" spans="1:13" x14ac:dyDescent="0.2">
      <c r="A8" s="87">
        <v>500239</v>
      </c>
      <c r="B8" s="372">
        <v>384540</v>
      </c>
      <c r="C8" s="90">
        <v>387604</v>
      </c>
      <c r="D8" s="90">
        <f t="shared" si="0"/>
        <v>3064</v>
      </c>
      <c r="E8" s="292"/>
      <c r="F8" s="290"/>
    </row>
    <row r="9" spans="1:13" x14ac:dyDescent="0.2">
      <c r="A9" s="87">
        <v>500293</v>
      </c>
      <c r="B9" s="372">
        <v>218532</v>
      </c>
      <c r="C9" s="90">
        <v>267836</v>
      </c>
      <c r="D9" s="90">
        <f t="shared" si="0"/>
        <v>49304</v>
      </c>
      <c r="E9" s="292"/>
      <c r="F9" s="290"/>
    </row>
    <row r="10" spans="1:13" x14ac:dyDescent="0.2">
      <c r="A10" s="87">
        <v>500302</v>
      </c>
      <c r="B10" s="90"/>
      <c r="C10" s="90">
        <v>3498</v>
      </c>
      <c r="D10" s="90">
        <f t="shared" si="0"/>
        <v>3498</v>
      </c>
      <c r="E10" s="292"/>
      <c r="F10" s="290"/>
    </row>
    <row r="11" spans="1:13" x14ac:dyDescent="0.2">
      <c r="A11" s="87">
        <v>500303</v>
      </c>
      <c r="B11" s="372">
        <v>131438</v>
      </c>
      <c r="C11" s="90">
        <v>108723</v>
      </c>
      <c r="D11" s="90">
        <f t="shared" si="0"/>
        <v>-22715</v>
      </c>
      <c r="E11" s="292"/>
      <c r="F11" s="290"/>
    </row>
    <row r="12" spans="1:13" x14ac:dyDescent="0.2">
      <c r="A12" s="91">
        <v>500305</v>
      </c>
      <c r="B12" s="372">
        <v>571942</v>
      </c>
      <c r="C12" s="90">
        <v>588391</v>
      </c>
      <c r="D12" s="90">
        <f t="shared" si="0"/>
        <v>16449</v>
      </c>
      <c r="E12" s="293"/>
      <c r="F12" s="290"/>
    </row>
    <row r="13" spans="1:13" x14ac:dyDescent="0.2">
      <c r="A13" s="87">
        <v>500307</v>
      </c>
      <c r="B13" s="90">
        <v>14878</v>
      </c>
      <c r="C13" s="90">
        <v>24321</v>
      </c>
      <c r="D13" s="90">
        <f t="shared" si="0"/>
        <v>9443</v>
      </c>
      <c r="E13" s="292"/>
      <c r="F13" s="290"/>
    </row>
    <row r="14" spans="1:13" x14ac:dyDescent="0.2">
      <c r="A14" s="87">
        <v>500313</v>
      </c>
      <c r="B14" s="90"/>
      <c r="C14" s="342">
        <v>1388</v>
      </c>
      <c r="D14" s="90">
        <f t="shared" si="0"/>
        <v>1388</v>
      </c>
      <c r="E14" s="292"/>
      <c r="F14" s="290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92"/>
      <c r="F15" s="290"/>
    </row>
    <row r="16" spans="1:13" x14ac:dyDescent="0.2">
      <c r="A16" s="87">
        <v>500655</v>
      </c>
      <c r="B16" s="372">
        <v>41952</v>
      </c>
      <c r="C16" s="90"/>
      <c r="D16" s="90">
        <f t="shared" si="0"/>
        <v>-41952</v>
      </c>
      <c r="E16" s="292"/>
      <c r="F16" s="290"/>
    </row>
    <row r="17" spans="1:6" x14ac:dyDescent="0.2">
      <c r="A17" s="87">
        <v>500657</v>
      </c>
      <c r="B17" s="373">
        <v>103586</v>
      </c>
      <c r="C17" s="88">
        <v>71799</v>
      </c>
      <c r="D17" s="94">
        <f t="shared" si="0"/>
        <v>-31787</v>
      </c>
      <c r="E17" s="292"/>
      <c r="F17" s="290"/>
    </row>
    <row r="18" spans="1:6" x14ac:dyDescent="0.2">
      <c r="A18" s="87"/>
      <c r="B18" s="88"/>
      <c r="C18" s="88"/>
      <c r="D18" s="88">
        <f>SUM(D5:D17)</f>
        <v>-28999</v>
      </c>
      <c r="E18" s="292"/>
      <c r="F18" s="290"/>
    </row>
    <row r="19" spans="1:6" x14ac:dyDescent="0.2">
      <c r="A19" s="87" t="s">
        <v>88</v>
      </c>
      <c r="B19" s="88"/>
      <c r="C19" s="88"/>
      <c r="D19" s="95">
        <f>+summary!P13</f>
        <v>7.74</v>
      </c>
      <c r="E19" s="294"/>
      <c r="F19" s="290"/>
    </row>
    <row r="20" spans="1:6" x14ac:dyDescent="0.2">
      <c r="A20" s="87"/>
      <c r="B20" s="88"/>
      <c r="C20" s="88"/>
      <c r="D20" s="96">
        <f>+D19*D18</f>
        <v>-224452.26</v>
      </c>
      <c r="E20" s="209"/>
      <c r="F20" s="291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36860</v>
      </c>
      <c r="B22" s="88"/>
      <c r="C22" s="88"/>
      <c r="D22" s="385">
        <v>-122087.9</v>
      </c>
      <c r="E22" s="209"/>
      <c r="F22" s="66"/>
    </row>
    <row r="23" spans="1:6" x14ac:dyDescent="0.2">
      <c r="A23" s="87"/>
      <c r="B23" s="88"/>
      <c r="C23" s="88"/>
      <c r="D23" s="96"/>
      <c r="E23" s="209"/>
      <c r="F23" s="66"/>
    </row>
    <row r="24" spans="1:6" ht="13.5" thickBot="1" x14ac:dyDescent="0.25">
      <c r="A24" s="99">
        <v>36871</v>
      </c>
      <c r="B24" s="88"/>
      <c r="C24" s="88"/>
      <c r="D24" s="98">
        <f>+D22+D20</f>
        <v>-346540.16000000003</v>
      </c>
      <c r="E24" s="209"/>
      <c r="F24" s="66"/>
    </row>
    <row r="25" spans="1:6" ht="13.5" thickTop="1" x14ac:dyDescent="0.2">
      <c r="E25" s="295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workbookViewId="0">
      <selection activeCell="C18" sqref="C18"/>
    </sheetView>
    <sheetView topLeftCell="A26" workbookViewId="1">
      <selection activeCell="B42" sqref="B42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23</v>
      </c>
      <c r="D2" s="1" t="s">
        <v>24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15</v>
      </c>
      <c r="AF3" s="9" t="s">
        <v>15</v>
      </c>
    </row>
    <row r="4" spans="1:35" x14ac:dyDescent="0.2">
      <c r="A4" s="5" t="s">
        <v>12</v>
      </c>
      <c r="B4" s="6" t="s">
        <v>21</v>
      </c>
      <c r="C4" s="6" t="s">
        <v>22</v>
      </c>
      <c r="D4" s="39" t="s">
        <v>21</v>
      </c>
      <c r="E4" s="39" t="s">
        <v>22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16</v>
      </c>
      <c r="AE4" s="12" t="s">
        <v>17</v>
      </c>
      <c r="AF4" s="9" t="s">
        <v>18</v>
      </c>
      <c r="AI4" s="13"/>
    </row>
    <row r="5" spans="1:35" x14ac:dyDescent="0.2">
      <c r="A5" s="10">
        <v>1</v>
      </c>
      <c r="B5" s="11">
        <v>105467</v>
      </c>
      <c r="C5" s="11">
        <f>177825+10</f>
        <v>177835</v>
      </c>
      <c r="D5" s="11"/>
      <c r="E5" s="11">
        <v>77908</v>
      </c>
      <c r="F5" s="11">
        <f>+D5+C5-E5-B5</f>
        <v>-5540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131083</v>
      </c>
      <c r="C6" s="11">
        <f>174103+3</f>
        <v>174106</v>
      </c>
      <c r="D6" s="11"/>
      <c r="E6" s="11">
        <v>45263</v>
      </c>
      <c r="F6" s="11">
        <f>+D6+C6-E6-B6</f>
        <v>-2240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2">+AH6/AG6</f>
        <v>1.7772184534943996</v>
      </c>
    </row>
    <row r="7" spans="1:35" x14ac:dyDescent="0.2">
      <c r="A7" s="10">
        <v>3</v>
      </c>
      <c r="B7" s="11">
        <v>134074</v>
      </c>
      <c r="C7" s="11">
        <v>161714</v>
      </c>
      <c r="D7" s="11"/>
      <c r="E7" s="11">
        <v>31644</v>
      </c>
      <c r="F7" s="11">
        <f>+D7+C7-E7-B7</f>
        <v>-4004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3">+AG6+AD7</f>
        <v>427575</v>
      </c>
      <c r="AH7" s="15">
        <f t="shared" ref="AH7:AH21" si="4">+AH6+AF7</f>
        <v>798993.29999999993</v>
      </c>
      <c r="AI7" s="13">
        <f t="shared" si="2"/>
        <v>1.8686623399403612</v>
      </c>
    </row>
    <row r="8" spans="1:35" x14ac:dyDescent="0.2">
      <c r="A8" s="10">
        <v>4</v>
      </c>
      <c r="B8" s="11">
        <v>147980</v>
      </c>
      <c r="C8" s="11">
        <v>162355</v>
      </c>
      <c r="D8" s="11"/>
      <c r="E8" s="11">
        <v>16460</v>
      </c>
      <c r="F8" s="11">
        <f t="shared" ref="F8:F35" si="5">+D8+C8-E8-B8</f>
        <v>-2085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3"/>
        <v>585216</v>
      </c>
      <c r="AH8" s="15">
        <f t="shared" si="4"/>
        <v>1147379.9099999999</v>
      </c>
      <c r="AI8" s="13">
        <f t="shared" si="2"/>
        <v>1.9606092622211284</v>
      </c>
    </row>
    <row r="9" spans="1:35" x14ac:dyDescent="0.2">
      <c r="A9" s="10">
        <v>5</v>
      </c>
      <c r="B9" s="11">
        <v>145971</v>
      </c>
      <c r="C9" s="11">
        <v>164906</v>
      </c>
      <c r="D9" s="11"/>
      <c r="E9" s="11">
        <v>22551</v>
      </c>
      <c r="F9" s="11">
        <f t="shared" si="5"/>
        <v>-3616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3"/>
        <v>851302</v>
      </c>
      <c r="AH9" s="15">
        <f t="shared" si="4"/>
        <v>1591743.5299999998</v>
      </c>
      <c r="AI9" s="13">
        <f t="shared" si="2"/>
        <v>1.8697753911067985</v>
      </c>
    </row>
    <row r="10" spans="1:35" x14ac:dyDescent="0.2">
      <c r="A10" s="10">
        <v>6</v>
      </c>
      <c r="B10" s="11">
        <v>127718</v>
      </c>
      <c r="C10" s="11">
        <f>170115+232</f>
        <v>170347</v>
      </c>
      <c r="D10" s="11"/>
      <c r="E10" s="11">
        <v>45207</v>
      </c>
      <c r="F10" s="11">
        <f t="shared" si="5"/>
        <v>-2578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3"/>
        <v>1432759</v>
      </c>
      <c r="AH10" s="15">
        <f t="shared" si="4"/>
        <v>2638366.13</v>
      </c>
      <c r="AI10" s="13">
        <f t="shared" si="2"/>
        <v>1.8414584239219576</v>
      </c>
    </row>
    <row r="11" spans="1:35" x14ac:dyDescent="0.2">
      <c r="A11" s="10">
        <v>7</v>
      </c>
      <c r="B11" s="11">
        <v>172839</v>
      </c>
      <c r="C11" s="11">
        <f>176576+1380</f>
        <v>177956</v>
      </c>
      <c r="D11" s="11"/>
      <c r="E11" s="11">
        <v>8766</v>
      </c>
      <c r="F11" s="11">
        <f t="shared" si="5"/>
        <v>-3649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3"/>
        <v>1157082</v>
      </c>
      <c r="AH11" s="15">
        <f t="shared" si="4"/>
        <v>2120093.37</v>
      </c>
      <c r="AI11" s="13">
        <f t="shared" si="2"/>
        <v>1.8322758196912579</v>
      </c>
    </row>
    <row r="12" spans="1:35" x14ac:dyDescent="0.2">
      <c r="A12" s="10">
        <v>8</v>
      </c>
      <c r="B12" s="11">
        <v>168553</v>
      </c>
      <c r="C12" s="11">
        <f>186268+631</f>
        <v>186899</v>
      </c>
      <c r="D12" s="11"/>
      <c r="E12" s="11">
        <v>21417</v>
      </c>
      <c r="F12" s="11">
        <f t="shared" si="5"/>
        <v>-3071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3"/>
        <v>480638</v>
      </c>
      <c r="AH12" s="15">
        <f t="shared" si="4"/>
        <v>753676.49</v>
      </c>
      <c r="AI12" s="13">
        <f t="shared" si="2"/>
        <v>1.5680751209850241</v>
      </c>
    </row>
    <row r="13" spans="1:35" x14ac:dyDescent="0.2">
      <c r="A13" s="10">
        <v>9</v>
      </c>
      <c r="B13" s="11">
        <v>147907</v>
      </c>
      <c r="C13" s="11">
        <f>173785+1452</f>
        <v>175237</v>
      </c>
      <c r="D13" s="11"/>
      <c r="E13" s="11">
        <v>28501</v>
      </c>
      <c r="F13" s="11">
        <f t="shared" si="5"/>
        <v>-1171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3"/>
        <v>-74380</v>
      </c>
      <c r="AH13" s="15">
        <f t="shared" si="4"/>
        <v>-250906.09000000008</v>
      </c>
      <c r="AI13" s="13">
        <f t="shared" si="2"/>
        <v>3.3733004840010765</v>
      </c>
    </row>
    <row r="14" spans="1:35" x14ac:dyDescent="0.2">
      <c r="A14" s="10">
        <v>10</v>
      </c>
      <c r="B14" s="11">
        <v>156409</v>
      </c>
      <c r="C14" s="11">
        <f>163271+1506</f>
        <v>164777</v>
      </c>
      <c r="D14" s="11"/>
      <c r="E14" s="11">
        <v>11318</v>
      </c>
      <c r="F14" s="11">
        <f t="shared" si="5"/>
        <v>-2950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3"/>
        <v>434122</v>
      </c>
      <c r="AH14" s="15">
        <f t="shared" si="4"/>
        <v>659312.49</v>
      </c>
      <c r="AI14" s="13">
        <f t="shared" si="2"/>
        <v>1.5187262797093903</v>
      </c>
    </row>
    <row r="15" spans="1:35" x14ac:dyDescent="0.2">
      <c r="A15" s="10">
        <v>11</v>
      </c>
      <c r="B15" s="11">
        <v>123568</v>
      </c>
      <c r="C15" s="11">
        <v>164677</v>
      </c>
      <c r="D15" s="11"/>
      <c r="E15" s="11">
        <v>40741</v>
      </c>
      <c r="F15" s="11">
        <f t="shared" si="5"/>
        <v>368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3"/>
        <v>773792</v>
      </c>
      <c r="AH15" s="15">
        <f t="shared" si="4"/>
        <v>1433760.0899999999</v>
      </c>
      <c r="AI15" s="13">
        <f t="shared" si="2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5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3"/>
        <v>789599</v>
      </c>
      <c r="AH16" s="15">
        <f t="shared" si="4"/>
        <v>1464425.67</v>
      </c>
      <c r="AI16" s="13">
        <f t="shared" si="2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5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3"/>
        <v>338175</v>
      </c>
      <c r="AH17" s="15">
        <f t="shared" si="4"/>
        <v>471292.86999999988</v>
      </c>
      <c r="AI17" s="13">
        <f t="shared" si="2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5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2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5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3"/>
        <v>-67658</v>
      </c>
      <c r="AH19" s="15">
        <f t="shared" si="4"/>
        <v>-117724.92</v>
      </c>
      <c r="AI19" s="13">
        <f t="shared" si="2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5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3"/>
        <v>-34099</v>
      </c>
      <c r="AH20" s="15">
        <f t="shared" si="4"/>
        <v>-64701.7</v>
      </c>
      <c r="AI20" s="13">
        <f t="shared" si="2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5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3"/>
        <v>-114483</v>
      </c>
      <c r="AH21" s="15">
        <f t="shared" si="4"/>
        <v>-193316.1</v>
      </c>
      <c r="AI21" s="13">
        <f t="shared" si="2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5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5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/>
      <c r="C24" s="11"/>
      <c r="D24" s="11"/>
      <c r="E24" s="11"/>
      <c r="F24" s="11">
        <f t="shared" si="5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5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5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5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5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5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5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5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5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5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5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5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1561569</v>
      </c>
      <c r="C36" s="11">
        <f>SUM(C5:C35)</f>
        <v>1880809</v>
      </c>
      <c r="D36" s="11"/>
      <c r="E36" s="11">
        <f>SUM(E5:E35)</f>
        <v>349776</v>
      </c>
      <c r="F36" s="11">
        <f>SUM(F5:F35)</f>
        <v>-30536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36860</v>
      </c>
      <c r="F39" s="375">
        <v>-75432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36871</v>
      </c>
      <c r="F41" s="282">
        <f>+F39+F36</f>
        <v>-105968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280"/>
      <c r="E48" s="11"/>
      <c r="F48" s="11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B34" sqref="B34"/>
    </sheetView>
    <sheetView topLeftCell="A26" workbookViewId="1">
      <selection activeCell="C19" sqref="C19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77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12</v>
      </c>
      <c r="B7" s="6" t="s">
        <v>21</v>
      </c>
      <c r="C7" s="6" t="s">
        <v>22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23550</v>
      </c>
      <c r="C8" s="11">
        <v>23150</v>
      </c>
      <c r="D8" s="11">
        <f>+C8-B8</f>
        <v>-400</v>
      </c>
      <c r="E8" s="10"/>
      <c r="F8" s="11"/>
      <c r="G8" s="11"/>
      <c r="H8" s="11"/>
    </row>
    <row r="9" spans="1:8" x14ac:dyDescent="0.2">
      <c r="A9" s="10">
        <v>2</v>
      </c>
      <c r="B9" s="11">
        <v>23965</v>
      </c>
      <c r="C9" s="11">
        <v>23150</v>
      </c>
      <c r="D9" s="11">
        <f t="shared" ref="D9:D38" si="0">+C9-B9</f>
        <v>-815</v>
      </c>
      <c r="E9" s="10"/>
      <c r="F9" s="11"/>
      <c r="G9" s="11"/>
      <c r="H9" s="11"/>
    </row>
    <row r="10" spans="1:8" x14ac:dyDescent="0.2">
      <c r="A10" s="10">
        <v>3</v>
      </c>
      <c r="B10" s="11">
        <v>23996</v>
      </c>
      <c r="C10" s="11">
        <v>23150</v>
      </c>
      <c r="D10" s="11">
        <f t="shared" si="0"/>
        <v>-846</v>
      </c>
      <c r="E10" s="10"/>
      <c r="F10" s="11"/>
      <c r="G10" s="11"/>
      <c r="H10" s="11"/>
    </row>
    <row r="11" spans="1:8" x14ac:dyDescent="0.2">
      <c r="A11" s="10">
        <v>4</v>
      </c>
      <c r="B11" s="11">
        <v>23484</v>
      </c>
      <c r="C11" s="11">
        <v>23150</v>
      </c>
      <c r="D11" s="11">
        <f t="shared" si="0"/>
        <v>-334</v>
      </c>
      <c r="E11" s="10"/>
      <c r="F11" s="11"/>
      <c r="G11" s="11"/>
      <c r="H11" s="11"/>
    </row>
    <row r="12" spans="1:8" x14ac:dyDescent="0.2">
      <c r="A12" s="10">
        <v>5</v>
      </c>
      <c r="B12" s="11">
        <v>23000</v>
      </c>
      <c r="C12" s="11">
        <v>23150</v>
      </c>
      <c r="D12" s="11">
        <f t="shared" si="0"/>
        <v>150</v>
      </c>
      <c r="E12" s="10"/>
      <c r="F12" s="11"/>
      <c r="G12" s="11"/>
      <c r="H12" s="11"/>
    </row>
    <row r="13" spans="1:8" x14ac:dyDescent="0.2">
      <c r="A13" s="10">
        <v>6</v>
      </c>
      <c r="B13" s="11">
        <v>23146</v>
      </c>
      <c r="C13" s="11">
        <v>23150</v>
      </c>
      <c r="D13" s="11">
        <f t="shared" si="0"/>
        <v>4</v>
      </c>
      <c r="E13" s="10"/>
      <c r="F13" s="11"/>
      <c r="G13" s="11"/>
      <c r="H13" s="11"/>
    </row>
    <row r="14" spans="1:8" x14ac:dyDescent="0.2">
      <c r="A14" s="10">
        <v>7</v>
      </c>
      <c r="B14" s="11">
        <v>20037</v>
      </c>
      <c r="C14" s="11">
        <v>23150</v>
      </c>
      <c r="D14" s="11">
        <f t="shared" si="0"/>
        <v>3113</v>
      </c>
      <c r="E14" s="10"/>
      <c r="F14" s="11"/>
      <c r="G14" s="11"/>
      <c r="H14" s="11"/>
    </row>
    <row r="15" spans="1:8" x14ac:dyDescent="0.2">
      <c r="A15" s="10">
        <v>8</v>
      </c>
      <c r="B15" s="11">
        <v>23762</v>
      </c>
      <c r="C15" s="11">
        <v>23150</v>
      </c>
      <c r="D15" s="11">
        <f t="shared" si="0"/>
        <v>-612</v>
      </c>
      <c r="E15" s="10"/>
      <c r="F15" s="11"/>
      <c r="G15" s="11"/>
      <c r="H15" s="11"/>
    </row>
    <row r="16" spans="1:8" x14ac:dyDescent="0.2">
      <c r="A16" s="10">
        <v>9</v>
      </c>
      <c r="B16" s="11">
        <v>23829</v>
      </c>
      <c r="C16" s="11">
        <v>23150</v>
      </c>
      <c r="D16" s="11">
        <f t="shared" si="0"/>
        <v>-679</v>
      </c>
      <c r="E16" s="10"/>
      <c r="F16" s="11"/>
      <c r="G16" s="11"/>
      <c r="H16" s="11"/>
    </row>
    <row r="17" spans="1:8" x14ac:dyDescent="0.2">
      <c r="A17" s="10">
        <v>10</v>
      </c>
      <c r="B17" s="11">
        <v>23318</v>
      </c>
      <c r="C17" s="11">
        <v>23150</v>
      </c>
      <c r="D17" s="11">
        <f t="shared" si="0"/>
        <v>-168</v>
      </c>
      <c r="E17" s="10"/>
      <c r="F17" s="11"/>
      <c r="G17" s="11"/>
      <c r="H17" s="11"/>
    </row>
    <row r="18" spans="1:8" x14ac:dyDescent="0.2">
      <c r="A18" s="10">
        <v>11</v>
      </c>
      <c r="B18" s="11">
        <v>23655</v>
      </c>
      <c r="C18" s="11">
        <v>23150</v>
      </c>
      <c r="D18" s="11">
        <f t="shared" si="0"/>
        <v>-505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255742</v>
      </c>
      <c r="C39" s="11">
        <f>SUM(C8:C38)</f>
        <v>254650</v>
      </c>
      <c r="D39" s="11">
        <f>SUM(D8:D38)</f>
        <v>-1092</v>
      </c>
      <c r="E39" s="10"/>
      <c r="F39" s="11"/>
      <c r="G39" s="11"/>
      <c r="H39" s="11"/>
    </row>
    <row r="40" spans="1:8" x14ac:dyDescent="0.2">
      <c r="A40" s="26"/>
      <c r="D40" s="75">
        <f>+summary!P13</f>
        <v>7.74</v>
      </c>
      <c r="E40" s="26"/>
      <c r="H40" s="75"/>
    </row>
    <row r="41" spans="1:8" x14ac:dyDescent="0.2">
      <c r="D41" s="197">
        <f>+D40*D39</f>
        <v>-8452.08</v>
      </c>
      <c r="F41" s="254"/>
      <c r="H41" s="197"/>
    </row>
    <row r="42" spans="1:8" x14ac:dyDescent="0.2">
      <c r="A42" s="57">
        <v>36860</v>
      </c>
      <c r="D42" s="391">
        <v>95639.73</v>
      </c>
      <c r="E42" s="57"/>
      <c r="H42" s="197"/>
    </row>
    <row r="43" spans="1:8" x14ac:dyDescent="0.2">
      <c r="A43" s="57">
        <v>36871</v>
      </c>
      <c r="D43" s="198">
        <f>+D42+D41</f>
        <v>87187.65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2"/>
  <sheetViews>
    <sheetView workbookViewId="0">
      <selection activeCell="B9" sqref="B9"/>
    </sheetView>
    <sheetView topLeftCell="A31" workbookViewId="1">
      <selection activeCell="A41" sqref="A41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0.7109375" style="32" bestFit="1" customWidth="1"/>
    <col min="4" max="4" width="9.140625" style="32"/>
    <col min="5" max="5" width="11.7109375" style="32" bestFit="1" customWidth="1"/>
    <col min="6" max="6" width="11.7109375" bestFit="1" customWidth="1"/>
    <col min="8" max="8" width="12" bestFit="1" customWidth="1"/>
  </cols>
  <sheetData>
    <row r="2" spans="1:10" x14ac:dyDescent="0.2">
      <c r="A2" s="2" t="s">
        <v>104</v>
      </c>
      <c r="G2" s="32"/>
      <c r="H2" s="15"/>
      <c r="I2" s="32"/>
      <c r="J2" s="32"/>
    </row>
    <row r="3" spans="1:10" x14ac:dyDescent="0.2">
      <c r="A3" s="2" t="s">
        <v>78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70">
        <v>36860</v>
      </c>
      <c r="C5" s="392">
        <v>-208801.6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36869</v>
      </c>
      <c r="G7" s="32"/>
      <c r="H7" s="15"/>
      <c r="I7" s="32"/>
      <c r="J7" s="32"/>
    </row>
    <row r="8" spans="1:10" x14ac:dyDescent="0.2">
      <c r="A8" s="255">
        <v>60874</v>
      </c>
      <c r="B8" s="355">
        <v>941</v>
      </c>
      <c r="G8" s="32"/>
      <c r="H8" s="15"/>
      <c r="I8" s="32"/>
      <c r="J8" s="32"/>
    </row>
    <row r="9" spans="1:10" x14ac:dyDescent="0.2">
      <c r="A9" s="32">
        <v>500235</v>
      </c>
      <c r="B9" s="14"/>
      <c r="G9" s="32"/>
      <c r="H9" s="15"/>
      <c r="I9" s="32"/>
      <c r="J9" s="32"/>
    </row>
    <row r="10" spans="1:10" x14ac:dyDescent="0.2">
      <c r="A10" s="255">
        <v>500248</v>
      </c>
      <c r="B10" s="374">
        <f>12155-10751</f>
        <v>1404</v>
      </c>
      <c r="G10" s="32"/>
      <c r="H10" s="15"/>
      <c r="I10" s="32"/>
      <c r="J10" s="32"/>
    </row>
    <row r="11" spans="1:10" x14ac:dyDescent="0.2">
      <c r="A11" s="255">
        <v>500251</v>
      </c>
      <c r="B11" s="355">
        <f>4228-4837</f>
        <v>-609</v>
      </c>
      <c r="G11" s="32"/>
      <c r="H11" s="15"/>
      <c r="I11" s="32"/>
      <c r="J11" s="32"/>
    </row>
    <row r="12" spans="1:10" x14ac:dyDescent="0.2">
      <c r="A12" s="255">
        <v>500254</v>
      </c>
      <c r="B12" s="212">
        <f>761-206</f>
        <v>555</v>
      </c>
      <c r="G12" s="32"/>
      <c r="H12" s="15"/>
      <c r="I12" s="32"/>
      <c r="J12" s="32"/>
    </row>
    <row r="13" spans="1:10" x14ac:dyDescent="0.2">
      <c r="A13" s="32">
        <v>500255</v>
      </c>
      <c r="B13" s="273">
        <f>5636-10318</f>
        <v>-4682</v>
      </c>
      <c r="G13" s="32"/>
      <c r="H13" s="15"/>
      <c r="I13" s="32"/>
      <c r="J13" s="32"/>
    </row>
    <row r="14" spans="1:10" x14ac:dyDescent="0.2">
      <c r="A14" s="32">
        <v>500262</v>
      </c>
      <c r="B14" s="355">
        <f>2923-3991</f>
        <v>-1068</v>
      </c>
      <c r="G14" s="32"/>
      <c r="H14" s="15"/>
      <c r="I14" s="32"/>
      <c r="J14" s="32"/>
    </row>
    <row r="15" spans="1:10" x14ac:dyDescent="0.2">
      <c r="A15" s="297">
        <v>500267</v>
      </c>
      <c r="B15" s="356">
        <f>345698-330114</f>
        <v>15584</v>
      </c>
      <c r="G15" s="32"/>
      <c r="H15" s="15"/>
      <c r="I15" s="32"/>
      <c r="J15" s="32"/>
    </row>
    <row r="16" spans="1:10" x14ac:dyDescent="0.2">
      <c r="B16" s="14">
        <f>SUM(B8:B15)</f>
        <v>12125</v>
      </c>
      <c r="G16" s="32"/>
      <c r="H16" s="15"/>
      <c r="I16" s="32"/>
      <c r="J16" s="32"/>
    </row>
    <row r="17" spans="1:10" x14ac:dyDescent="0.2">
      <c r="B17" s="15">
        <f>+B30</f>
        <v>7.74</v>
      </c>
      <c r="C17" s="201">
        <f>+B17*B16</f>
        <v>93847.5</v>
      </c>
      <c r="G17" s="32"/>
      <c r="H17" s="15"/>
      <c r="I17" s="32"/>
      <c r="J17" s="32"/>
    </row>
    <row r="18" spans="1:10" x14ac:dyDescent="0.2">
      <c r="C18" s="260">
        <f>+C17+C5</f>
        <v>-114954.1</v>
      </c>
      <c r="E18" s="15"/>
      <c r="G18" s="32"/>
      <c r="H18" s="15"/>
      <c r="I18" s="32"/>
      <c r="J18" s="32"/>
    </row>
    <row r="19" spans="1:10" x14ac:dyDescent="0.2">
      <c r="E19" s="15"/>
      <c r="G19" s="32"/>
      <c r="H19" s="15"/>
      <c r="I19" s="32"/>
      <c r="J19" s="32"/>
    </row>
    <row r="20" spans="1:10" x14ac:dyDescent="0.2">
      <c r="A20" s="32" t="s">
        <v>96</v>
      </c>
      <c r="G20" s="32"/>
      <c r="H20" s="15"/>
      <c r="I20" s="32"/>
      <c r="J20" s="32"/>
    </row>
    <row r="21" spans="1:10" x14ac:dyDescent="0.2">
      <c r="A21" s="2" t="s">
        <v>79</v>
      </c>
      <c r="G21" s="32"/>
      <c r="H21" s="15"/>
      <c r="I21" s="32"/>
      <c r="J21" s="32"/>
    </row>
    <row r="22" spans="1:10" x14ac:dyDescent="0.2">
      <c r="G22" s="32"/>
      <c r="H22" s="15"/>
      <c r="I22" s="32"/>
      <c r="J22" s="32"/>
    </row>
    <row r="23" spans="1:10" x14ac:dyDescent="0.2">
      <c r="G23" s="32"/>
      <c r="H23" s="15"/>
      <c r="I23" s="32"/>
      <c r="J23" s="32"/>
    </row>
    <row r="24" spans="1:10" x14ac:dyDescent="0.2">
      <c r="A24" s="200">
        <v>36860</v>
      </c>
      <c r="C24" s="389">
        <v>166829.88</v>
      </c>
      <c r="G24" s="32"/>
      <c r="H24" s="15"/>
      <c r="I24" s="32"/>
      <c r="J24" s="32"/>
    </row>
    <row r="25" spans="1:10" x14ac:dyDescent="0.2">
      <c r="F25" s="272"/>
      <c r="G25" s="32"/>
      <c r="H25" s="15"/>
      <c r="I25" s="32"/>
      <c r="J25" s="32"/>
    </row>
    <row r="26" spans="1:10" x14ac:dyDescent="0.2">
      <c r="A26" s="57">
        <v>36871</v>
      </c>
      <c r="G26" s="32"/>
      <c r="H26" s="15"/>
      <c r="I26" s="32"/>
      <c r="J26" s="32"/>
    </row>
    <row r="27" spans="1:10" x14ac:dyDescent="0.2">
      <c r="A27" s="32">
        <v>9164</v>
      </c>
      <c r="B27" s="212">
        <v>12556</v>
      </c>
      <c r="G27" s="32"/>
      <c r="H27" s="15"/>
      <c r="I27" s="32"/>
      <c r="J27" s="32"/>
    </row>
    <row r="28" spans="1:10" x14ac:dyDescent="0.2">
      <c r="A28" s="32">
        <v>9167</v>
      </c>
      <c r="B28" s="212"/>
    </row>
    <row r="29" spans="1:10" x14ac:dyDescent="0.2">
      <c r="B29" s="14">
        <f>+B28+B27</f>
        <v>12556</v>
      </c>
    </row>
    <row r="30" spans="1:10" x14ac:dyDescent="0.2">
      <c r="B30" s="15">
        <f>+summary!P13</f>
        <v>7.74</v>
      </c>
      <c r="C30" s="201">
        <f>+B30*B29</f>
        <v>97183.44</v>
      </c>
    </row>
    <row r="31" spans="1:10" x14ac:dyDescent="0.2">
      <c r="C31" s="260">
        <f>+C30+C24</f>
        <v>264013.32</v>
      </c>
      <c r="E31" s="15"/>
    </row>
    <row r="33" spans="1:6" x14ac:dyDescent="0.2">
      <c r="E33" s="278"/>
    </row>
    <row r="34" spans="1:6" x14ac:dyDescent="0.2">
      <c r="A34" s="32" t="s">
        <v>96</v>
      </c>
      <c r="E34" s="15"/>
    </row>
    <row r="35" spans="1:6" x14ac:dyDescent="0.2">
      <c r="A35" s="32" t="s">
        <v>80</v>
      </c>
      <c r="E35" s="15"/>
    </row>
    <row r="38" spans="1:6" x14ac:dyDescent="0.2">
      <c r="A38" s="49">
        <v>36860</v>
      </c>
      <c r="C38" s="388">
        <v>285553.17</v>
      </c>
      <c r="E38" s="15"/>
      <c r="F38" s="272"/>
    </row>
    <row r="40" spans="1:6" x14ac:dyDescent="0.2">
      <c r="A40" s="251">
        <v>36871</v>
      </c>
    </row>
    <row r="41" spans="1:6" x14ac:dyDescent="0.2">
      <c r="A41" s="255">
        <v>500241</v>
      </c>
      <c r="B41" s="14"/>
    </row>
    <row r="42" spans="1:6" x14ac:dyDescent="0.2">
      <c r="A42" s="32">
        <v>500391</v>
      </c>
      <c r="B42" s="212">
        <v>2444</v>
      </c>
    </row>
    <row r="43" spans="1:6" x14ac:dyDescent="0.2">
      <c r="A43" s="32">
        <v>500392</v>
      </c>
      <c r="B43" s="259">
        <v>755</v>
      </c>
    </row>
    <row r="44" spans="1:6" x14ac:dyDescent="0.2">
      <c r="B44" s="14">
        <f>SUM(B41:B43)</f>
        <v>3199</v>
      </c>
    </row>
    <row r="45" spans="1:6" x14ac:dyDescent="0.2">
      <c r="B45" s="201">
        <f>+B30</f>
        <v>7.74</v>
      </c>
      <c r="C45" s="201">
        <f>+B45*B44</f>
        <v>24760.260000000002</v>
      </c>
    </row>
    <row r="46" spans="1:6" x14ac:dyDescent="0.2">
      <c r="C46" s="260">
        <f>+C45+C38</f>
        <v>310313.43</v>
      </c>
      <c r="E46" s="206"/>
    </row>
    <row r="47" spans="1:6" x14ac:dyDescent="0.2">
      <c r="E47" s="218"/>
    </row>
    <row r="48" spans="1:6" x14ac:dyDescent="0.2">
      <c r="E48" s="206"/>
    </row>
    <row r="49" spans="1:5" x14ac:dyDescent="0.2">
      <c r="C49" s="365"/>
      <c r="E49" s="218"/>
    </row>
    <row r="50" spans="1:5" x14ac:dyDescent="0.2">
      <c r="A50" s="32" t="s">
        <v>96</v>
      </c>
    </row>
    <row r="51" spans="1:5" x14ac:dyDescent="0.2">
      <c r="A51" s="32">
        <v>21665</v>
      </c>
      <c r="C51" s="387">
        <v>73449.16</v>
      </c>
      <c r="E51" s="50"/>
    </row>
    <row r="52" spans="1:5" x14ac:dyDescent="0.2">
      <c r="A52" s="32">
        <v>22664</v>
      </c>
      <c r="C52" s="387">
        <v>23612.35</v>
      </c>
    </row>
    <row r="53" spans="1:5" x14ac:dyDescent="0.2">
      <c r="E53" s="15"/>
    </row>
    <row r="56" spans="1:5" x14ac:dyDescent="0.2">
      <c r="C56" s="15"/>
    </row>
    <row r="58" spans="1:5" x14ac:dyDescent="0.2">
      <c r="C58" s="15"/>
    </row>
    <row r="59" spans="1:5" x14ac:dyDescent="0.2">
      <c r="C59" s="15"/>
    </row>
    <row r="62" spans="1:5" x14ac:dyDescent="0.2">
      <c r="C62" s="15">
        <f>+C18+C31+C46+C51+C52</f>
        <v>556434.16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5" workbookViewId="1">
      <selection activeCell="I19" sqref="I19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75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21</v>
      </c>
      <c r="G7" s="6" t="s">
        <v>22</v>
      </c>
      <c r="H7" s="6" t="s">
        <v>21</v>
      </c>
      <c r="I7" s="6" t="s">
        <v>22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8697</v>
      </c>
      <c r="C8" s="11">
        <v>6399</v>
      </c>
      <c r="D8" s="11">
        <v>114</v>
      </c>
      <c r="E8" s="11">
        <v>179</v>
      </c>
      <c r="F8" s="11">
        <v>1543</v>
      </c>
      <c r="G8" s="11">
        <v>1323</v>
      </c>
      <c r="H8" s="11">
        <v>322</v>
      </c>
      <c r="I8" s="11">
        <v>298</v>
      </c>
      <c r="J8" s="25">
        <f>+C8-B8+E8-D8+G8-F8+I8-H8</f>
        <v>-2477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8008</v>
      </c>
      <c r="C9" s="11">
        <v>6399</v>
      </c>
      <c r="D9" s="11">
        <v>120</v>
      </c>
      <c r="E9" s="11">
        <v>179</v>
      </c>
      <c r="F9" s="11">
        <v>1630</v>
      </c>
      <c r="G9" s="11">
        <v>1323</v>
      </c>
      <c r="H9" s="11">
        <v>176</v>
      </c>
      <c r="I9" s="11">
        <v>298</v>
      </c>
      <c r="J9" s="25">
        <f t="shared" ref="J9:J38" si="0">+C9-B9+E9-D9+G9-F9+I9-H9</f>
        <v>-1735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7274</v>
      </c>
      <c r="C10" s="11">
        <v>6399</v>
      </c>
      <c r="D10" s="11">
        <v>177</v>
      </c>
      <c r="E10" s="11">
        <v>179</v>
      </c>
      <c r="F10" s="11">
        <v>1555</v>
      </c>
      <c r="G10" s="11">
        <v>1323</v>
      </c>
      <c r="H10" s="11">
        <v>41</v>
      </c>
      <c r="I10" s="11">
        <v>298</v>
      </c>
      <c r="J10" s="25">
        <f t="shared" si="0"/>
        <v>-848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6935</v>
      </c>
      <c r="C11" s="11">
        <v>6399</v>
      </c>
      <c r="D11" s="11">
        <v>213</v>
      </c>
      <c r="E11" s="11">
        <v>179</v>
      </c>
      <c r="F11" s="11">
        <v>1427</v>
      </c>
      <c r="G11" s="11">
        <v>1323</v>
      </c>
      <c r="H11" s="11">
        <v>0</v>
      </c>
      <c r="I11" s="11">
        <v>298</v>
      </c>
      <c r="J11" s="25">
        <f t="shared" si="0"/>
        <v>-376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6927</v>
      </c>
      <c r="C12" s="11">
        <v>6399</v>
      </c>
      <c r="D12" s="11">
        <v>188</v>
      </c>
      <c r="E12" s="11">
        <v>179</v>
      </c>
      <c r="F12" s="11">
        <v>1521</v>
      </c>
      <c r="G12" s="11">
        <v>1323</v>
      </c>
      <c r="H12" s="11">
        <v>5</v>
      </c>
      <c r="I12" s="11">
        <v>298</v>
      </c>
      <c r="J12" s="25">
        <f t="shared" si="0"/>
        <v>-442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2953</v>
      </c>
      <c r="C13" s="11">
        <v>6399</v>
      </c>
      <c r="D13" s="11">
        <v>167</v>
      </c>
      <c r="E13" s="11">
        <v>179</v>
      </c>
      <c r="F13" s="11">
        <v>1484</v>
      </c>
      <c r="G13" s="11">
        <v>1323</v>
      </c>
      <c r="H13" s="11">
        <v>318</v>
      </c>
      <c r="I13" s="11">
        <v>298</v>
      </c>
      <c r="J13" s="25">
        <f t="shared" si="0"/>
        <v>3277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6098</v>
      </c>
      <c r="C14" s="11">
        <v>6399</v>
      </c>
      <c r="D14" s="11">
        <v>170</v>
      </c>
      <c r="E14" s="11">
        <v>179</v>
      </c>
      <c r="F14" s="11">
        <v>442</v>
      </c>
      <c r="G14" s="11">
        <v>1323</v>
      </c>
      <c r="H14" s="11">
        <v>408</v>
      </c>
      <c r="I14" s="129">
        <v>298</v>
      </c>
      <c r="J14" s="25">
        <f t="shared" si="0"/>
        <v>1081</v>
      </c>
      <c r="K14" s="10"/>
      <c r="L14" s="11"/>
      <c r="M14" s="11"/>
      <c r="N14" s="11"/>
      <c r="O14" s="11"/>
      <c r="P14" s="11"/>
      <c r="Q14" s="11"/>
      <c r="R14" s="123"/>
      <c r="S14" s="296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8005</v>
      </c>
      <c r="C15" s="11">
        <v>6399</v>
      </c>
      <c r="D15" s="11">
        <v>97</v>
      </c>
      <c r="E15" s="11">
        <v>179</v>
      </c>
      <c r="F15" s="11">
        <v>276</v>
      </c>
      <c r="G15" s="11">
        <v>1323</v>
      </c>
      <c r="H15" s="11">
        <v>308</v>
      </c>
      <c r="I15" s="11">
        <v>298</v>
      </c>
      <c r="J15" s="25">
        <f t="shared" si="0"/>
        <v>-487</v>
      </c>
      <c r="K15" s="10"/>
      <c r="L15" s="11"/>
      <c r="M15" s="11"/>
      <c r="N15" s="11"/>
      <c r="O15" s="11"/>
      <c r="P15" s="11"/>
      <c r="Q15" s="11"/>
      <c r="R15" s="123"/>
      <c r="S15" s="296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7359</v>
      </c>
      <c r="C16" s="11">
        <v>6878</v>
      </c>
      <c r="D16" s="11">
        <v>112</v>
      </c>
      <c r="E16" s="11">
        <v>179</v>
      </c>
      <c r="F16" s="11">
        <v>346</v>
      </c>
      <c r="G16" s="11">
        <v>1323</v>
      </c>
      <c r="H16" s="11">
        <v>242</v>
      </c>
      <c r="I16" s="11">
        <v>298</v>
      </c>
      <c r="J16" s="25">
        <f t="shared" si="0"/>
        <v>619</v>
      </c>
      <c r="K16" s="10"/>
      <c r="L16" s="11"/>
      <c r="M16" s="11"/>
      <c r="N16" s="11"/>
      <c r="O16" s="11"/>
      <c r="P16" s="11"/>
      <c r="Q16" s="11"/>
      <c r="R16" s="123"/>
      <c r="S16" s="296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6248</v>
      </c>
      <c r="C17" s="11">
        <v>6857</v>
      </c>
      <c r="D17" s="11">
        <v>192</v>
      </c>
      <c r="E17" s="11">
        <v>179</v>
      </c>
      <c r="F17" s="11">
        <v>604</v>
      </c>
      <c r="G17" s="11">
        <v>1323</v>
      </c>
      <c r="H17" s="11">
        <v>201</v>
      </c>
      <c r="I17" s="11">
        <v>298</v>
      </c>
      <c r="J17" s="25">
        <f t="shared" si="0"/>
        <v>1412</v>
      </c>
      <c r="K17" s="10"/>
      <c r="L17" s="11"/>
      <c r="M17" s="11"/>
      <c r="N17" s="11"/>
      <c r="O17" s="11"/>
      <c r="P17" s="11"/>
      <c r="Q17" s="11"/>
      <c r="R17" s="123"/>
      <c r="S17" s="296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6822</v>
      </c>
      <c r="C18" s="11">
        <v>6848</v>
      </c>
      <c r="D18" s="11">
        <v>90</v>
      </c>
      <c r="E18" s="11">
        <v>179</v>
      </c>
      <c r="F18" s="11">
        <v>1135</v>
      </c>
      <c r="G18" s="11">
        <v>1323</v>
      </c>
      <c r="H18" s="11">
        <v>82</v>
      </c>
      <c r="I18" s="11">
        <v>298</v>
      </c>
      <c r="J18" s="25">
        <f t="shared" si="0"/>
        <v>519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1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1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1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1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1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75326</v>
      </c>
      <c r="C39" s="11">
        <f t="shared" si="1"/>
        <v>71775</v>
      </c>
      <c r="D39" s="11">
        <f t="shared" si="1"/>
        <v>1640</v>
      </c>
      <c r="E39" s="11">
        <f t="shared" si="1"/>
        <v>1969</v>
      </c>
      <c r="F39" s="11">
        <f t="shared" si="1"/>
        <v>11963</v>
      </c>
      <c r="G39" s="11">
        <f t="shared" si="1"/>
        <v>14553</v>
      </c>
      <c r="H39" s="11">
        <f t="shared" si="1"/>
        <v>2103</v>
      </c>
      <c r="I39" s="11">
        <f t="shared" si="1"/>
        <v>3278</v>
      </c>
      <c r="J39" s="25">
        <f t="shared" si="1"/>
        <v>543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4">
        <f>+summary!P13</f>
        <v>7.74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4202.82</v>
      </c>
      <c r="L41"/>
      <c r="R41" s="138"/>
      <c r="X41" s="138"/>
    </row>
    <row r="42" spans="1:24" x14ac:dyDescent="0.2">
      <c r="A42" s="57">
        <v>36860</v>
      </c>
      <c r="C42" s="15"/>
      <c r="J42" s="379">
        <v>509472.93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36871</v>
      </c>
      <c r="C43" s="48"/>
      <c r="J43" s="138">
        <f>+J42+J41</f>
        <v>513675.75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L46"/>
    </row>
    <row r="47" spans="1:24" x14ac:dyDescent="0.2">
      <c r="L47"/>
    </row>
    <row r="48" spans="1:24" x14ac:dyDescent="0.2">
      <c r="L48"/>
    </row>
    <row r="49" spans="12:12" x14ac:dyDescent="0.2">
      <c r="L49"/>
    </row>
    <row r="50" spans="12:12" x14ac:dyDescent="0.2">
      <c r="L50"/>
    </row>
    <row r="51" spans="12:12" x14ac:dyDescent="0.2">
      <c r="L51"/>
    </row>
    <row r="52" spans="12:12" x14ac:dyDescent="0.2">
      <c r="L52"/>
    </row>
    <row r="53" spans="12:12" x14ac:dyDescent="0.2">
      <c r="L53"/>
    </row>
    <row r="54" spans="12:12" x14ac:dyDescent="0.2">
      <c r="L54"/>
    </row>
    <row r="55" spans="12:12" x14ac:dyDescent="0.2">
      <c r="L55"/>
    </row>
    <row r="56" spans="12:12" x14ac:dyDescent="0.2">
      <c r="L56"/>
    </row>
    <row r="57" spans="12:12" x14ac:dyDescent="0.2">
      <c r="L57"/>
    </row>
    <row r="58" spans="12:12" x14ac:dyDescent="0.2">
      <c r="L58"/>
    </row>
    <row r="59" spans="12:12" x14ac:dyDescent="0.2">
      <c r="L59"/>
    </row>
    <row r="60" spans="12:12" x14ac:dyDescent="0.2">
      <c r="L60"/>
    </row>
    <row r="61" spans="12:12" x14ac:dyDescent="0.2">
      <c r="L61"/>
    </row>
    <row r="62" spans="12:12" x14ac:dyDescent="0.2">
      <c r="L62"/>
    </row>
    <row r="63" spans="12:12" x14ac:dyDescent="0.2">
      <c r="L63"/>
    </row>
    <row r="64" spans="12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ageMargins left="0.5" right="0.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X43"/>
  <sheetViews>
    <sheetView topLeftCell="A30" workbookViewId="0">
      <selection activeCell="C35" sqref="C35"/>
    </sheetView>
    <sheetView topLeftCell="A26" workbookViewId="1">
      <selection activeCell="B44" sqref="B44"/>
    </sheetView>
  </sheetViews>
  <sheetFormatPr defaultRowHeight="12.75" x14ac:dyDescent="0.2"/>
  <cols>
    <col min="4" max="4" width="11.7109375" bestFit="1" customWidth="1"/>
  </cols>
  <sheetData>
    <row r="5" spans="1:24" ht="15" x14ac:dyDescent="0.25">
      <c r="A5" s="134"/>
      <c r="E5" s="134"/>
      <c r="I5" s="134"/>
      <c r="M5" s="134"/>
      <c r="Q5" s="134"/>
      <c r="U5" s="134"/>
    </row>
    <row r="6" spans="1:24" x14ac:dyDescent="0.2">
      <c r="A6" s="3"/>
      <c r="B6" s="1" t="s">
        <v>76</v>
      </c>
      <c r="E6" s="3"/>
      <c r="F6" s="1"/>
      <c r="I6" s="3"/>
      <c r="J6" s="1"/>
      <c r="M6" s="3"/>
      <c r="N6" s="1"/>
      <c r="Q6" s="3"/>
      <c r="R6" s="1"/>
      <c r="U6" s="3"/>
      <c r="V6" s="1"/>
    </row>
    <row r="7" spans="1:24" x14ac:dyDescent="0.2">
      <c r="A7" s="5" t="s">
        <v>12</v>
      </c>
      <c r="B7" s="6" t="s">
        <v>21</v>
      </c>
      <c r="C7" s="6" t="s">
        <v>22</v>
      </c>
      <c r="D7" s="6" t="s">
        <v>48</v>
      </c>
      <c r="E7" s="5"/>
      <c r="F7" s="6"/>
      <c r="G7" s="6"/>
      <c r="H7" s="6"/>
      <c r="I7" s="5"/>
      <c r="J7" s="6"/>
      <c r="K7" s="6"/>
      <c r="L7" s="6"/>
      <c r="M7" s="5"/>
      <c r="N7" s="6"/>
      <c r="O7" s="6"/>
      <c r="P7" s="6"/>
      <c r="Q7" s="5"/>
      <c r="R7" s="6"/>
      <c r="S7" s="6"/>
      <c r="T7" s="6"/>
      <c r="U7" s="5"/>
      <c r="V7" s="6"/>
      <c r="W7" s="6"/>
      <c r="X7" s="6"/>
    </row>
    <row r="8" spans="1:24" x14ac:dyDescent="0.2">
      <c r="A8" s="10">
        <v>1</v>
      </c>
      <c r="B8" s="11">
        <v>17119</v>
      </c>
      <c r="C8" s="11">
        <v>21220</v>
      </c>
      <c r="D8" s="25">
        <f>+C8-B8</f>
        <v>4101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  <c r="Q8" s="10"/>
      <c r="R8" s="11"/>
      <c r="S8" s="11"/>
      <c r="T8" s="25"/>
      <c r="U8" s="10"/>
      <c r="V8" s="11"/>
      <c r="W8" s="11"/>
      <c r="X8" s="25"/>
    </row>
    <row r="9" spans="1:24" x14ac:dyDescent="0.2">
      <c r="A9" s="10">
        <v>2</v>
      </c>
      <c r="B9" s="11">
        <v>16670</v>
      </c>
      <c r="C9" s="11">
        <v>18277</v>
      </c>
      <c r="D9" s="25">
        <f>+C9-B9</f>
        <v>1607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  <c r="Q9" s="10"/>
      <c r="R9" s="11"/>
      <c r="S9" s="11"/>
      <c r="T9" s="25"/>
      <c r="U9" s="10"/>
      <c r="V9" s="11"/>
      <c r="W9" s="11"/>
      <c r="X9" s="25"/>
    </row>
    <row r="10" spans="1:24" x14ac:dyDescent="0.2">
      <c r="A10" s="10">
        <v>3</v>
      </c>
      <c r="B10" s="11">
        <v>16648</v>
      </c>
      <c r="C10" s="11">
        <v>16986</v>
      </c>
      <c r="D10" s="25">
        <f t="shared" ref="D10:D38" si="0">+C10-B10</f>
        <v>338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  <c r="Q10" s="10"/>
      <c r="R10" s="11"/>
      <c r="S10" s="11"/>
      <c r="T10" s="25"/>
      <c r="U10" s="10"/>
      <c r="V10" s="11"/>
      <c r="W10" s="11"/>
      <c r="X10" s="25"/>
    </row>
    <row r="11" spans="1:24" x14ac:dyDescent="0.2">
      <c r="A11" s="10">
        <v>4</v>
      </c>
      <c r="B11" s="11">
        <v>16896</v>
      </c>
      <c r="C11" s="11">
        <v>21488</v>
      </c>
      <c r="D11" s="25">
        <f t="shared" si="0"/>
        <v>4592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  <c r="Q11" s="10"/>
      <c r="R11" s="11"/>
      <c r="S11" s="11"/>
      <c r="T11" s="25"/>
      <c r="U11" s="10"/>
      <c r="V11" s="11"/>
      <c r="W11" s="11"/>
      <c r="X11" s="25"/>
    </row>
    <row r="12" spans="1:24" x14ac:dyDescent="0.2">
      <c r="A12" s="10">
        <v>5</v>
      </c>
      <c r="B12" s="11">
        <v>17028</v>
      </c>
      <c r="C12" s="11">
        <v>16345</v>
      </c>
      <c r="D12" s="25">
        <f t="shared" si="0"/>
        <v>-683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  <c r="Q12" s="10"/>
      <c r="R12" s="11"/>
      <c r="S12" s="11"/>
      <c r="T12" s="25"/>
      <c r="U12" s="10"/>
      <c r="V12" s="11"/>
      <c r="W12" s="11"/>
      <c r="X12" s="25"/>
    </row>
    <row r="13" spans="1:24" x14ac:dyDescent="0.2">
      <c r="A13" s="10">
        <v>6</v>
      </c>
      <c r="B13" s="11">
        <v>16385</v>
      </c>
      <c r="C13" s="11">
        <v>16988</v>
      </c>
      <c r="D13" s="25">
        <f t="shared" si="0"/>
        <v>603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  <c r="Q13" s="10"/>
      <c r="R13" s="11"/>
      <c r="S13" s="11"/>
      <c r="T13" s="25"/>
      <c r="U13" s="10"/>
      <c r="V13" s="11"/>
      <c r="W13" s="11"/>
      <c r="X13" s="25"/>
    </row>
    <row r="14" spans="1:24" x14ac:dyDescent="0.2">
      <c r="A14" s="10">
        <v>7</v>
      </c>
      <c r="B14" s="11">
        <v>16743</v>
      </c>
      <c r="C14" s="11">
        <v>16988</v>
      </c>
      <c r="D14" s="25">
        <f t="shared" si="0"/>
        <v>245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  <c r="Q14" s="10"/>
      <c r="R14" s="11"/>
      <c r="S14" s="11"/>
      <c r="T14" s="25"/>
      <c r="U14" s="10"/>
      <c r="V14" s="11"/>
      <c r="W14" s="11"/>
      <c r="X14" s="25"/>
    </row>
    <row r="15" spans="1:24" x14ac:dyDescent="0.2">
      <c r="A15" s="10">
        <v>8</v>
      </c>
      <c r="B15" s="11">
        <v>16645</v>
      </c>
      <c r="C15" s="11">
        <v>16988</v>
      </c>
      <c r="D15" s="25">
        <f t="shared" si="0"/>
        <v>343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  <c r="Q15" s="10"/>
      <c r="R15" s="11"/>
      <c r="S15" s="11"/>
      <c r="T15" s="25"/>
      <c r="U15" s="10"/>
      <c r="V15" s="11"/>
      <c r="W15" s="11"/>
      <c r="X15" s="25"/>
    </row>
    <row r="16" spans="1:24" x14ac:dyDescent="0.2">
      <c r="A16" s="10">
        <v>9</v>
      </c>
      <c r="B16" s="11">
        <v>16869</v>
      </c>
      <c r="C16" s="11">
        <v>13954</v>
      </c>
      <c r="D16" s="25">
        <f t="shared" si="0"/>
        <v>-2915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  <c r="Q16" s="10"/>
      <c r="R16" s="11"/>
      <c r="S16" s="11"/>
      <c r="T16" s="25"/>
      <c r="U16" s="10"/>
      <c r="V16" s="11"/>
      <c r="W16" s="11"/>
      <c r="X16" s="25"/>
    </row>
    <row r="17" spans="1:24" x14ac:dyDescent="0.2">
      <c r="A17" s="10">
        <v>10</v>
      </c>
      <c r="B17" s="11">
        <v>17177</v>
      </c>
      <c r="C17" s="11">
        <v>16887</v>
      </c>
      <c r="D17" s="25">
        <f t="shared" si="0"/>
        <v>-290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  <c r="Q17" s="10"/>
      <c r="R17" s="11"/>
      <c r="S17" s="11"/>
      <c r="T17" s="25"/>
      <c r="U17" s="10"/>
      <c r="V17" s="11"/>
      <c r="W17" s="11"/>
      <c r="X17" s="25"/>
    </row>
    <row r="18" spans="1:24" x14ac:dyDescent="0.2">
      <c r="A18" s="10">
        <v>11</v>
      </c>
      <c r="B18" s="11">
        <v>15991</v>
      </c>
      <c r="C18" s="11">
        <v>16854</v>
      </c>
      <c r="D18" s="25">
        <f t="shared" si="0"/>
        <v>863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  <c r="Q18" s="10"/>
      <c r="R18" s="11"/>
      <c r="S18" s="11"/>
      <c r="T18" s="25"/>
      <c r="U18" s="10"/>
      <c r="V18" s="11"/>
      <c r="W18" s="11"/>
      <c r="X18" s="25"/>
    </row>
    <row r="19" spans="1:24" x14ac:dyDescent="0.2">
      <c r="A19" s="10">
        <v>12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  <c r="Q19" s="10"/>
      <c r="R19" s="11"/>
      <c r="S19" s="11"/>
      <c r="T19" s="25"/>
      <c r="U19" s="10"/>
      <c r="V19" s="11"/>
      <c r="W19" s="11"/>
      <c r="X19" s="25"/>
    </row>
    <row r="20" spans="1:24" x14ac:dyDescent="0.2">
      <c r="A20" s="10">
        <v>13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  <c r="Q20" s="10"/>
      <c r="R20" s="11"/>
      <c r="S20" s="11"/>
      <c r="T20" s="25"/>
      <c r="U20" s="10"/>
      <c r="V20" s="11"/>
      <c r="W20" s="11"/>
      <c r="X20" s="25"/>
    </row>
    <row r="21" spans="1:24" x14ac:dyDescent="0.2">
      <c r="A21" s="10">
        <v>14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  <c r="Q21" s="10"/>
      <c r="R21" s="11"/>
      <c r="S21" s="11"/>
      <c r="T21" s="25"/>
      <c r="U21" s="10"/>
      <c r="V21" s="11"/>
      <c r="W21" s="11"/>
      <c r="X21" s="25"/>
    </row>
    <row r="22" spans="1:24" x14ac:dyDescent="0.2">
      <c r="A22" s="10">
        <v>15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  <c r="Q22" s="10"/>
      <c r="R22" s="11"/>
      <c r="S22" s="11"/>
      <c r="T22" s="25"/>
      <c r="U22" s="10"/>
      <c r="V22" s="11"/>
      <c r="W22" s="11"/>
      <c r="X22" s="25"/>
    </row>
    <row r="23" spans="1:24" x14ac:dyDescent="0.2">
      <c r="A23" s="10">
        <v>16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  <c r="Q23" s="10"/>
      <c r="R23" s="11"/>
      <c r="S23" s="11"/>
      <c r="T23" s="25"/>
      <c r="U23" s="10"/>
      <c r="V23" s="11"/>
      <c r="W23" s="11"/>
      <c r="X23" s="25"/>
    </row>
    <row r="24" spans="1:24" x14ac:dyDescent="0.2">
      <c r="A24" s="10">
        <v>17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  <c r="Q24" s="10"/>
      <c r="R24" s="11"/>
      <c r="S24" s="11"/>
      <c r="T24" s="25"/>
      <c r="U24" s="10"/>
      <c r="V24" s="11"/>
      <c r="W24" s="11"/>
      <c r="X24" s="25"/>
    </row>
    <row r="25" spans="1:24" x14ac:dyDescent="0.2">
      <c r="A25" s="10">
        <v>18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  <c r="Q25" s="10"/>
      <c r="R25" s="11"/>
      <c r="S25" s="11"/>
      <c r="T25" s="25"/>
      <c r="U25" s="10"/>
      <c r="V25" s="11"/>
      <c r="W25" s="11"/>
      <c r="X25" s="25"/>
    </row>
    <row r="26" spans="1:24" x14ac:dyDescent="0.2">
      <c r="A26" s="10">
        <v>19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  <c r="Q26" s="10"/>
      <c r="R26" s="11"/>
      <c r="S26" s="11"/>
      <c r="T26" s="25"/>
      <c r="U26" s="10"/>
      <c r="V26" s="11"/>
      <c r="W26" s="11"/>
      <c r="X26" s="25"/>
    </row>
    <row r="27" spans="1:24" x14ac:dyDescent="0.2">
      <c r="A27" s="10">
        <v>20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  <c r="Q27" s="10"/>
      <c r="R27" s="11"/>
      <c r="S27" s="11"/>
      <c r="T27" s="25"/>
      <c r="U27" s="10"/>
      <c r="V27" s="11"/>
      <c r="W27" s="11"/>
      <c r="X27" s="25"/>
    </row>
    <row r="28" spans="1:24" x14ac:dyDescent="0.2">
      <c r="A28" s="10">
        <v>21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  <c r="Q28" s="10"/>
      <c r="R28" s="11"/>
      <c r="S28" s="11"/>
      <c r="T28" s="25"/>
      <c r="U28" s="10"/>
      <c r="V28" s="11"/>
      <c r="W28" s="11"/>
      <c r="X28" s="25"/>
    </row>
    <row r="29" spans="1:24" x14ac:dyDescent="0.2">
      <c r="A29" s="10">
        <v>22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  <c r="Q29" s="10"/>
      <c r="R29" s="11"/>
      <c r="S29" s="11"/>
      <c r="T29" s="25"/>
      <c r="U29" s="10"/>
      <c r="V29" s="11"/>
      <c r="W29" s="11"/>
      <c r="X29" s="25"/>
    </row>
    <row r="30" spans="1:24" x14ac:dyDescent="0.2">
      <c r="A30" s="10">
        <v>23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  <c r="Q30" s="10"/>
      <c r="R30" s="11"/>
      <c r="S30" s="11"/>
      <c r="T30" s="25"/>
      <c r="U30" s="10"/>
      <c r="V30" s="11"/>
      <c r="W30" s="11"/>
      <c r="X30" s="25"/>
    </row>
    <row r="31" spans="1:24" x14ac:dyDescent="0.2">
      <c r="A31" s="10">
        <v>24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  <c r="Q31" s="10"/>
      <c r="R31" s="11"/>
      <c r="S31" s="11"/>
      <c r="T31" s="25"/>
      <c r="U31" s="10"/>
      <c r="V31" s="11"/>
      <c r="W31" s="11"/>
      <c r="X31" s="25"/>
    </row>
    <row r="32" spans="1:24" x14ac:dyDescent="0.2">
      <c r="A32" s="10">
        <v>25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  <c r="Q32" s="10"/>
      <c r="R32" s="11"/>
      <c r="S32" s="11"/>
      <c r="T32" s="25"/>
      <c r="U32" s="10"/>
      <c r="V32" s="11"/>
      <c r="W32" s="11"/>
      <c r="X32" s="25"/>
    </row>
    <row r="33" spans="1:24" x14ac:dyDescent="0.2">
      <c r="A33" s="10">
        <v>26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  <c r="Q33" s="10"/>
      <c r="R33" s="11"/>
      <c r="S33" s="11"/>
      <c r="T33" s="25"/>
      <c r="U33" s="10"/>
      <c r="V33" s="11"/>
      <c r="W33" s="11"/>
      <c r="X33" s="25"/>
    </row>
    <row r="34" spans="1:24" x14ac:dyDescent="0.2">
      <c r="A34" s="10">
        <v>27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  <c r="Q34" s="10"/>
      <c r="R34" s="11"/>
      <c r="S34" s="11"/>
      <c r="T34" s="25"/>
      <c r="U34" s="10"/>
      <c r="V34" s="11"/>
      <c r="W34" s="11"/>
      <c r="X34" s="25"/>
    </row>
    <row r="35" spans="1:24" x14ac:dyDescent="0.2">
      <c r="A35" s="10">
        <v>28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  <c r="Q35" s="10"/>
      <c r="R35" s="11"/>
      <c r="S35" s="11"/>
      <c r="T35" s="25"/>
      <c r="U35" s="10"/>
      <c r="V35" s="11"/>
      <c r="W35" s="11"/>
      <c r="X35" s="25"/>
    </row>
    <row r="36" spans="1:24" x14ac:dyDescent="0.2">
      <c r="A36" s="10">
        <v>29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  <c r="Q36" s="10"/>
      <c r="R36" s="11"/>
      <c r="S36" s="11"/>
      <c r="T36" s="25"/>
      <c r="U36" s="10"/>
      <c r="V36" s="11"/>
      <c r="W36" s="11"/>
      <c r="X36" s="25"/>
    </row>
    <row r="37" spans="1:24" x14ac:dyDescent="0.2">
      <c r="A37" s="10">
        <v>30</v>
      </c>
      <c r="B37" s="11"/>
      <c r="C37" s="11"/>
      <c r="D37" s="25">
        <f t="shared" si="0"/>
        <v>0</v>
      </c>
      <c r="E37" s="10"/>
      <c r="F37" s="11"/>
      <c r="G37" s="11"/>
      <c r="H37" s="25"/>
      <c r="I37" s="10"/>
      <c r="J37" s="11"/>
      <c r="K37" s="11"/>
      <c r="L37" s="25"/>
      <c r="M37" s="10"/>
      <c r="N37" s="11"/>
      <c r="O37" s="11"/>
      <c r="P37" s="25"/>
      <c r="Q37" s="10"/>
      <c r="R37" s="11"/>
      <c r="S37" s="11"/>
      <c r="T37" s="25"/>
      <c r="U37" s="10"/>
      <c r="V37" s="11"/>
      <c r="W37" s="11"/>
      <c r="X37" s="25"/>
    </row>
    <row r="38" spans="1:24" x14ac:dyDescent="0.2">
      <c r="A38" s="10">
        <v>31</v>
      </c>
      <c r="B38" s="11"/>
      <c r="C38" s="11"/>
      <c r="D38" s="25">
        <f t="shared" si="0"/>
        <v>0</v>
      </c>
      <c r="E38" s="10"/>
      <c r="F38" s="11"/>
      <c r="G38" s="11"/>
      <c r="H38" s="25"/>
      <c r="I38" s="10"/>
      <c r="J38" s="11"/>
      <c r="K38" s="11"/>
      <c r="L38" s="25"/>
      <c r="M38" s="10"/>
      <c r="N38" s="11"/>
      <c r="O38" s="11"/>
      <c r="P38" s="25"/>
      <c r="Q38" s="10"/>
      <c r="R38" s="11"/>
      <c r="S38" s="11"/>
      <c r="T38" s="25"/>
      <c r="U38" s="10"/>
      <c r="V38" s="11"/>
      <c r="W38" s="11"/>
      <c r="X38" s="25"/>
    </row>
    <row r="39" spans="1:24" x14ac:dyDescent="0.2">
      <c r="A39" s="10"/>
      <c r="B39" s="11">
        <f>SUM(B8:B38)</f>
        <v>184171</v>
      </c>
      <c r="C39" s="11">
        <f>SUM(C8:C38)</f>
        <v>192975</v>
      </c>
      <c r="D39" s="11">
        <f>SUM(D8:D38)</f>
        <v>8804</v>
      </c>
      <c r="E39" s="10"/>
      <c r="F39" s="11"/>
      <c r="G39" s="11"/>
      <c r="H39" s="11"/>
      <c r="I39" s="10"/>
      <c r="J39" s="11"/>
      <c r="K39" s="11"/>
      <c r="L39" s="11"/>
      <c r="M39" s="10"/>
      <c r="N39" s="11"/>
      <c r="O39" s="11"/>
      <c r="P39" s="11"/>
      <c r="Q39" s="10"/>
      <c r="R39" s="11"/>
      <c r="S39" s="11"/>
      <c r="T39" s="11"/>
      <c r="U39" s="10"/>
      <c r="V39" s="11"/>
      <c r="W39" s="11"/>
      <c r="X39" s="11"/>
    </row>
    <row r="40" spans="1:24" x14ac:dyDescent="0.2">
      <c r="A40" s="26"/>
      <c r="C40" s="14"/>
      <c r="D40" s="106">
        <f>+summary!P13</f>
        <v>7.74</v>
      </c>
      <c r="E40" s="26"/>
      <c r="G40" s="14"/>
      <c r="H40" s="106"/>
      <c r="I40" s="26"/>
      <c r="K40" s="14"/>
      <c r="L40" s="106"/>
      <c r="M40" s="26"/>
      <c r="O40" s="14"/>
      <c r="P40" s="106"/>
      <c r="Q40" s="26"/>
      <c r="S40" s="14"/>
      <c r="T40" s="106"/>
      <c r="U40" s="26"/>
      <c r="W40" s="14"/>
      <c r="X40" s="106"/>
    </row>
    <row r="41" spans="1:24" x14ac:dyDescent="0.2">
      <c r="D41" s="138">
        <f>+D40*D39</f>
        <v>68142.960000000006</v>
      </c>
      <c r="H41" s="138"/>
      <c r="L41" s="138"/>
      <c r="P41" s="138"/>
      <c r="T41" s="138"/>
      <c r="X41" s="138"/>
    </row>
    <row r="42" spans="1:24" x14ac:dyDescent="0.2">
      <c r="A42" s="57">
        <v>36860</v>
      </c>
      <c r="C42" s="15"/>
      <c r="D42" s="383">
        <v>-65848.31</v>
      </c>
      <c r="E42" s="57"/>
      <c r="G42" s="15"/>
      <c r="H42" s="138"/>
      <c r="I42" s="57"/>
      <c r="K42" s="15"/>
      <c r="L42" s="138"/>
      <c r="M42" s="57"/>
      <c r="O42" s="15"/>
      <c r="P42" s="138"/>
      <c r="Q42" s="57"/>
      <c r="S42" s="15"/>
      <c r="T42" s="138"/>
      <c r="U42" s="57"/>
      <c r="W42" s="15"/>
      <c r="X42" s="138"/>
    </row>
    <row r="43" spans="1:24" x14ac:dyDescent="0.2">
      <c r="A43" s="57">
        <v>36871</v>
      </c>
      <c r="C43" s="48"/>
      <c r="D43" s="110">
        <f>+D42+D41</f>
        <v>2294.6500000000087</v>
      </c>
      <c r="E43" s="57"/>
      <c r="G43" s="48"/>
      <c r="H43" s="138"/>
      <c r="I43" s="57"/>
      <c r="K43" s="48"/>
      <c r="L43" s="138"/>
      <c r="M43" s="57"/>
      <c r="O43" s="48"/>
      <c r="P43" s="138"/>
      <c r="Q43" s="57"/>
      <c r="S43" s="48"/>
      <c r="T43" s="138"/>
      <c r="U43" s="57"/>
      <c r="W43" s="48"/>
      <c r="X43" s="13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workbookViewId="0">
      <selection activeCell="B10" sqref="B10"/>
    </sheetView>
    <sheetView workbookViewId="1">
      <selection activeCell="C10" sqref="C10"/>
    </sheetView>
  </sheetViews>
  <sheetFormatPr defaultRowHeight="11.25" x14ac:dyDescent="0.2"/>
  <cols>
    <col min="1" max="3" width="9.140625" style="32"/>
    <col min="4" max="4" width="12" style="32" bestFit="1" customWidth="1"/>
    <col min="5" max="16384" width="9.140625" style="32"/>
  </cols>
  <sheetData>
    <row r="4" spans="1:8" ht="12.75" x14ac:dyDescent="0.2">
      <c r="A4" s="34" t="s">
        <v>97</v>
      </c>
      <c r="B4" s="69"/>
      <c r="C4" s="298"/>
      <c r="D4" s="69"/>
    </row>
    <row r="5" spans="1:8" x14ac:dyDescent="0.2">
      <c r="B5" s="299" t="s">
        <v>21</v>
      </c>
      <c r="C5" s="299" t="s">
        <v>22</v>
      </c>
      <c r="D5" s="300" t="s">
        <v>54</v>
      </c>
    </row>
    <row r="6" spans="1:8" x14ac:dyDescent="0.2">
      <c r="A6" s="32">
        <v>1635</v>
      </c>
      <c r="B6" s="386">
        <v>-91998</v>
      </c>
      <c r="C6" s="80"/>
      <c r="D6" s="80">
        <f t="shared" ref="D6:D14" si="0">+C6-B6</f>
        <v>91998</v>
      </c>
    </row>
    <row r="7" spans="1:8" x14ac:dyDescent="0.2">
      <c r="A7" s="32">
        <v>3531</v>
      </c>
      <c r="B7" s="386">
        <v>-330799</v>
      </c>
      <c r="C7" s="307">
        <v>-331850</v>
      </c>
      <c r="D7" s="80">
        <f t="shared" si="0"/>
        <v>-1051</v>
      </c>
    </row>
    <row r="8" spans="1:8" x14ac:dyDescent="0.2">
      <c r="A8" s="32">
        <v>60667</v>
      </c>
      <c r="B8" s="386">
        <f>-223742-19660</f>
        <v>-243402</v>
      </c>
      <c r="C8" s="307">
        <v>-292138</v>
      </c>
      <c r="D8" s="80">
        <f t="shared" si="0"/>
        <v>-48736</v>
      </c>
      <c r="H8" s="256"/>
    </row>
    <row r="9" spans="1:8" x14ac:dyDescent="0.2">
      <c r="A9" s="32">
        <v>60749</v>
      </c>
      <c r="B9" s="354">
        <v>46177</v>
      </c>
      <c r="C9" s="386">
        <v>-266798</v>
      </c>
      <c r="D9" s="80">
        <f t="shared" si="0"/>
        <v>-312975</v>
      </c>
      <c r="H9" s="256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6"/>
    </row>
    <row r="11" spans="1:8" x14ac:dyDescent="0.2">
      <c r="A11" s="32">
        <v>61334</v>
      </c>
      <c r="B11" s="386">
        <v>-238070</v>
      </c>
      <c r="C11" s="80"/>
      <c r="D11" s="80">
        <f t="shared" si="0"/>
        <v>238070</v>
      </c>
      <c r="H11" s="256"/>
    </row>
    <row r="12" spans="1:8" x14ac:dyDescent="0.2">
      <c r="A12" s="32">
        <v>62960</v>
      </c>
      <c r="B12" s="354"/>
      <c r="C12" s="80"/>
      <c r="D12" s="80">
        <f t="shared" si="0"/>
        <v>0</v>
      </c>
      <c r="H12" s="256"/>
    </row>
    <row r="13" spans="1:8" x14ac:dyDescent="0.2">
      <c r="A13" s="301"/>
      <c r="B13" s="80"/>
      <c r="C13" s="80"/>
      <c r="D13" s="80">
        <f t="shared" si="0"/>
        <v>0</v>
      </c>
      <c r="H13" s="256"/>
    </row>
    <row r="14" spans="1:8" x14ac:dyDescent="0.2">
      <c r="B14" s="80"/>
      <c r="C14" s="80"/>
      <c r="D14" s="80">
        <f t="shared" si="0"/>
        <v>0</v>
      </c>
      <c r="H14" s="256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-32694</v>
      </c>
    </row>
    <row r="19" spans="1:5" x14ac:dyDescent="0.2">
      <c r="A19" s="32" t="s">
        <v>88</v>
      </c>
      <c r="B19" s="69"/>
      <c r="C19" s="69"/>
      <c r="D19" s="73">
        <f>+summary!P13</f>
        <v>7.74</v>
      </c>
    </row>
    <row r="20" spans="1:5" x14ac:dyDescent="0.2">
      <c r="B20" s="69"/>
      <c r="C20" s="69"/>
      <c r="D20" s="75">
        <f>+D19*D18</f>
        <v>-253051.56</v>
      </c>
    </row>
    <row r="21" spans="1:5" x14ac:dyDescent="0.2">
      <c r="B21" s="69"/>
      <c r="C21" s="80"/>
      <c r="D21" s="305"/>
      <c r="E21" s="256"/>
    </row>
    <row r="22" spans="1:5" x14ac:dyDescent="0.2">
      <c r="A22" s="49">
        <v>36860</v>
      </c>
      <c r="B22" s="69"/>
      <c r="C22" s="80"/>
      <c r="D22" s="378">
        <v>52631.01</v>
      </c>
      <c r="E22" s="256"/>
    </row>
    <row r="23" spans="1:5" x14ac:dyDescent="0.2">
      <c r="B23" s="69"/>
      <c r="C23" s="80"/>
      <c r="D23" s="305"/>
      <c r="E23" s="256"/>
    </row>
    <row r="24" spans="1:5" ht="12" thickBot="1" x14ac:dyDescent="0.25">
      <c r="A24" s="49">
        <v>36871</v>
      </c>
      <c r="B24" s="69"/>
      <c r="C24" s="69"/>
      <c r="D24" s="306">
        <f>+D22+D20</f>
        <v>-200420.55</v>
      </c>
      <c r="E24" s="256"/>
    </row>
    <row r="25" spans="1:5" ht="12" thickTop="1" x14ac:dyDescent="0.2">
      <c r="B25" s="69"/>
      <c r="C25" s="69"/>
      <c r="D25" s="69"/>
      <c r="E25" s="25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C13" sqref="C13"/>
    </sheetView>
    <sheetView workbookViewId="1">
      <selection activeCell="B13" sqref="B13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90</v>
      </c>
      <c r="B3" s="88"/>
      <c r="C3" s="269"/>
      <c r="D3" s="88"/>
    </row>
    <row r="4" spans="1:13" x14ac:dyDescent="0.2">
      <c r="A4" s="87"/>
      <c r="B4" s="265" t="s">
        <v>21</v>
      </c>
      <c r="C4" s="265" t="s">
        <v>22</v>
      </c>
      <c r="D4" s="266" t="s">
        <v>54</v>
      </c>
    </row>
    <row r="5" spans="1:13" x14ac:dyDescent="0.2">
      <c r="A5" s="87">
        <v>9236</v>
      </c>
      <c r="B5" s="371">
        <v>-29169</v>
      </c>
      <c r="C5" s="90">
        <v>-45305</v>
      </c>
      <c r="D5" s="90">
        <f t="shared" ref="D5:D13" si="0">+C5-B5</f>
        <v>-16136</v>
      </c>
      <c r="E5" s="69"/>
      <c r="F5" s="70"/>
    </row>
    <row r="6" spans="1:13" x14ac:dyDescent="0.2">
      <c r="A6" s="87">
        <v>9238</v>
      </c>
      <c r="B6" s="90"/>
      <c r="C6" s="90"/>
      <c r="D6" s="90">
        <f t="shared" si="0"/>
        <v>0</v>
      </c>
      <c r="E6" s="292"/>
      <c r="F6" s="70"/>
      <c r="K6" s="65">
        <v>36531</v>
      </c>
      <c r="L6" t="s">
        <v>26</v>
      </c>
      <c r="M6">
        <v>0.5</v>
      </c>
    </row>
    <row r="7" spans="1:13" x14ac:dyDescent="0.2">
      <c r="A7" s="87">
        <v>56422</v>
      </c>
      <c r="B7" s="371">
        <v>-1063894</v>
      </c>
      <c r="C7" s="90">
        <v>-1105577</v>
      </c>
      <c r="D7" s="90">
        <f t="shared" si="0"/>
        <v>-41683</v>
      </c>
      <c r="E7" s="292"/>
      <c r="F7" s="70"/>
    </row>
    <row r="8" spans="1:13" x14ac:dyDescent="0.2">
      <c r="A8" s="87">
        <v>58710</v>
      </c>
      <c r="B8" s="371">
        <v>-155139</v>
      </c>
      <c r="C8" s="353">
        <v>-78669</v>
      </c>
      <c r="D8" s="90">
        <f t="shared" si="0"/>
        <v>76470</v>
      </c>
      <c r="E8" s="292"/>
      <c r="F8" s="70"/>
    </row>
    <row r="9" spans="1:13" x14ac:dyDescent="0.2">
      <c r="A9" s="87">
        <v>60921</v>
      </c>
      <c r="B9" s="371">
        <v>-221071</v>
      </c>
      <c r="C9" s="90">
        <v>-173545</v>
      </c>
      <c r="D9" s="90">
        <f t="shared" si="0"/>
        <v>47526</v>
      </c>
      <c r="E9" s="292"/>
      <c r="F9" s="70"/>
    </row>
    <row r="10" spans="1:13" x14ac:dyDescent="0.2">
      <c r="A10" s="87">
        <v>78026</v>
      </c>
      <c r="B10" s="353">
        <v>32039</v>
      </c>
      <c r="C10" s="90"/>
      <c r="D10" s="90">
        <f t="shared" si="0"/>
        <v>-32039</v>
      </c>
      <c r="E10" s="292"/>
      <c r="F10" s="290"/>
    </row>
    <row r="11" spans="1:13" x14ac:dyDescent="0.2">
      <c r="A11" s="87">
        <v>500084</v>
      </c>
      <c r="B11" s="371">
        <v>-22075</v>
      </c>
      <c r="C11" s="90">
        <v>-33000</v>
      </c>
      <c r="D11" s="90">
        <f t="shared" si="0"/>
        <v>-10925</v>
      </c>
      <c r="E11" s="293"/>
      <c r="F11" s="290"/>
    </row>
    <row r="12" spans="1:13" x14ac:dyDescent="0.2">
      <c r="A12" s="91">
        <v>500085</v>
      </c>
      <c r="B12" s="353">
        <v>-60784</v>
      </c>
      <c r="C12" s="353">
        <v>-54461</v>
      </c>
      <c r="D12" s="90">
        <f t="shared" si="0"/>
        <v>6323</v>
      </c>
      <c r="E12" s="292"/>
      <c r="F12" s="290"/>
    </row>
    <row r="13" spans="1:13" x14ac:dyDescent="0.2">
      <c r="A13" s="87">
        <v>500097</v>
      </c>
      <c r="B13" s="90">
        <v>-2457</v>
      </c>
      <c r="C13" s="90"/>
      <c r="D13" s="90">
        <f t="shared" si="0"/>
        <v>2457</v>
      </c>
      <c r="E13" s="292"/>
      <c r="F13" s="290"/>
    </row>
    <row r="14" spans="1:13" x14ac:dyDescent="0.2">
      <c r="A14" s="87"/>
      <c r="B14" s="90"/>
      <c r="C14" s="90"/>
      <c r="D14" s="90"/>
      <c r="E14" s="292"/>
      <c r="F14" s="290"/>
    </row>
    <row r="15" spans="1:13" x14ac:dyDescent="0.2">
      <c r="A15" s="87"/>
      <c r="B15" s="90"/>
      <c r="C15" s="90"/>
      <c r="D15" s="90"/>
      <c r="E15" s="292"/>
      <c r="F15" s="290"/>
    </row>
    <row r="16" spans="1:13" x14ac:dyDescent="0.2">
      <c r="A16" s="87"/>
      <c r="B16" s="88"/>
      <c r="C16" s="88"/>
      <c r="D16" s="94"/>
      <c r="E16" s="292"/>
      <c r="F16" s="290"/>
    </row>
    <row r="17" spans="1:7" x14ac:dyDescent="0.2">
      <c r="A17" s="87"/>
      <c r="B17" s="88"/>
      <c r="C17" s="88"/>
      <c r="D17" s="88">
        <f>SUM(D5:D16)</f>
        <v>31993</v>
      </c>
      <c r="E17" s="292"/>
      <c r="F17" s="290"/>
    </row>
    <row r="18" spans="1:7" x14ac:dyDescent="0.2">
      <c r="A18" s="87" t="s">
        <v>88</v>
      </c>
      <c r="B18" s="88"/>
      <c r="C18" s="88"/>
      <c r="D18" s="95">
        <f>+summary!P13</f>
        <v>7.74</v>
      </c>
      <c r="E18" s="294"/>
      <c r="F18" s="290"/>
    </row>
    <row r="19" spans="1:7" x14ac:dyDescent="0.2">
      <c r="A19" s="87"/>
      <c r="B19" s="88"/>
      <c r="C19" s="88"/>
      <c r="D19" s="96">
        <f>+D18*D17</f>
        <v>247625.82</v>
      </c>
      <c r="E19" s="209"/>
      <c r="F19" s="291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36860</v>
      </c>
      <c r="B21" s="88"/>
      <c r="C21" s="88"/>
      <c r="D21" s="385">
        <v>370218.8</v>
      </c>
      <c r="E21" s="209"/>
      <c r="F21" s="66"/>
    </row>
    <row r="22" spans="1:7" x14ac:dyDescent="0.2">
      <c r="A22" s="87"/>
      <c r="B22" s="88"/>
      <c r="C22" s="88"/>
      <c r="D22" s="351"/>
      <c r="E22" s="209"/>
      <c r="F22" s="66"/>
    </row>
    <row r="23" spans="1:7" ht="13.5" thickBot="1" x14ac:dyDescent="0.25">
      <c r="A23" s="99">
        <v>36871</v>
      </c>
      <c r="B23" s="88"/>
      <c r="C23" s="88"/>
      <c r="D23" s="98">
        <f>+D21+D19</f>
        <v>617844.62</v>
      </c>
      <c r="E23" s="209"/>
      <c r="F23" s="66"/>
    </row>
    <row r="24" spans="1:7" ht="13.5" thickTop="1" x14ac:dyDescent="0.2">
      <c r="E24" s="295"/>
    </row>
    <row r="25" spans="1:7" x14ac:dyDescent="0.2">
      <c r="E25" s="295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26"/>
      <c r="E36" s="69"/>
      <c r="F36" s="70"/>
      <c r="G36" s="32"/>
    </row>
    <row r="37" spans="1:7" x14ac:dyDescent="0.2">
      <c r="B37" s="69"/>
      <c r="C37" s="69"/>
      <c r="D37" s="326"/>
      <c r="E37" s="69"/>
      <c r="F37" s="70"/>
      <c r="G37" s="32"/>
    </row>
    <row r="38" spans="1:7" x14ac:dyDescent="0.2">
      <c r="B38" s="69"/>
      <c r="C38" s="69"/>
      <c r="D38" s="326"/>
      <c r="E38" s="69"/>
      <c r="F38" s="70"/>
      <c r="G38" s="32"/>
    </row>
    <row r="39" spans="1:7" x14ac:dyDescent="0.2">
      <c r="B39" s="69"/>
      <c r="C39" s="69"/>
      <c r="D39" s="326"/>
      <c r="E39" s="69"/>
      <c r="F39" s="70"/>
      <c r="G39" s="32"/>
    </row>
    <row r="40" spans="1:7" x14ac:dyDescent="0.2">
      <c r="B40" s="69"/>
      <c r="C40" s="69">
        <v>300</v>
      </c>
      <c r="D40" s="326">
        <v>7.75</v>
      </c>
      <c r="E40" s="69">
        <f>+D40*C40</f>
        <v>2325</v>
      </c>
      <c r="F40" s="70"/>
      <c r="G40" s="32"/>
    </row>
    <row r="41" spans="1:7" x14ac:dyDescent="0.2">
      <c r="B41" s="69"/>
      <c r="C41" s="69">
        <v>300</v>
      </c>
      <c r="D41" s="326">
        <v>6.375</v>
      </c>
      <c r="E41" s="69">
        <f>+D41*C41</f>
        <v>1912.5</v>
      </c>
      <c r="F41" s="70"/>
      <c r="G41" s="32"/>
    </row>
    <row r="42" spans="1:7" x14ac:dyDescent="0.2">
      <c r="B42" s="69"/>
      <c r="C42" s="69">
        <v>400</v>
      </c>
      <c r="D42" s="326">
        <v>5</v>
      </c>
      <c r="E42" s="69">
        <f>+D42*C42</f>
        <v>2000</v>
      </c>
      <c r="F42" s="70"/>
      <c r="G42" s="32"/>
    </row>
    <row r="43" spans="1:7" x14ac:dyDescent="0.2">
      <c r="B43" s="69"/>
      <c r="C43" s="69">
        <f>SUM(C40:C42)</f>
        <v>1000</v>
      </c>
      <c r="D43" s="326">
        <f>+E43/C43</f>
        <v>6.2374999999999998</v>
      </c>
      <c r="E43" s="69">
        <f>SUM(E40:E42)</f>
        <v>6237.5</v>
      </c>
      <c r="F43" s="70"/>
      <c r="G43" s="32"/>
    </row>
    <row r="44" spans="1:7" x14ac:dyDescent="0.2">
      <c r="B44" s="69"/>
      <c r="C44" s="69">
        <v>1000</v>
      </c>
      <c r="D44" s="327"/>
      <c r="E44" s="292">
        <f>+D44*C44</f>
        <v>0</v>
      </c>
      <c r="F44" s="290"/>
      <c r="G44" s="206"/>
    </row>
    <row r="45" spans="1:7" x14ac:dyDescent="0.2">
      <c r="B45" s="69"/>
      <c r="C45" s="69"/>
      <c r="D45" s="327"/>
      <c r="E45" s="292"/>
      <c r="F45" s="290"/>
      <c r="G45" s="206"/>
    </row>
    <row r="46" spans="1:7" x14ac:dyDescent="0.2">
      <c r="A46" s="32"/>
      <c r="B46" s="69"/>
      <c r="C46" s="69"/>
      <c r="D46" s="292"/>
      <c r="E46" s="292"/>
      <c r="F46" s="290"/>
      <c r="G46" s="206"/>
    </row>
    <row r="47" spans="1:7" x14ac:dyDescent="0.2">
      <c r="A47" s="32"/>
      <c r="B47" s="69"/>
      <c r="C47" s="69"/>
      <c r="D47" s="294"/>
      <c r="E47" s="294"/>
      <c r="F47" s="290"/>
      <c r="G47" s="206"/>
    </row>
    <row r="48" spans="1:7" x14ac:dyDescent="0.2">
      <c r="B48" s="69"/>
      <c r="C48" s="69"/>
      <c r="D48" s="292"/>
      <c r="E48" s="292"/>
      <c r="F48" s="291"/>
      <c r="G48" s="206"/>
    </row>
    <row r="49" spans="1:7" x14ac:dyDescent="0.2">
      <c r="B49" s="69"/>
      <c r="C49" s="69"/>
      <c r="D49" s="292"/>
      <c r="E49" s="292"/>
      <c r="F49" s="291"/>
      <c r="G49" s="206"/>
    </row>
    <row r="50" spans="1:7" x14ac:dyDescent="0.2">
      <c r="D50" s="323"/>
      <c r="E50" s="323"/>
      <c r="F50" s="324"/>
      <c r="G50" s="325"/>
    </row>
    <row r="51" spans="1:7" x14ac:dyDescent="0.2">
      <c r="A51" s="32"/>
      <c r="D51" s="67"/>
      <c r="E51" s="67"/>
      <c r="F51" s="66"/>
    </row>
    <row r="52" spans="1:7" x14ac:dyDescent="0.2">
      <c r="A52" s="32"/>
      <c r="E52" s="63"/>
      <c r="F52" s="66"/>
    </row>
    <row r="53" spans="1:7" x14ac:dyDescent="0.2">
      <c r="A53" s="32"/>
      <c r="E53" s="63"/>
      <c r="F53" s="66"/>
    </row>
    <row r="54" spans="1:7" ht="13.5" thickBot="1" x14ac:dyDescent="0.25">
      <c r="A54" s="32"/>
      <c r="D54" s="68"/>
      <c r="E54" s="68"/>
      <c r="F54" s="66"/>
    </row>
    <row r="55" spans="1:7" ht="13.5" thickTop="1" x14ac:dyDescent="0.2">
      <c r="A55" s="32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F4" sqref="F4"/>
    </sheetView>
    <sheetView workbookViewId="1">
      <selection activeCell="E15" sqref="E15"/>
    </sheetView>
  </sheetViews>
  <sheetFormatPr defaultRowHeight="12.75" x14ac:dyDescent="0.2"/>
  <cols>
    <col min="4" max="5" width="9.85546875" bestFit="1" customWidth="1"/>
    <col min="8" max="8" width="9.85546875" customWidth="1"/>
    <col min="9" max="9" width="9.28515625" bestFit="1" customWidth="1"/>
  </cols>
  <sheetData>
    <row r="1" spans="1:35" x14ac:dyDescent="0.2">
      <c r="B1" s="1" t="s">
        <v>9</v>
      </c>
      <c r="D1" s="1" t="s">
        <v>110</v>
      </c>
      <c r="F1" s="1" t="s">
        <v>10</v>
      </c>
      <c r="H1" s="1" t="s">
        <v>11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41033</v>
      </c>
      <c r="C4" s="11">
        <v>47479</v>
      </c>
      <c r="D4" s="11">
        <v>386304</v>
      </c>
      <c r="E4" s="11">
        <v>382606</v>
      </c>
      <c r="F4" s="11">
        <v>38081</v>
      </c>
      <c r="G4" s="11">
        <v>48634</v>
      </c>
      <c r="H4" s="11">
        <v>153724</v>
      </c>
      <c r="I4" s="11">
        <v>143155</v>
      </c>
      <c r="J4" s="11">
        <f t="shared" ref="J4:J34" si="0">+C4+E4+G4+I4-H4-F4-D4-B4</f>
        <v>2732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59989</v>
      </c>
      <c r="C5" s="11">
        <v>71232</v>
      </c>
      <c r="D5" s="11">
        <v>403458</v>
      </c>
      <c r="E5" s="11">
        <v>384185</v>
      </c>
      <c r="F5" s="11">
        <v>36007</v>
      </c>
      <c r="G5" s="11">
        <v>36585</v>
      </c>
      <c r="H5" s="11">
        <v>151696</v>
      </c>
      <c r="I5" s="11">
        <v>152989</v>
      </c>
      <c r="J5" s="11">
        <f t="shared" si="0"/>
        <v>-6159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64884</v>
      </c>
      <c r="C6" s="11">
        <v>73689</v>
      </c>
      <c r="D6" s="11">
        <v>391197</v>
      </c>
      <c r="E6" s="11">
        <v>397054</v>
      </c>
      <c r="F6" s="11">
        <v>43616</v>
      </c>
      <c r="G6" s="11">
        <v>48634</v>
      </c>
      <c r="H6" s="11">
        <v>171875</v>
      </c>
      <c r="I6" s="11">
        <v>151856</v>
      </c>
      <c r="J6" s="11">
        <f t="shared" si="0"/>
        <v>-339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72845</v>
      </c>
      <c r="C7" s="11">
        <v>72969</v>
      </c>
      <c r="D7" s="11">
        <v>370233</v>
      </c>
      <c r="E7" s="11">
        <v>375070</v>
      </c>
      <c r="F7" s="11">
        <v>41520</v>
      </c>
      <c r="G7" s="11">
        <v>48634</v>
      </c>
      <c r="H7" s="11">
        <v>162638</v>
      </c>
      <c r="I7" s="11">
        <v>146490</v>
      </c>
      <c r="J7" s="11">
        <f t="shared" si="0"/>
        <v>-4073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86850</v>
      </c>
      <c r="C8" s="11">
        <v>87100</v>
      </c>
      <c r="D8" s="11">
        <v>349554</v>
      </c>
      <c r="E8" s="11">
        <v>354190</v>
      </c>
      <c r="F8" s="11">
        <v>45007</v>
      </c>
      <c r="G8" s="11">
        <v>48634</v>
      </c>
      <c r="H8" s="11">
        <v>129789</v>
      </c>
      <c r="I8" s="11">
        <v>115758</v>
      </c>
      <c r="J8" s="11">
        <f t="shared" si="0"/>
        <v>-5518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73245</v>
      </c>
      <c r="C9" s="11">
        <v>63737</v>
      </c>
      <c r="D9" s="11">
        <v>393698</v>
      </c>
      <c r="E9" s="11">
        <v>399032</v>
      </c>
      <c r="F9" s="11">
        <v>45036</v>
      </c>
      <c r="G9" s="11">
        <v>47052</v>
      </c>
      <c r="H9" s="11">
        <v>160393</v>
      </c>
      <c r="I9" s="11">
        <v>159872</v>
      </c>
      <c r="J9" s="11">
        <f t="shared" si="0"/>
        <v>-2679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>
        <v>75161</v>
      </c>
      <c r="C10" s="11">
        <v>67069</v>
      </c>
      <c r="D10" s="11">
        <v>354762</v>
      </c>
      <c r="E10" s="11">
        <v>357960</v>
      </c>
      <c r="F10" s="11">
        <v>47482</v>
      </c>
      <c r="G10" s="11">
        <v>49634</v>
      </c>
      <c r="H10" s="11">
        <v>86575</v>
      </c>
      <c r="I10" s="11">
        <v>170091</v>
      </c>
      <c r="J10" s="11">
        <f t="shared" si="0"/>
        <v>80774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74164</v>
      </c>
      <c r="C11" s="11">
        <v>64177</v>
      </c>
      <c r="D11" s="11">
        <v>360958</v>
      </c>
      <c r="E11" s="11">
        <v>364836</v>
      </c>
      <c r="F11" s="11">
        <v>43337</v>
      </c>
      <c r="G11" s="11">
        <v>49634</v>
      </c>
      <c r="H11" s="11">
        <v>165147</v>
      </c>
      <c r="I11" s="11">
        <v>160172</v>
      </c>
      <c r="J11" s="11">
        <f t="shared" si="0"/>
        <v>-4787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79821</v>
      </c>
      <c r="C12" s="11">
        <v>70948</v>
      </c>
      <c r="D12" s="11">
        <v>376404</v>
      </c>
      <c r="E12" s="11">
        <v>367006</v>
      </c>
      <c r="F12" s="11">
        <v>36696</v>
      </c>
      <c r="G12" s="11">
        <v>49445</v>
      </c>
      <c r="H12" s="11">
        <v>155105</v>
      </c>
      <c r="I12" s="11">
        <v>159892</v>
      </c>
      <c r="J12" s="11">
        <f t="shared" si="0"/>
        <v>-735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79661</v>
      </c>
      <c r="C13" s="11">
        <v>78888</v>
      </c>
      <c r="D13" s="11">
        <v>370941</v>
      </c>
      <c r="E13" s="11">
        <v>370727</v>
      </c>
      <c r="F13" s="11">
        <v>46256</v>
      </c>
      <c r="G13" s="11">
        <v>49634</v>
      </c>
      <c r="H13" s="11">
        <v>140105</v>
      </c>
      <c r="I13" s="11">
        <v>141029</v>
      </c>
      <c r="J13" s="11">
        <f t="shared" si="0"/>
        <v>3315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74009</v>
      </c>
      <c r="C14" s="11">
        <v>63470</v>
      </c>
      <c r="D14" s="11">
        <v>379203</v>
      </c>
      <c r="E14" s="11">
        <v>384429</v>
      </c>
      <c r="F14" s="11">
        <v>47147</v>
      </c>
      <c r="G14" s="11">
        <v>49634</v>
      </c>
      <c r="H14" s="11">
        <v>157262</v>
      </c>
      <c r="I14" s="11">
        <v>167982</v>
      </c>
      <c r="J14" s="11">
        <f t="shared" si="0"/>
        <v>7894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781662</v>
      </c>
      <c r="C35" s="11">
        <f t="shared" ref="C35:I35" si="1">SUM(C4:C34)</f>
        <v>760758</v>
      </c>
      <c r="D35" s="11">
        <f t="shared" si="1"/>
        <v>4136712</v>
      </c>
      <c r="E35" s="11">
        <f t="shared" si="1"/>
        <v>4137095</v>
      </c>
      <c r="F35" s="11">
        <f t="shared" si="1"/>
        <v>470185</v>
      </c>
      <c r="G35" s="11">
        <f t="shared" si="1"/>
        <v>526154</v>
      </c>
      <c r="H35" s="11">
        <f t="shared" si="1"/>
        <v>1634309</v>
      </c>
      <c r="I35" s="11">
        <f t="shared" si="1"/>
        <v>1669286</v>
      </c>
      <c r="J35" s="11">
        <f>SUM(J4:J34)</f>
        <v>70425</v>
      </c>
      <c r="N35" s="18"/>
      <c r="R35" s="18"/>
      <c r="S35" s="21"/>
      <c r="T35" s="20"/>
      <c r="U35" s="16"/>
      <c r="V35" s="15"/>
      <c r="W35" s="13"/>
    </row>
    <row r="36" spans="1:23" x14ac:dyDescent="0.2"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">
      <c r="A38" s="56">
        <v>36860</v>
      </c>
      <c r="C38" s="25"/>
      <c r="E38" s="25"/>
      <c r="G38" s="25"/>
      <c r="I38" s="25"/>
      <c r="J38" s="244">
        <v>-34361</v>
      </c>
      <c r="N38" s="18"/>
      <c r="R38" s="18"/>
      <c r="S38" s="19"/>
      <c r="T38" s="20"/>
      <c r="U38" s="16"/>
      <c r="V38" s="15"/>
      <c r="W38" s="13"/>
    </row>
    <row r="39" spans="1:23" x14ac:dyDescent="0.2">
      <c r="J39" s="24"/>
      <c r="N39" s="18"/>
      <c r="R39" s="18"/>
      <c r="S39" s="19"/>
      <c r="T39" s="20"/>
      <c r="U39" s="16"/>
      <c r="V39" s="15"/>
      <c r="W39" s="13"/>
    </row>
    <row r="40" spans="1:23" x14ac:dyDescent="0.2">
      <c r="A40" s="33">
        <v>36871</v>
      </c>
      <c r="J40" s="36">
        <f>+J38+J35</f>
        <v>36064</v>
      </c>
      <c r="N40" s="18"/>
      <c r="R40" s="18"/>
      <c r="S40" s="19"/>
      <c r="T40" s="20"/>
      <c r="U40" s="16"/>
      <c r="V40" s="15"/>
      <c r="W40" s="13"/>
    </row>
    <row r="41" spans="1:23" x14ac:dyDescent="0.2">
      <c r="N41" s="18"/>
      <c r="R41" s="18"/>
      <c r="S41" s="19"/>
      <c r="T41" s="20"/>
      <c r="U41" s="16"/>
      <c r="V41" s="15"/>
      <c r="W41" s="13"/>
    </row>
    <row r="42" spans="1:23" x14ac:dyDescent="0.2"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26" workbookViewId="0">
      <selection activeCell="A39" sqref="A39"/>
    </sheetView>
    <sheetView topLeftCell="A26" workbookViewId="1">
      <selection activeCell="C13" sqref="C13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5" t="s">
        <v>21</v>
      </c>
      <c r="C2" s="265" t="s">
        <v>22</v>
      </c>
      <c r="D2" s="265" t="s">
        <v>21</v>
      </c>
      <c r="E2" s="265" t="s">
        <v>22</v>
      </c>
      <c r="F2" s="266" t="s">
        <v>54</v>
      </c>
    </row>
    <row r="3" spans="1:6" x14ac:dyDescent="0.2">
      <c r="A3">
        <v>1</v>
      </c>
      <c r="B3" s="90">
        <v>8395</v>
      </c>
      <c r="C3" s="90">
        <v>22000</v>
      </c>
      <c r="D3" s="90"/>
      <c r="E3" s="90"/>
      <c r="F3" s="90">
        <f>+C3-B3+D3-E3</f>
        <v>13605</v>
      </c>
    </row>
    <row r="4" spans="1:6" x14ac:dyDescent="0.2">
      <c r="A4">
        <v>2</v>
      </c>
      <c r="B4" s="90">
        <v>21884</v>
      </c>
      <c r="C4" s="90">
        <v>22000</v>
      </c>
      <c r="D4" s="90"/>
      <c r="E4" s="90"/>
      <c r="F4" s="90">
        <f t="shared" ref="F4:F33" si="0">+C4-B4+D4-E4</f>
        <v>116</v>
      </c>
    </row>
    <row r="5" spans="1:6" x14ac:dyDescent="0.2">
      <c r="A5">
        <v>3</v>
      </c>
      <c r="B5" s="90">
        <v>21942</v>
      </c>
      <c r="C5" s="90">
        <v>22000</v>
      </c>
      <c r="D5" s="90"/>
      <c r="E5" s="90"/>
      <c r="F5" s="90">
        <f t="shared" si="0"/>
        <v>58</v>
      </c>
    </row>
    <row r="6" spans="1:6" x14ac:dyDescent="0.2">
      <c r="A6">
        <v>4</v>
      </c>
      <c r="B6" s="90">
        <v>21942</v>
      </c>
      <c r="C6" s="90">
        <v>22000</v>
      </c>
      <c r="D6" s="90"/>
      <c r="E6" s="90"/>
      <c r="F6" s="90">
        <f t="shared" si="0"/>
        <v>58</v>
      </c>
    </row>
    <row r="7" spans="1:6" x14ac:dyDescent="0.2">
      <c r="A7">
        <v>5</v>
      </c>
      <c r="B7" s="90">
        <v>17203</v>
      </c>
      <c r="C7" s="90">
        <v>22000</v>
      </c>
      <c r="D7" s="90"/>
      <c r="E7" s="90"/>
      <c r="F7" s="90">
        <f t="shared" si="0"/>
        <v>4797</v>
      </c>
    </row>
    <row r="8" spans="1:6" x14ac:dyDescent="0.2">
      <c r="A8">
        <v>6</v>
      </c>
      <c r="B8" s="90">
        <v>16439</v>
      </c>
      <c r="C8" s="90">
        <v>17000</v>
      </c>
      <c r="D8" s="90"/>
      <c r="E8" s="90"/>
      <c r="F8" s="90">
        <f t="shared" si="0"/>
        <v>561</v>
      </c>
    </row>
    <row r="9" spans="1:6" x14ac:dyDescent="0.2">
      <c r="A9">
        <v>7</v>
      </c>
      <c r="B9" s="90">
        <v>16870</v>
      </c>
      <c r="C9" s="90">
        <v>12452</v>
      </c>
      <c r="D9" s="90"/>
      <c r="E9" s="90"/>
      <c r="F9" s="90">
        <f t="shared" si="0"/>
        <v>-4418</v>
      </c>
    </row>
    <row r="10" spans="1:6" x14ac:dyDescent="0.2">
      <c r="A10">
        <v>8</v>
      </c>
      <c r="B10" s="90">
        <v>13815</v>
      </c>
      <c r="C10" s="90">
        <v>15000</v>
      </c>
      <c r="D10" s="90"/>
      <c r="E10" s="90"/>
      <c r="F10" s="90">
        <f t="shared" si="0"/>
        <v>1185</v>
      </c>
    </row>
    <row r="11" spans="1:6" x14ac:dyDescent="0.2">
      <c r="A11">
        <v>9</v>
      </c>
      <c r="B11" s="90">
        <v>14270</v>
      </c>
      <c r="C11" s="90">
        <v>15000</v>
      </c>
      <c r="D11" s="90"/>
      <c r="E11" s="90"/>
      <c r="F11" s="90">
        <f t="shared" si="0"/>
        <v>730</v>
      </c>
    </row>
    <row r="12" spans="1:6" x14ac:dyDescent="0.2">
      <c r="A12">
        <v>10</v>
      </c>
      <c r="B12" s="90">
        <v>16858</v>
      </c>
      <c r="C12" s="90">
        <v>15000</v>
      </c>
      <c r="D12" s="90"/>
      <c r="E12" s="90"/>
      <c r="F12" s="90">
        <f t="shared" si="0"/>
        <v>-1858</v>
      </c>
    </row>
    <row r="13" spans="1:6" x14ac:dyDescent="0.2">
      <c r="A13">
        <v>11</v>
      </c>
      <c r="B13" s="90">
        <v>15119</v>
      </c>
      <c r="C13" s="90">
        <v>15000</v>
      </c>
      <c r="D13" s="90"/>
      <c r="E13" s="90"/>
      <c r="F13" s="90">
        <f t="shared" si="0"/>
        <v>-119</v>
      </c>
    </row>
    <row r="14" spans="1:6" x14ac:dyDescent="0.2">
      <c r="A14">
        <v>12</v>
      </c>
      <c r="B14" s="88"/>
      <c r="C14" s="88"/>
      <c r="D14" s="88"/>
      <c r="E14" s="88"/>
      <c r="F14" s="90">
        <f t="shared" si="0"/>
        <v>0</v>
      </c>
    </row>
    <row r="15" spans="1:6" x14ac:dyDescent="0.2">
      <c r="A15">
        <v>13</v>
      </c>
      <c r="B15" s="88"/>
      <c r="C15" s="88"/>
      <c r="D15" s="88"/>
      <c r="E15" s="88"/>
      <c r="F15" s="90">
        <f t="shared" si="0"/>
        <v>0</v>
      </c>
    </row>
    <row r="16" spans="1:6" x14ac:dyDescent="0.2">
      <c r="A16">
        <v>14</v>
      </c>
      <c r="B16" s="88"/>
      <c r="C16" s="88"/>
      <c r="D16" s="88"/>
      <c r="E16" s="88"/>
      <c r="F16" s="90">
        <f t="shared" si="0"/>
        <v>0</v>
      </c>
    </row>
    <row r="17" spans="1:6" x14ac:dyDescent="0.2">
      <c r="A17">
        <v>15</v>
      </c>
      <c r="B17" s="88"/>
      <c r="C17" s="88"/>
      <c r="D17" s="14"/>
      <c r="E17" s="14"/>
      <c r="F17" s="90">
        <f t="shared" si="0"/>
        <v>0</v>
      </c>
    </row>
    <row r="18" spans="1:6" x14ac:dyDescent="0.2">
      <c r="A18">
        <v>16</v>
      </c>
      <c r="B18" s="88"/>
      <c r="C18" s="88"/>
      <c r="D18" s="14"/>
      <c r="E18" s="14"/>
      <c r="F18" s="90">
        <f t="shared" si="0"/>
        <v>0</v>
      </c>
    </row>
    <row r="19" spans="1:6" x14ac:dyDescent="0.2">
      <c r="A19">
        <v>17</v>
      </c>
      <c r="B19" s="88"/>
      <c r="C19" s="14"/>
      <c r="D19" s="14"/>
      <c r="E19" s="14"/>
      <c r="F19" s="90">
        <f t="shared" si="0"/>
        <v>0</v>
      </c>
    </row>
    <row r="20" spans="1:6" x14ac:dyDescent="0.2">
      <c r="A20">
        <v>18</v>
      </c>
      <c r="B20" s="14"/>
      <c r="C20" s="14"/>
      <c r="D20" s="14"/>
      <c r="E20" s="14"/>
      <c r="F20" s="90">
        <f t="shared" si="0"/>
        <v>0</v>
      </c>
    </row>
    <row r="21" spans="1:6" x14ac:dyDescent="0.2">
      <c r="A21">
        <v>19</v>
      </c>
      <c r="B21" s="14"/>
      <c r="C21" s="14"/>
      <c r="D21" s="14"/>
      <c r="E21" s="14"/>
      <c r="F21" s="90">
        <f t="shared" si="0"/>
        <v>0</v>
      </c>
    </row>
    <row r="22" spans="1:6" x14ac:dyDescent="0.2">
      <c r="A22">
        <v>20</v>
      </c>
      <c r="B22" s="14"/>
      <c r="C22" s="14"/>
      <c r="D22" s="14"/>
      <c r="E22" s="14"/>
      <c r="F22" s="90">
        <f t="shared" si="0"/>
        <v>0</v>
      </c>
    </row>
    <row r="23" spans="1:6" x14ac:dyDescent="0.2">
      <c r="A23">
        <v>21</v>
      </c>
      <c r="B23" s="14"/>
      <c r="C23" s="14"/>
      <c r="D23" s="14"/>
      <c r="E23" s="14"/>
      <c r="F23" s="90">
        <f t="shared" si="0"/>
        <v>0</v>
      </c>
    </row>
    <row r="24" spans="1:6" x14ac:dyDescent="0.2">
      <c r="A24">
        <v>22</v>
      </c>
      <c r="B24" s="14"/>
      <c r="C24" s="14"/>
      <c r="D24" s="14"/>
      <c r="E24" s="14"/>
      <c r="F24" s="90">
        <f t="shared" si="0"/>
        <v>0</v>
      </c>
    </row>
    <row r="25" spans="1:6" x14ac:dyDescent="0.2">
      <c r="A25">
        <v>23</v>
      </c>
      <c r="B25" s="14"/>
      <c r="C25" s="14"/>
      <c r="D25" s="14"/>
      <c r="E25" s="14"/>
      <c r="F25" s="90">
        <f t="shared" si="0"/>
        <v>0</v>
      </c>
    </row>
    <row r="26" spans="1:6" x14ac:dyDescent="0.2">
      <c r="A26">
        <v>24</v>
      </c>
      <c r="B26" s="14"/>
      <c r="C26" s="14"/>
      <c r="D26" s="14"/>
      <c r="E26" s="14"/>
      <c r="F26" s="90">
        <f t="shared" si="0"/>
        <v>0</v>
      </c>
    </row>
    <row r="27" spans="1:6" x14ac:dyDescent="0.2">
      <c r="A27">
        <v>25</v>
      </c>
      <c r="B27" s="14"/>
      <c r="C27" s="14"/>
      <c r="D27" s="14"/>
      <c r="E27" s="14"/>
      <c r="F27" s="90">
        <f t="shared" si="0"/>
        <v>0</v>
      </c>
    </row>
    <row r="28" spans="1:6" x14ac:dyDescent="0.2">
      <c r="A28">
        <v>26</v>
      </c>
      <c r="B28" s="14"/>
      <c r="C28" s="14"/>
      <c r="D28" s="14"/>
      <c r="E28" s="14"/>
      <c r="F28" s="90">
        <f t="shared" si="0"/>
        <v>0</v>
      </c>
    </row>
    <row r="29" spans="1:6" x14ac:dyDescent="0.2">
      <c r="A29">
        <v>27</v>
      </c>
      <c r="B29" s="14"/>
      <c r="C29" s="14"/>
      <c r="D29" s="14"/>
      <c r="E29" s="14"/>
      <c r="F29" s="90">
        <f t="shared" si="0"/>
        <v>0</v>
      </c>
    </row>
    <row r="30" spans="1:6" x14ac:dyDescent="0.2">
      <c r="A30">
        <v>28</v>
      </c>
      <c r="B30" s="14"/>
      <c r="C30" s="14"/>
      <c r="D30" s="14"/>
      <c r="E30" s="14"/>
      <c r="F30" s="90">
        <f t="shared" si="0"/>
        <v>0</v>
      </c>
    </row>
    <row r="31" spans="1:6" x14ac:dyDescent="0.2">
      <c r="A31">
        <v>29</v>
      </c>
      <c r="B31" s="14"/>
      <c r="C31" s="14"/>
      <c r="D31" s="14"/>
      <c r="E31" s="14"/>
      <c r="F31" s="90">
        <f t="shared" si="0"/>
        <v>0</v>
      </c>
    </row>
    <row r="32" spans="1:6" x14ac:dyDescent="0.2">
      <c r="A32">
        <v>30</v>
      </c>
      <c r="B32" s="14"/>
      <c r="C32" s="14"/>
      <c r="D32" s="14"/>
      <c r="E32" s="14"/>
      <c r="F32" s="90">
        <f t="shared" si="0"/>
        <v>0</v>
      </c>
    </row>
    <row r="33" spans="1:6" x14ac:dyDescent="0.2">
      <c r="A33">
        <v>31</v>
      </c>
      <c r="B33" s="14"/>
      <c r="C33" s="14"/>
      <c r="D33" s="14"/>
      <c r="E33" s="14"/>
      <c r="F33" s="90">
        <f t="shared" si="0"/>
        <v>0</v>
      </c>
    </row>
    <row r="34" spans="1:6" x14ac:dyDescent="0.2">
      <c r="B34" s="304">
        <f>SUM(B3:B33)</f>
        <v>184737</v>
      </c>
      <c r="C34" s="304">
        <f>SUM(C3:C33)</f>
        <v>199452</v>
      </c>
      <c r="D34" s="14">
        <f>SUM(D3:D33)</f>
        <v>0</v>
      </c>
      <c r="E34" s="14">
        <f>SUM(E3:E33)</f>
        <v>0</v>
      </c>
      <c r="F34" s="14">
        <f>SUM(F3:F33)</f>
        <v>14715</v>
      </c>
    </row>
    <row r="35" spans="1:6" x14ac:dyDescent="0.2">
      <c r="D35" s="14"/>
      <c r="E35" s="14"/>
      <c r="F35" s="14"/>
    </row>
    <row r="36" spans="1:6" x14ac:dyDescent="0.2">
      <c r="F36" s="261"/>
    </row>
    <row r="37" spans="1:6" x14ac:dyDescent="0.2">
      <c r="A37" s="267">
        <v>36860</v>
      </c>
      <c r="B37" s="14"/>
      <c r="C37" s="14"/>
      <c r="D37" s="14"/>
      <c r="E37" s="14"/>
      <c r="F37" s="244">
        <f>-32074+81654+87809</f>
        <v>137389</v>
      </c>
    </row>
    <row r="38" spans="1:6" x14ac:dyDescent="0.2">
      <c r="A38" s="267">
        <v>36871</v>
      </c>
      <c r="B38" s="14"/>
      <c r="C38" s="14"/>
      <c r="D38" s="14"/>
      <c r="E38" s="14"/>
      <c r="F38" s="24">
        <f>+F37+F34</f>
        <v>152104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topLeftCell="A26" workbookViewId="1">
      <selection activeCell="A46" sqref="A46"/>
    </sheetView>
  </sheetViews>
  <sheetFormatPr defaultRowHeight="12.75" x14ac:dyDescent="0.2"/>
  <sheetData>
    <row r="1" spans="1:4" ht="15.75" x14ac:dyDescent="0.25">
      <c r="A1" s="53">
        <v>56696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f>68683+1522</f>
        <v>70205</v>
      </c>
      <c r="C4" s="11">
        <v>71514</v>
      </c>
      <c r="D4" s="25">
        <f>+C4-B4</f>
        <v>1309</v>
      </c>
    </row>
    <row r="5" spans="1:4" x14ac:dyDescent="0.2">
      <c r="A5" s="10">
        <v>2</v>
      </c>
      <c r="B5" s="11">
        <f>72963+1274</f>
        <v>74237</v>
      </c>
      <c r="C5" s="11">
        <v>74070</v>
      </c>
      <c r="D5" s="25">
        <f t="shared" ref="D5:D34" si="0">+C5-B5</f>
        <v>-167</v>
      </c>
    </row>
    <row r="6" spans="1:4" x14ac:dyDescent="0.2">
      <c r="A6" s="10">
        <v>3</v>
      </c>
      <c r="B6" s="11">
        <v>65632</v>
      </c>
      <c r="C6" s="11">
        <v>66238</v>
      </c>
      <c r="D6" s="25">
        <f t="shared" si="0"/>
        <v>606</v>
      </c>
    </row>
    <row r="7" spans="1:4" x14ac:dyDescent="0.2">
      <c r="A7" s="10">
        <v>4</v>
      </c>
      <c r="B7" s="11">
        <v>48170</v>
      </c>
      <c r="C7" s="11">
        <v>48619</v>
      </c>
      <c r="D7" s="25">
        <f t="shared" si="0"/>
        <v>449</v>
      </c>
    </row>
    <row r="8" spans="1:4" x14ac:dyDescent="0.2">
      <c r="A8" s="10">
        <v>5</v>
      </c>
      <c r="B8" s="11">
        <f>43778+2312</f>
        <v>46090</v>
      </c>
      <c r="C8" s="11">
        <v>46708</v>
      </c>
      <c r="D8" s="25">
        <f t="shared" si="0"/>
        <v>618</v>
      </c>
    </row>
    <row r="9" spans="1:4" x14ac:dyDescent="0.2">
      <c r="A9" s="10">
        <v>6</v>
      </c>
      <c r="B9" s="11">
        <f>42174+9110</f>
        <v>51284</v>
      </c>
      <c r="C9" s="11">
        <v>53054</v>
      </c>
      <c r="D9" s="25">
        <f t="shared" si="0"/>
        <v>1770</v>
      </c>
    </row>
    <row r="10" spans="1:4" x14ac:dyDescent="0.2">
      <c r="A10" s="10">
        <v>7</v>
      </c>
      <c r="B10" s="11">
        <f>39129+1703</f>
        <v>40832</v>
      </c>
      <c r="C10" s="11">
        <v>40954</v>
      </c>
      <c r="D10" s="25">
        <f t="shared" si="0"/>
        <v>122</v>
      </c>
    </row>
    <row r="11" spans="1:4" x14ac:dyDescent="0.2">
      <c r="A11" s="10">
        <v>8</v>
      </c>
      <c r="B11" s="11">
        <f>31044+57</f>
        <v>31101</v>
      </c>
      <c r="C11" s="11">
        <v>32413</v>
      </c>
      <c r="D11" s="25">
        <f t="shared" si="0"/>
        <v>1312</v>
      </c>
    </row>
    <row r="12" spans="1:4" x14ac:dyDescent="0.2">
      <c r="A12" s="10">
        <v>9</v>
      </c>
      <c r="B12" s="11">
        <v>24867</v>
      </c>
      <c r="C12" s="11">
        <v>26010</v>
      </c>
      <c r="D12" s="25">
        <f t="shared" si="0"/>
        <v>1143</v>
      </c>
    </row>
    <row r="13" spans="1:4" x14ac:dyDescent="0.2">
      <c r="A13" s="10">
        <v>10</v>
      </c>
      <c r="B13" s="11">
        <f>24013+854</f>
        <v>24867</v>
      </c>
      <c r="C13" s="11">
        <v>25525</v>
      </c>
      <c r="D13" s="25">
        <f t="shared" si="0"/>
        <v>658</v>
      </c>
    </row>
    <row r="14" spans="1:4" x14ac:dyDescent="0.2">
      <c r="A14" s="10">
        <v>11</v>
      </c>
      <c r="B14" s="11">
        <f>22940+1007</f>
        <v>23947</v>
      </c>
      <c r="C14" s="11">
        <v>24667</v>
      </c>
      <c r="D14" s="25">
        <f t="shared" si="0"/>
        <v>720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501232</v>
      </c>
      <c r="C35" s="11">
        <f>SUM(C4:C34)</f>
        <v>509772</v>
      </c>
      <c r="D35" s="11">
        <f>SUM(D4:D34)</f>
        <v>8540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36860</v>
      </c>
      <c r="D38" s="246">
        <v>84016</v>
      </c>
    </row>
    <row r="39" spans="1:4" x14ac:dyDescent="0.2">
      <c r="A39" s="2"/>
      <c r="D39" s="24"/>
    </row>
    <row r="40" spans="1:4" x14ac:dyDescent="0.2">
      <c r="A40" s="57">
        <v>36871</v>
      </c>
      <c r="D40" s="36">
        <f>+D38+D35</f>
        <v>92556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workbookViewId="1">
      <selection activeCell="A17" sqref="A17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121</v>
      </c>
      <c r="C2" s="4"/>
      <c r="D2" s="38" t="s">
        <v>122</v>
      </c>
      <c r="E2" s="4"/>
      <c r="F2" s="38" t="s">
        <v>123</v>
      </c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21055</v>
      </c>
      <c r="C4" s="11">
        <v>19223</v>
      </c>
      <c r="D4" s="11">
        <v>10745</v>
      </c>
      <c r="E4" s="11">
        <v>10000</v>
      </c>
      <c r="F4" s="11"/>
      <c r="G4" s="11"/>
      <c r="H4" s="11"/>
      <c r="I4" s="11"/>
      <c r="J4" s="11">
        <f t="shared" ref="J4:J34" si="0">+C4+E4+G4+I4-H4-F4-D4-B4</f>
        <v>-2577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21202</v>
      </c>
      <c r="C5" s="11">
        <v>19584</v>
      </c>
      <c r="D5" s="11">
        <v>10722</v>
      </c>
      <c r="E5" s="11">
        <v>10000</v>
      </c>
      <c r="F5" s="11"/>
      <c r="G5" s="11"/>
      <c r="H5" s="11"/>
      <c r="I5" s="11"/>
      <c r="J5" s="11">
        <f t="shared" si="0"/>
        <v>-2340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17314</v>
      </c>
      <c r="C6" s="11">
        <v>17788</v>
      </c>
      <c r="D6" s="11">
        <v>10773</v>
      </c>
      <c r="E6" s="11">
        <v>10000</v>
      </c>
      <c r="F6" s="11"/>
      <c r="G6" s="11"/>
      <c r="H6" s="11"/>
      <c r="I6" s="11"/>
      <c r="J6" s="11">
        <f t="shared" si="0"/>
        <v>-299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27334</v>
      </c>
      <c r="C7" s="11">
        <v>19584</v>
      </c>
      <c r="D7" s="11">
        <v>10003</v>
      </c>
      <c r="E7" s="11">
        <v>10000</v>
      </c>
      <c r="F7" s="11"/>
      <c r="G7" s="11"/>
      <c r="H7" s="11"/>
      <c r="I7" s="11"/>
      <c r="J7" s="11">
        <f t="shared" si="0"/>
        <v>-7753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30871</v>
      </c>
      <c r="C8" s="11">
        <v>33371</v>
      </c>
      <c r="D8" s="11">
        <v>10556</v>
      </c>
      <c r="E8" s="11">
        <v>10500</v>
      </c>
      <c r="F8" s="11"/>
      <c r="G8" s="11"/>
      <c r="H8" s="11"/>
      <c r="I8" s="11"/>
      <c r="J8" s="11">
        <f t="shared" si="0"/>
        <v>2444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31042</v>
      </c>
      <c r="C9" s="11">
        <v>29250</v>
      </c>
      <c r="D9" s="11">
        <v>9009</v>
      </c>
      <c r="E9" s="11">
        <v>10500</v>
      </c>
      <c r="F9" s="11"/>
      <c r="G9" s="11"/>
      <c r="H9" s="11"/>
      <c r="I9" s="11"/>
      <c r="J9" s="11">
        <f t="shared" si="0"/>
        <v>-301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>
        <v>31704</v>
      </c>
      <c r="C10" s="11">
        <v>34250</v>
      </c>
      <c r="D10" s="11">
        <v>9973</v>
      </c>
      <c r="E10" s="11">
        <v>10500</v>
      </c>
      <c r="F10" s="11"/>
      <c r="G10" s="11"/>
      <c r="H10" s="11"/>
      <c r="I10" s="11"/>
      <c r="J10" s="11">
        <f t="shared" si="0"/>
        <v>3073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31619</v>
      </c>
      <c r="C11" s="11">
        <v>34219</v>
      </c>
      <c r="D11" s="11">
        <v>9894</v>
      </c>
      <c r="E11" s="11">
        <v>10000</v>
      </c>
      <c r="F11" s="11"/>
      <c r="G11" s="11"/>
      <c r="H11" s="11"/>
      <c r="I11" s="11"/>
      <c r="J11" s="11">
        <f t="shared" si="0"/>
        <v>2706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31577</v>
      </c>
      <c r="C12" s="11">
        <v>30678</v>
      </c>
      <c r="D12" s="11">
        <v>11348</v>
      </c>
      <c r="E12" s="11">
        <v>8750</v>
      </c>
      <c r="F12" s="11"/>
      <c r="G12" s="11"/>
      <c r="H12" s="11"/>
      <c r="I12" s="11"/>
      <c r="J12" s="11">
        <f t="shared" si="0"/>
        <v>-3497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31492</v>
      </c>
      <c r="C13" s="11">
        <v>30632</v>
      </c>
      <c r="D13" s="11">
        <v>11398</v>
      </c>
      <c r="E13" s="11">
        <v>8750</v>
      </c>
      <c r="F13" s="11">
        <v>671</v>
      </c>
      <c r="G13" s="11"/>
      <c r="H13" s="11"/>
      <c r="I13" s="11"/>
      <c r="J13" s="11">
        <f t="shared" si="0"/>
        <v>-4179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31398</v>
      </c>
      <c r="C14" s="11">
        <v>30267</v>
      </c>
      <c r="D14" s="11">
        <v>11008</v>
      </c>
      <c r="E14" s="11">
        <v>8750</v>
      </c>
      <c r="F14" s="11"/>
      <c r="G14" s="11"/>
      <c r="H14" s="11"/>
      <c r="I14" s="11"/>
      <c r="J14" s="11">
        <f t="shared" si="0"/>
        <v>-3389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306608</v>
      </c>
      <c r="C35" s="11">
        <f t="shared" ref="C35:I35" si="1">SUM(C4:C34)</f>
        <v>298846</v>
      </c>
      <c r="D35" s="11">
        <f t="shared" si="1"/>
        <v>115429</v>
      </c>
      <c r="E35" s="11">
        <f t="shared" si="1"/>
        <v>107750</v>
      </c>
      <c r="F35" s="11">
        <f t="shared" si="1"/>
        <v>671</v>
      </c>
      <c r="G35" s="11">
        <f t="shared" si="1"/>
        <v>0</v>
      </c>
      <c r="H35" s="11">
        <f t="shared" si="1"/>
        <v>0</v>
      </c>
      <c r="I35" s="11">
        <f t="shared" si="1"/>
        <v>0</v>
      </c>
      <c r="J35" s="11">
        <f>SUM(J4:J34)</f>
        <v>-16112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+summary!P13</f>
        <v>7.74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-124706.88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4"/>
      <c r="N38" s="18"/>
      <c r="R38" s="18"/>
      <c r="S38" s="19"/>
      <c r="T38" s="20"/>
      <c r="U38" s="16"/>
      <c r="V38" s="15"/>
      <c r="W38" s="13"/>
    </row>
    <row r="39" spans="1:23" x14ac:dyDescent="0.2">
      <c r="A39" s="56">
        <v>36860</v>
      </c>
      <c r="C39" s="25"/>
      <c r="E39" s="25"/>
      <c r="G39" s="25"/>
      <c r="I39" s="25"/>
      <c r="J39" s="382">
        <v>-532429.6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137"/>
      <c r="N40" s="18"/>
      <c r="R40" s="18"/>
      <c r="S40" s="19"/>
      <c r="T40" s="20"/>
      <c r="U40" s="16"/>
      <c r="V40" s="15"/>
      <c r="W40" s="13"/>
    </row>
    <row r="41" spans="1:23" x14ac:dyDescent="0.2">
      <c r="A41" s="33">
        <v>36871</v>
      </c>
      <c r="J41" s="366">
        <f>+J39+J37</f>
        <v>-657136.48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4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8" workbookViewId="1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2.1406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41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81</v>
      </c>
      <c r="AD1" s="38" t="s">
        <v>82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01"/>
      <c r="B4" s="237">
        <v>500168</v>
      </c>
      <c r="C4" s="24" t="s">
        <v>83</v>
      </c>
      <c r="D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22</v>
      </c>
      <c r="C5" s="121" t="s">
        <v>21</v>
      </c>
      <c r="D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41027</v>
      </c>
      <c r="C6" s="24">
        <v>41272</v>
      </c>
      <c r="D6" s="24">
        <f>+C6-B6</f>
        <v>245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45258</v>
      </c>
      <c r="C7" s="24">
        <v>44915</v>
      </c>
      <c r="D7" s="24">
        <f t="shared" ref="D7:D36" si="0">+C7-B7</f>
        <v>-343</v>
      </c>
      <c r="E7" s="214"/>
      <c r="F7" s="206"/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5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46312</v>
      </c>
      <c r="C8" s="24">
        <v>46328</v>
      </c>
      <c r="D8" s="24">
        <f t="shared" si="0"/>
        <v>16</v>
      </c>
      <c r="E8" s="209"/>
      <c r="F8" s="206"/>
      <c r="G8" s="217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5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61758</v>
      </c>
      <c r="C9" s="24">
        <v>60404</v>
      </c>
      <c r="D9" s="24">
        <f t="shared" si="0"/>
        <v>-1354</v>
      </c>
      <c r="E9" s="209"/>
      <c r="F9" s="206"/>
      <c r="G9" s="217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5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85857</v>
      </c>
      <c r="C10" s="24">
        <v>84606</v>
      </c>
      <c r="D10" s="24">
        <f t="shared" si="0"/>
        <v>-1251</v>
      </c>
      <c r="E10" s="209"/>
      <c r="F10" s="206"/>
      <c r="G10" s="218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5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63270</v>
      </c>
      <c r="C11" s="24">
        <v>62581</v>
      </c>
      <c r="D11" s="24">
        <f t="shared" si="0"/>
        <v>-689</v>
      </c>
      <c r="E11" s="209"/>
      <c r="F11" s="206"/>
      <c r="G11" s="218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5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45500</v>
      </c>
      <c r="C12" s="24">
        <v>43699</v>
      </c>
      <c r="D12" s="24">
        <f t="shared" si="0"/>
        <v>-1801</v>
      </c>
      <c r="E12" s="209"/>
      <c r="F12" s="206"/>
      <c r="G12" s="218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5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35500</v>
      </c>
      <c r="C13" s="24">
        <v>34169</v>
      </c>
      <c r="D13" s="24">
        <f t="shared" si="0"/>
        <v>-1331</v>
      </c>
      <c r="E13" s="209"/>
      <c r="F13" s="206"/>
      <c r="G13" s="218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5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35500</v>
      </c>
      <c r="C14" s="24">
        <v>35835</v>
      </c>
      <c r="D14" s="24">
        <f t="shared" si="0"/>
        <v>335</v>
      </c>
      <c r="E14" s="209"/>
      <c r="F14" s="206"/>
      <c r="G14" s="218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5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35500</v>
      </c>
      <c r="C15" s="24">
        <v>35962</v>
      </c>
      <c r="D15" s="24">
        <f t="shared" si="0"/>
        <v>462</v>
      </c>
      <c r="E15" s="209"/>
      <c r="F15" s="206"/>
      <c r="G15" s="218"/>
      <c r="O15" s="135"/>
      <c r="P15" s="205"/>
      <c r="R15" s="14"/>
      <c r="AD15" s="101"/>
      <c r="AE15" s="215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20500</v>
      </c>
      <c r="C16" s="24">
        <v>23884</v>
      </c>
      <c r="D16" s="24">
        <f t="shared" si="0"/>
        <v>3384</v>
      </c>
      <c r="E16" s="209"/>
      <c r="F16" s="206"/>
      <c r="G16" s="218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5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0</v>
      </c>
      <c r="E17" s="209"/>
      <c r="F17" s="206"/>
      <c r="G17" s="218"/>
      <c r="O17" s="135"/>
      <c r="P17" s="205"/>
      <c r="R17" s="14"/>
      <c r="S17" s="205"/>
      <c r="AD17" s="101"/>
      <c r="AE17" s="215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0</v>
      </c>
      <c r="E18" s="209"/>
      <c r="F18" s="206"/>
      <c r="G18" s="218"/>
      <c r="O18" s="135"/>
      <c r="P18" s="205"/>
      <c r="R18" s="14"/>
      <c r="S18" s="205"/>
      <c r="AD18" s="101"/>
      <c r="AE18" s="215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0</v>
      </c>
      <c r="E19" s="209"/>
      <c r="F19" s="206"/>
      <c r="G19" s="218"/>
      <c r="O19" s="135"/>
      <c r="P19" s="205"/>
      <c r="R19" s="14"/>
      <c r="S19" s="205"/>
      <c r="U19" s="14"/>
      <c r="AD19" s="101"/>
      <c r="AE19" s="215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0</v>
      </c>
      <c r="E20" s="209"/>
      <c r="F20" s="206"/>
      <c r="G20" s="218"/>
      <c r="O20" s="135"/>
      <c r="P20" s="205"/>
      <c r="R20" s="14"/>
      <c r="S20" s="205"/>
      <c r="U20" s="14"/>
      <c r="AD20" s="101"/>
      <c r="AE20" s="215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0</v>
      </c>
      <c r="E21" s="209"/>
      <c r="F21" s="206"/>
      <c r="G21" s="218"/>
      <c r="O21" s="135"/>
      <c r="P21" s="205"/>
      <c r="R21" s="14"/>
      <c r="S21" s="205"/>
      <c r="U21" s="14"/>
      <c r="AD21" s="101"/>
      <c r="AE21" s="215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0</v>
      </c>
      <c r="E22" s="209"/>
      <c r="F22" s="206"/>
      <c r="G22" s="218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5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0</v>
      </c>
      <c r="E23" s="209"/>
      <c r="F23" s="206"/>
      <c r="G23" s="218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5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0</v>
      </c>
      <c r="E24" s="209"/>
      <c r="F24" s="206"/>
      <c r="G24" s="218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5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0</v>
      </c>
      <c r="E25" s="209"/>
      <c r="F25" s="206"/>
      <c r="G25" s="218"/>
      <c r="O25" s="135"/>
      <c r="P25" s="205"/>
      <c r="Q25" s="219"/>
      <c r="R25" s="14"/>
      <c r="S25" s="205"/>
      <c r="U25" s="14"/>
      <c r="V25" s="14"/>
      <c r="W25" s="75"/>
      <c r="X25" s="15"/>
      <c r="Y25" s="15"/>
      <c r="AD25" s="101"/>
      <c r="AE25" s="215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0</v>
      </c>
      <c r="E26" s="209"/>
      <c r="F26" s="206"/>
      <c r="G26" s="218"/>
      <c r="O26" s="135"/>
      <c r="P26" s="205"/>
      <c r="Q26" s="135"/>
      <c r="R26" s="14"/>
      <c r="U26" s="14"/>
      <c r="V26" s="14"/>
      <c r="W26" s="75"/>
      <c r="X26" s="15"/>
      <c r="AD26" s="101"/>
      <c r="AE26" s="215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0</v>
      </c>
      <c r="E27" s="209"/>
      <c r="F27" s="206"/>
      <c r="G27" s="218"/>
      <c r="O27" s="135"/>
      <c r="P27" s="205"/>
      <c r="Q27" s="135"/>
      <c r="R27" s="14"/>
      <c r="U27" s="14"/>
      <c r="V27" s="14"/>
      <c r="W27" s="75"/>
      <c r="X27" s="201"/>
      <c r="AD27" s="101"/>
      <c r="AE27" s="215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0</v>
      </c>
      <c r="E28" s="209"/>
      <c r="F28" s="206"/>
      <c r="G28" s="218"/>
      <c r="O28" s="135"/>
      <c r="P28" s="205"/>
      <c r="Q28" s="135"/>
      <c r="R28" s="14"/>
      <c r="U28" s="14"/>
      <c r="V28" s="14"/>
      <c r="W28" s="75"/>
      <c r="X28" s="218"/>
      <c r="AD28" s="101"/>
      <c r="AE28" s="215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0</v>
      </c>
      <c r="E29" s="209"/>
      <c r="F29" s="206"/>
      <c r="G29" s="218"/>
      <c r="P29" s="205"/>
      <c r="Q29" s="135"/>
      <c r="R29" s="14"/>
      <c r="U29" s="14"/>
      <c r="V29" s="14"/>
      <c r="W29" s="75"/>
      <c r="X29" s="221"/>
      <c r="AD29" s="101"/>
      <c r="AE29" s="215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0</v>
      </c>
      <c r="E30" s="209"/>
      <c r="F30" s="206"/>
      <c r="G30" s="218"/>
      <c r="AD30" s="101"/>
      <c r="AE30" s="215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09"/>
      <c r="F31" s="206"/>
      <c r="G31" s="218"/>
      <c r="Q31" s="135"/>
      <c r="R31" s="14"/>
      <c r="S31" s="14"/>
      <c r="T31" s="14"/>
      <c r="U31" s="75"/>
      <c r="V31" s="15"/>
      <c r="AD31" s="101"/>
      <c r="AE31" s="215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09"/>
      <c r="F32" s="206"/>
      <c r="G32" s="218"/>
      <c r="Q32" s="135"/>
      <c r="R32" s="14"/>
      <c r="S32" s="14"/>
      <c r="T32" s="14"/>
      <c r="U32" s="75"/>
      <c r="V32" s="15"/>
      <c r="AD32" s="101"/>
      <c r="AE32" s="215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09"/>
      <c r="F33" s="206"/>
      <c r="G33" s="218"/>
      <c r="Q33" s="135"/>
      <c r="R33" s="14"/>
      <c r="S33" s="14"/>
      <c r="T33" s="14"/>
      <c r="U33" s="75"/>
      <c r="V33" s="15"/>
      <c r="AD33" s="101"/>
      <c r="AE33" s="215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09"/>
      <c r="F34" s="206"/>
      <c r="G34" s="218"/>
      <c r="Q34" s="135"/>
      <c r="R34" s="14"/>
      <c r="S34" s="14"/>
      <c r="T34" s="14"/>
      <c r="U34" s="75"/>
      <c r="V34" s="15"/>
      <c r="AD34" s="101"/>
      <c r="AE34" s="215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09"/>
      <c r="F35" s="206"/>
      <c r="G35" s="218"/>
      <c r="R35" s="14"/>
      <c r="S35" s="14"/>
      <c r="T35" s="14"/>
      <c r="U35" s="75"/>
      <c r="V35" s="15"/>
      <c r="AD35" s="101"/>
      <c r="AE35" s="215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09"/>
      <c r="F36" s="206"/>
      <c r="G36" s="218"/>
      <c r="R36" s="14"/>
      <c r="S36" s="14"/>
      <c r="T36" s="14"/>
      <c r="U36" s="75"/>
      <c r="V36" s="15"/>
      <c r="AD36" s="101"/>
      <c r="AE36" s="215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515982</v>
      </c>
      <c r="C37" s="24">
        <f>SUM(C6:C36)+850+14+4-2000</f>
        <v>512523</v>
      </c>
      <c r="D37" s="24">
        <f>SUM(D6:D36)</f>
        <v>-2327</v>
      </c>
      <c r="E37" s="209"/>
      <c r="F37" s="206"/>
      <c r="G37" s="218"/>
      <c r="R37" s="14"/>
      <c r="S37" s="14"/>
      <c r="T37" s="14"/>
      <c r="U37" s="75"/>
      <c r="V37" s="15"/>
      <c r="AD37" s="101"/>
      <c r="AE37" s="215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84</v>
      </c>
      <c r="B38" s="14"/>
      <c r="C38" s="14"/>
      <c r="D38" s="104">
        <f>+summary!P13</f>
        <v>7.74</v>
      </c>
      <c r="E38" s="209"/>
      <c r="F38" s="206"/>
      <c r="G38" s="218"/>
      <c r="R38" s="14"/>
      <c r="S38" s="14"/>
      <c r="T38" s="14"/>
      <c r="U38" s="75"/>
      <c r="V38" s="15"/>
      <c r="AD38" s="101"/>
      <c r="AE38" s="215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B39" s="14"/>
      <c r="C39" s="14"/>
      <c r="D39" s="104">
        <f>+D38*D37</f>
        <v>-18010.98</v>
      </c>
      <c r="E39" s="222"/>
      <c r="F39" s="206"/>
      <c r="G39" s="222"/>
      <c r="R39" s="14"/>
      <c r="S39" s="14"/>
      <c r="T39" s="14"/>
      <c r="U39" s="14"/>
      <c r="AD39" s="101"/>
      <c r="AE39" s="215"/>
      <c r="AF39" s="24"/>
      <c r="AG39" s="24"/>
      <c r="AH39" s="106"/>
      <c r="AI39" s="143"/>
      <c r="AJ39" s="15"/>
    </row>
    <row r="40" spans="1:36" ht="18" customHeight="1" outlineLevel="1" x14ac:dyDescent="0.2">
      <c r="A40" s="267">
        <v>36860</v>
      </c>
      <c r="B40" s="14"/>
      <c r="C40" s="14"/>
      <c r="D40" s="380">
        <v>191557.42</v>
      </c>
      <c r="E40" s="222"/>
      <c r="F40" s="206"/>
      <c r="G40" s="222"/>
      <c r="R40" s="14"/>
      <c r="S40" s="14"/>
      <c r="T40" s="14"/>
      <c r="U40" s="14"/>
      <c r="AD40" s="101"/>
      <c r="AE40" s="215"/>
      <c r="AF40" s="24"/>
      <c r="AG40" s="24"/>
      <c r="AH40" s="106"/>
      <c r="AI40" s="143"/>
      <c r="AJ40" s="15"/>
    </row>
    <row r="41" spans="1:36" ht="18" customHeight="1" x14ac:dyDescent="0.2">
      <c r="A41" s="267">
        <v>36871</v>
      </c>
      <c r="B41" s="14"/>
      <c r="C41" s="14"/>
      <c r="D41" s="104">
        <f>+D40+D39</f>
        <v>173546.44</v>
      </c>
      <c r="E41" s="222"/>
      <c r="F41" s="206"/>
      <c r="G41" s="222"/>
      <c r="R41" s="14"/>
      <c r="S41" s="14"/>
      <c r="T41" s="14"/>
      <c r="U41" s="14"/>
      <c r="AD41" s="101"/>
      <c r="AE41" s="215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5"/>
      <c r="AF42" s="24"/>
      <c r="AG42" s="24"/>
      <c r="AH42" s="106"/>
      <c r="AI42" s="143"/>
      <c r="AJ42" s="15"/>
    </row>
    <row r="43" spans="1:36" ht="18" customHeight="1" x14ac:dyDescent="0.2">
      <c r="C43" s="75"/>
      <c r="D43" s="220"/>
      <c r="E43" s="209"/>
      <c r="F43" s="206"/>
      <c r="G43" s="218"/>
      <c r="R43" s="14"/>
      <c r="S43" s="14"/>
      <c r="T43" s="14"/>
      <c r="U43" s="14"/>
      <c r="AD43" s="101"/>
      <c r="AE43" s="215"/>
      <c r="AF43" s="24"/>
      <c r="AG43" s="24"/>
      <c r="AH43" s="106"/>
      <c r="AI43" s="143"/>
      <c r="AJ43" s="15"/>
    </row>
    <row r="44" spans="1:36" ht="18" customHeight="1" x14ac:dyDescent="0.2">
      <c r="C44" s="75"/>
      <c r="D44" s="220"/>
      <c r="E44" s="209"/>
      <c r="F44" s="206"/>
      <c r="G44" s="218"/>
      <c r="AD44" s="101"/>
      <c r="AE44" s="215"/>
      <c r="AF44" s="24"/>
      <c r="AG44" s="24"/>
      <c r="AH44" s="106"/>
      <c r="AI44" s="143"/>
      <c r="AJ44" s="15"/>
    </row>
    <row r="45" spans="1:36" ht="18" customHeight="1" x14ac:dyDescent="0.2">
      <c r="C45" s="75"/>
      <c r="D45" s="216"/>
      <c r="E45" s="209"/>
      <c r="F45" s="206"/>
      <c r="G45" s="218"/>
      <c r="AD45" s="101"/>
      <c r="AE45" s="215"/>
      <c r="AF45" s="24"/>
      <c r="AG45" s="24"/>
      <c r="AH45" s="106"/>
      <c r="AI45" s="143"/>
      <c r="AJ45" s="15"/>
    </row>
    <row r="46" spans="1:36" ht="18" customHeight="1" x14ac:dyDescent="0.2">
      <c r="C46" s="75"/>
      <c r="D46" s="216"/>
      <c r="E46" s="209"/>
      <c r="F46" s="206"/>
      <c r="G46" s="218"/>
      <c r="AD46" s="101"/>
      <c r="AE46" s="215"/>
      <c r="AF46" s="24"/>
      <c r="AG46" s="24"/>
      <c r="AH46" s="106"/>
      <c r="AI46" s="143"/>
      <c r="AJ46" s="15"/>
    </row>
    <row r="47" spans="1:36" ht="18" customHeight="1" x14ac:dyDescent="0.2">
      <c r="C47" s="75"/>
      <c r="D47" s="216"/>
      <c r="E47" s="209"/>
      <c r="F47" s="206"/>
      <c r="G47" s="218"/>
      <c r="AD47" s="101"/>
      <c r="AE47" s="215"/>
      <c r="AF47" s="24"/>
      <c r="AG47" s="24"/>
      <c r="AH47" s="106"/>
      <c r="AI47" s="143"/>
      <c r="AJ47" s="15"/>
    </row>
    <row r="48" spans="1:36" ht="18" customHeight="1" x14ac:dyDescent="0.2">
      <c r="C48" s="75"/>
      <c r="D48" s="216"/>
      <c r="E48" s="209"/>
      <c r="F48" s="206"/>
      <c r="G48" s="218"/>
      <c r="AD48" s="101"/>
      <c r="AE48" s="215"/>
      <c r="AF48" s="24"/>
      <c r="AG48" s="24"/>
      <c r="AH48" s="106"/>
      <c r="AI48" s="143"/>
      <c r="AJ48" s="15"/>
    </row>
    <row r="49" spans="3:36" ht="18" customHeight="1" x14ac:dyDescent="0.2">
      <c r="C49" s="76"/>
      <c r="D49" s="216"/>
      <c r="E49" s="209"/>
      <c r="F49" s="206"/>
      <c r="G49" s="218"/>
      <c r="AD49" s="101"/>
      <c r="AE49" s="215"/>
      <c r="AF49" s="24"/>
      <c r="AG49" s="24"/>
      <c r="AH49" s="106"/>
      <c r="AI49" s="143"/>
      <c r="AJ49" s="15"/>
    </row>
    <row r="50" spans="3:36" ht="18" customHeight="1" x14ac:dyDescent="0.2">
      <c r="C50" s="15"/>
      <c r="D50" s="208"/>
      <c r="E50" s="209"/>
      <c r="F50" s="206"/>
      <c r="G50" s="206"/>
      <c r="AD50" s="101"/>
      <c r="AE50" s="215"/>
      <c r="AF50" s="24"/>
      <c r="AG50" s="24"/>
      <c r="AH50" s="106"/>
      <c r="AI50" s="223"/>
      <c r="AJ50" s="15"/>
    </row>
    <row r="51" spans="3:36" ht="21.95" customHeight="1" thickBot="1" x14ac:dyDescent="0.25">
      <c r="AD51" s="101"/>
      <c r="AE51" s="215"/>
      <c r="AF51" s="24"/>
      <c r="AG51" s="24"/>
      <c r="AH51" s="106"/>
      <c r="AI51" s="224"/>
    </row>
    <row r="52" spans="3:36" ht="18" customHeight="1" thickTop="1" x14ac:dyDescent="0.2">
      <c r="AD52" s="101"/>
      <c r="AE52" s="215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5"/>
    </row>
    <row r="55" spans="3:36" ht="17.100000000000001" customHeight="1" x14ac:dyDescent="0.2">
      <c r="AD55" s="225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6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7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7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8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9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6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30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30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31"/>
      <c r="D84" s="24"/>
      <c r="R84" s="14"/>
      <c r="S84" s="14"/>
      <c r="T84" s="14"/>
      <c r="U84" s="14"/>
      <c r="AD84" s="225"/>
      <c r="AE84" s="213"/>
      <c r="AF84" s="24"/>
      <c r="AG84" s="24"/>
      <c r="AH84" s="24"/>
      <c r="AI84" s="143"/>
      <c r="AJ84" s="232"/>
    </row>
    <row r="85" spans="3:36" ht="15" customHeight="1" thickTop="1" x14ac:dyDescent="0.2">
      <c r="C85" s="229"/>
      <c r="R85" s="14"/>
      <c r="S85" s="14"/>
      <c r="T85" s="14"/>
      <c r="U85" s="14"/>
      <c r="AD85" s="101"/>
      <c r="AE85" s="215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5"/>
      <c r="AE86" s="215"/>
      <c r="AF86" s="24"/>
      <c r="AG86" s="24"/>
      <c r="AH86" s="24"/>
      <c r="AI86" s="143"/>
      <c r="AJ86" s="15"/>
    </row>
    <row r="87" spans="3:36" ht="24.95" customHeight="1" thickBot="1" x14ac:dyDescent="0.25">
      <c r="C87" s="233"/>
      <c r="R87" s="14"/>
      <c r="S87" s="14"/>
      <c r="T87" s="14"/>
      <c r="U87" s="14"/>
      <c r="AD87" s="234"/>
      <c r="AE87" s="235"/>
      <c r="AF87" s="150"/>
      <c r="AG87" s="150"/>
      <c r="AH87" s="150"/>
      <c r="AI87" s="236"/>
      <c r="AJ87" s="218"/>
    </row>
    <row r="88" spans="3:36" ht="24.95" customHeight="1" thickTop="1" x14ac:dyDescent="0.2">
      <c r="C88" s="230"/>
      <c r="D88" s="24"/>
      <c r="R88" s="14"/>
      <c r="S88" s="14"/>
      <c r="T88" s="14"/>
      <c r="U88" s="14"/>
      <c r="AD88" s="38"/>
      <c r="AJ88" s="218"/>
    </row>
    <row r="89" spans="3:36" ht="15" customHeight="1" x14ac:dyDescent="0.2">
      <c r="D89" s="128"/>
      <c r="E89" s="110"/>
      <c r="F89" s="2"/>
      <c r="G89" s="12"/>
      <c r="H89" s="237"/>
      <c r="I89" s="128"/>
      <c r="J89" s="24"/>
      <c r="K89" s="12"/>
      <c r="L89" s="237"/>
      <c r="M89" s="24"/>
      <c r="N89" s="24"/>
      <c r="O89" s="12"/>
      <c r="P89" s="237"/>
      <c r="Q89" s="24"/>
      <c r="R89" s="24"/>
      <c r="S89" s="101"/>
      <c r="T89" s="237"/>
      <c r="U89" s="24"/>
      <c r="V89" s="24"/>
      <c r="AD89" s="238"/>
      <c r="AJ89" s="218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8"/>
      <c r="AJ90" s="218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8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8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8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8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8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8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9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9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9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5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40"/>
      <c r="AD103" s="101"/>
      <c r="AE103" s="215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9"/>
      <c r="AD104" s="101"/>
      <c r="AE104" s="215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9"/>
      <c r="AD105" s="101"/>
      <c r="AE105" s="215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9"/>
      <c r="AD106" s="101"/>
      <c r="AE106" s="215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5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5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5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5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5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5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5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5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5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5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5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5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5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5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5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5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5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5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5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7"/>
      <c r="U126" s="24"/>
      <c r="V126" s="24"/>
      <c r="X126" s="53"/>
      <c r="AD126" s="101"/>
      <c r="AE126" s="215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5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5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5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5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9"/>
      <c r="AD131" s="101"/>
      <c r="AE131" s="215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9"/>
      <c r="AD132" s="101"/>
      <c r="AE132" s="215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5"/>
      <c r="AF133" s="24"/>
      <c r="AG133" s="24"/>
      <c r="AH133" s="24"/>
      <c r="AI133" s="143"/>
      <c r="AJ133" s="104"/>
    </row>
    <row r="134" spans="1:36" ht="21.95" customHeight="1" x14ac:dyDescent="0.25">
      <c r="C134" s="230"/>
      <c r="D134" s="242"/>
      <c r="E134" s="110"/>
      <c r="F134" s="2"/>
      <c r="G134" s="2"/>
      <c r="R134" s="14"/>
      <c r="S134" s="12"/>
      <c r="T134" s="24"/>
      <c r="U134" s="24"/>
      <c r="V134" s="24"/>
      <c r="X134" s="239"/>
      <c r="AD134" s="101"/>
      <c r="AE134" s="215"/>
      <c r="AF134" s="24"/>
      <c r="AG134" s="24"/>
      <c r="AH134" s="24"/>
      <c r="AI134" s="143"/>
      <c r="AJ134" s="104"/>
    </row>
    <row r="135" spans="1:36" ht="21.95" customHeight="1" x14ac:dyDescent="0.25">
      <c r="C135" s="243"/>
      <c r="D135" s="128"/>
      <c r="E135" s="110"/>
      <c r="F135" s="2"/>
      <c r="G135" s="2"/>
      <c r="R135" s="14"/>
      <c r="S135" s="12"/>
      <c r="T135" s="24"/>
      <c r="U135" s="24"/>
      <c r="V135" s="24"/>
      <c r="X135" s="239"/>
      <c r="AD135" s="101"/>
      <c r="AE135" s="215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5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9"/>
      <c r="AD137" s="101"/>
      <c r="AE137" s="215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5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5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9"/>
      <c r="AD140" s="101"/>
      <c r="AE140" s="215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9"/>
      <c r="AD141" s="101"/>
      <c r="AE141" s="215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5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5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5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5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5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5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5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5"/>
      <c r="AF149" s="24"/>
      <c r="AG149" s="244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5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5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5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5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5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5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5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5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5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5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5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5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5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5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5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5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5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7"/>
      <c r="T167" s="24"/>
      <c r="U167" s="24"/>
      <c r="AD167" s="101"/>
      <c r="AE167" s="215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5"/>
      <c r="AF168" s="244"/>
      <c r="AG168" s="244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5"/>
      <c r="AB169" s="87"/>
      <c r="AC169" s="87"/>
      <c r="AD169" s="101"/>
      <c r="AE169" s="215"/>
      <c r="AF169" s="244"/>
      <c r="AG169" s="244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5"/>
      <c r="AB170" s="87"/>
      <c r="AC170" s="87"/>
      <c r="AD170" s="101"/>
      <c r="AE170" s="215"/>
      <c r="AF170" s="244"/>
      <c r="AG170" s="244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5"/>
      <c r="AB171" s="87"/>
      <c r="AC171" s="87"/>
      <c r="AD171" s="101"/>
      <c r="AE171" s="215"/>
      <c r="AF171" s="244"/>
      <c r="AG171" s="244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5"/>
      <c r="AB172" s="87"/>
      <c r="AC172" s="87"/>
      <c r="AD172" s="101"/>
      <c r="AE172" s="215"/>
      <c r="AF172" s="24"/>
      <c r="AG172" s="244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5"/>
      <c r="AB173" s="87"/>
      <c r="AC173" s="87"/>
      <c r="AD173" s="101"/>
      <c r="AE173" s="215"/>
      <c r="AF173" s="244"/>
      <c r="AG173" s="244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5"/>
      <c r="AB174" s="87"/>
      <c r="AC174" s="87"/>
      <c r="AD174" s="101"/>
      <c r="AE174" s="215"/>
      <c r="AF174" s="244"/>
      <c r="AG174" s="244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5"/>
      <c r="AB175" s="87"/>
      <c r="AC175" s="87"/>
      <c r="AD175" s="101"/>
      <c r="AE175" s="215"/>
      <c r="AF175" s="24"/>
      <c r="AG175" s="244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5"/>
      <c r="AB176" s="87"/>
      <c r="AC176" s="87"/>
      <c r="AD176" s="101"/>
      <c r="AE176" s="215"/>
      <c r="AF176" s="24"/>
      <c r="AG176" s="244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5"/>
      <c r="AB177" s="87"/>
      <c r="AC177" s="87"/>
      <c r="AD177" s="101"/>
      <c r="AE177" s="215"/>
      <c r="AF177" s="24"/>
      <c r="AG177" s="244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5"/>
      <c r="AB178" s="87"/>
      <c r="AC178" s="87"/>
      <c r="AD178" s="101"/>
      <c r="AE178" s="215"/>
      <c r="AF178" s="24"/>
      <c r="AG178" s="244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5"/>
      <c r="AB179" s="87"/>
      <c r="AC179" s="87"/>
      <c r="AD179" s="101"/>
      <c r="AE179" s="215"/>
      <c r="AF179" s="24"/>
      <c r="AG179" s="244"/>
      <c r="AH179" s="24"/>
      <c r="AI179" s="143"/>
      <c r="AJ179" s="104"/>
    </row>
    <row r="180" spans="2:36" ht="15" customHeight="1" x14ac:dyDescent="0.2">
      <c r="C180" s="230"/>
      <c r="D180" s="242"/>
      <c r="E180" s="110"/>
      <c r="R180" s="12"/>
      <c r="S180" s="24"/>
      <c r="T180" s="24"/>
      <c r="U180" s="24"/>
      <c r="X180" s="87"/>
      <c r="Y180" s="87"/>
      <c r="Z180" s="87"/>
      <c r="AA180" s="245"/>
      <c r="AB180" s="87"/>
      <c r="AC180" s="87"/>
      <c r="AD180" s="101"/>
      <c r="AE180" s="215"/>
      <c r="AF180" s="24"/>
      <c r="AG180" s="244"/>
      <c r="AH180" s="24"/>
      <c r="AI180" s="143"/>
      <c r="AJ180" s="104"/>
    </row>
    <row r="181" spans="2:36" ht="15" customHeight="1" x14ac:dyDescent="0.2">
      <c r="C181" s="230"/>
      <c r="D181" s="242"/>
      <c r="E181" s="110"/>
      <c r="R181" s="12"/>
      <c r="S181" s="24"/>
      <c r="T181" s="24"/>
      <c r="U181" s="24"/>
      <c r="X181" s="87"/>
      <c r="Y181" s="87"/>
      <c r="Z181" s="87"/>
      <c r="AA181" s="245"/>
      <c r="AB181" s="87"/>
      <c r="AC181" s="87"/>
      <c r="AD181" s="101"/>
      <c r="AE181" s="215"/>
      <c r="AF181" s="24"/>
      <c r="AG181" s="244"/>
      <c r="AH181" s="24"/>
      <c r="AI181" s="143"/>
      <c r="AJ181" s="104"/>
    </row>
    <row r="182" spans="2:36" ht="15" customHeight="1" x14ac:dyDescent="0.2">
      <c r="C182" s="230"/>
      <c r="D182" s="242"/>
      <c r="E182" s="110"/>
      <c r="R182" s="12"/>
      <c r="S182" s="24"/>
      <c r="T182" s="24"/>
      <c r="U182" s="24"/>
      <c r="X182" s="87"/>
      <c r="Y182" s="87"/>
      <c r="Z182" s="87"/>
      <c r="AA182" s="245"/>
      <c r="AB182" s="87"/>
      <c r="AC182" s="87"/>
      <c r="AD182" s="101"/>
      <c r="AE182" s="215"/>
      <c r="AF182" s="24"/>
      <c r="AG182" s="244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5"/>
      <c r="AB183" s="87"/>
      <c r="AC183" s="87"/>
      <c r="AD183" s="101"/>
      <c r="AE183" s="215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5"/>
      <c r="AB184" s="87"/>
      <c r="AC184" s="87"/>
      <c r="AD184" s="101"/>
      <c r="AE184" s="215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5"/>
      <c r="AB185" s="87"/>
      <c r="AC185" s="87"/>
      <c r="AD185" s="101"/>
      <c r="AE185" s="215"/>
      <c r="AF185" s="24"/>
      <c r="AG185" s="244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5"/>
      <c r="AB186" s="87"/>
      <c r="AC186" s="87"/>
      <c r="AD186" s="101"/>
      <c r="AE186" s="215"/>
      <c r="AF186" s="24"/>
      <c r="AG186" s="244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5"/>
      <c r="AB187" s="87"/>
      <c r="AC187" s="87"/>
      <c r="AD187" s="101"/>
      <c r="AE187" s="215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5"/>
      <c r="AB188" s="87"/>
      <c r="AC188" s="87"/>
      <c r="AD188" s="101"/>
      <c r="AE188" s="215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5"/>
      <c r="AB189" s="87"/>
      <c r="AC189" s="87"/>
      <c r="AD189" s="101"/>
      <c r="AE189" s="215"/>
      <c r="AF189" s="244"/>
      <c r="AG189" s="244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5"/>
      <c r="AB190" s="87"/>
      <c r="AC190" s="87"/>
      <c r="AD190" s="101"/>
      <c r="AE190" s="215"/>
      <c r="AF190" s="244"/>
      <c r="AG190" s="244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5"/>
      <c r="AB191" s="87"/>
      <c r="AC191" s="87"/>
      <c r="AD191" s="101"/>
      <c r="AE191" s="215"/>
      <c r="AF191" s="244"/>
      <c r="AG191" s="244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5"/>
      <c r="AB192" s="87"/>
      <c r="AC192" s="87"/>
      <c r="AD192" s="101"/>
      <c r="AE192" s="215"/>
      <c r="AF192" s="244"/>
      <c r="AG192" s="244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5"/>
      <c r="AB193" s="87"/>
      <c r="AC193" s="87"/>
      <c r="AD193" s="101"/>
      <c r="AE193" s="215"/>
      <c r="AF193" s="24"/>
      <c r="AG193" s="244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5"/>
      <c r="AB194" s="87"/>
      <c r="AC194" s="87"/>
      <c r="AD194" s="101"/>
      <c r="AE194" s="215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5"/>
      <c r="AB195" s="87"/>
      <c r="AC195" s="87"/>
      <c r="AD195" s="101"/>
      <c r="AE195" s="215"/>
      <c r="AF195" s="244"/>
      <c r="AG195" s="244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5"/>
      <c r="AB196" s="87"/>
      <c r="AC196" s="87"/>
      <c r="AD196" s="101"/>
      <c r="AE196" s="215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5"/>
      <c r="AB197" s="87"/>
      <c r="AC197" s="87"/>
      <c r="AD197" s="101"/>
      <c r="AE197" s="215"/>
      <c r="AF197" s="244"/>
      <c r="AG197" s="244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5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5"/>
      <c r="AF199" s="244"/>
      <c r="AG199" s="244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5"/>
      <c r="AF200" s="24"/>
      <c r="AG200" s="244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5"/>
      <c r="AF201" s="244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5"/>
      <c r="AF202" s="244"/>
      <c r="AG202" s="244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5"/>
      <c r="AF203" s="244"/>
      <c r="AG203" s="244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5"/>
      <c r="AF204" s="244"/>
      <c r="AG204" s="244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5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5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7"/>
      <c r="T207" s="24"/>
      <c r="U207" s="24"/>
      <c r="AD207" s="101"/>
      <c r="AE207" s="215"/>
      <c r="AF207" s="244"/>
      <c r="AG207" s="244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5"/>
      <c r="AF208" s="244"/>
      <c r="AG208" s="244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5"/>
      <c r="AF209" s="244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5"/>
      <c r="AF210" s="244"/>
      <c r="AG210" s="244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5"/>
      <c r="AF211" s="244"/>
      <c r="AG211" s="244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5"/>
      <c r="AF212" s="244"/>
      <c r="AG212" s="244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5"/>
      <c r="AF213" s="244"/>
      <c r="AG213" s="244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5"/>
      <c r="AF214" s="24"/>
      <c r="AG214" s="244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5"/>
      <c r="AF215" s="24"/>
      <c r="AG215" s="242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5"/>
      <c r="AF216" s="24"/>
      <c r="AG216" s="242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5"/>
      <c r="AF217" s="242"/>
      <c r="AG217" s="242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5"/>
      <c r="AF218" s="246"/>
      <c r="AG218" s="246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5"/>
      <c r="AF219" s="246"/>
      <c r="AG219" s="246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5"/>
      <c r="AF220" s="246"/>
      <c r="AG220" s="246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5"/>
      <c r="AF221" s="24"/>
      <c r="AG221" s="246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5"/>
      <c r="AF222" s="24"/>
      <c r="AG222" s="244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5"/>
      <c r="AF223" s="24"/>
      <c r="AG223" s="244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5"/>
      <c r="AF224" s="24"/>
      <c r="AG224" s="244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5"/>
      <c r="AF225" s="242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5"/>
      <c r="AF226" s="242"/>
      <c r="AG226" s="242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5"/>
      <c r="AF227" s="242"/>
      <c r="AG227" s="242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5"/>
      <c r="AF228" s="242"/>
      <c r="AG228" s="242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5"/>
      <c r="AF229" s="242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5"/>
      <c r="AF230" s="242"/>
      <c r="AG230" s="246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5"/>
      <c r="AF231" s="242"/>
      <c r="AG231" s="246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5"/>
      <c r="AF232" s="242"/>
      <c r="AG232" s="246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5"/>
      <c r="AF233" s="24"/>
      <c r="AG233" s="244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5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5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5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5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5"/>
      <c r="AF238" s="242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5"/>
      <c r="AF239" s="242"/>
      <c r="AG239" s="247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5"/>
      <c r="AF240" s="242"/>
      <c r="AG240" s="247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5"/>
      <c r="AF241" s="242"/>
      <c r="AG241" s="247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5"/>
      <c r="AF242" s="242"/>
      <c r="AG242" s="246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5"/>
      <c r="AF243" s="242"/>
      <c r="AG243" s="247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5"/>
      <c r="AF244" s="242"/>
      <c r="AG244" s="246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5"/>
      <c r="AF245" s="242"/>
      <c r="AG245" s="246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5"/>
      <c r="AF246" s="24"/>
      <c r="AG246" s="244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5"/>
      <c r="AF247" s="248"/>
      <c r="AG247" s="249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5"/>
      <c r="AF248" s="248"/>
      <c r="AG248" s="248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5"/>
      <c r="AF249" s="250"/>
      <c r="AG249" s="247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5"/>
      <c r="AF250" s="250"/>
      <c r="AG250" s="247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5"/>
      <c r="AF251" s="248"/>
      <c r="AG251" s="248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5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5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5"/>
      <c r="AF254" s="244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5"/>
      <c r="AF255" s="248"/>
      <c r="AG255" s="246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5"/>
      <c r="AF256" s="248"/>
      <c r="AG256" s="248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5"/>
      <c r="AF257" s="250"/>
      <c r="AG257" s="247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5"/>
      <c r="AF258" s="248"/>
      <c r="AG258" s="248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5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5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5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5"/>
      <c r="AF262" s="244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5"/>
      <c r="AF263" s="250"/>
      <c r="AG263" s="249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5"/>
      <c r="AF264" s="248"/>
      <c r="AG264" s="248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5"/>
      <c r="AF265" s="248"/>
      <c r="AG265" s="248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5"/>
      <c r="AF266" s="24"/>
      <c r="AG266" s="244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5"/>
      <c r="AF267" s="24"/>
      <c r="AG267" s="244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5"/>
      <c r="AF268" s="24"/>
      <c r="AG268" s="244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5"/>
      <c r="AF269" s="24"/>
      <c r="AG269" s="244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5"/>
      <c r="AF270" s="244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5"/>
      <c r="AF271" s="250"/>
      <c r="AG271" s="246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5"/>
      <c r="AF272" s="250"/>
      <c r="AG272" s="248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5"/>
      <c r="AF273" s="248"/>
      <c r="AG273" s="248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5"/>
      <c r="AF274" s="24"/>
      <c r="AG274" s="244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5"/>
      <c r="AF275" s="24"/>
      <c r="AG275" s="244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5"/>
      <c r="AF276" s="244"/>
      <c r="AG276" s="244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5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5"/>
      <c r="AF278" s="250"/>
      <c r="AG278" s="249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5"/>
      <c r="AF279" s="250"/>
      <c r="AG279" s="247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5"/>
      <c r="AF280" s="250"/>
      <c r="AG280" s="247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5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5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5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5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5"/>
      <c r="AF285" s="24"/>
      <c r="AG285" s="244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5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5"/>
      <c r="AF287" s="24"/>
      <c r="AG287" s="244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5"/>
      <c r="AF288" s="24"/>
      <c r="AG288" s="244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5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5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5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5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5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5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5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5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5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5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5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5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5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5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5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5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5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5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5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5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5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5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5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5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5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5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5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5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5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5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5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5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5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5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5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5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5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5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5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5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5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5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5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5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5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5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5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5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5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5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5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5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5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5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5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5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5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5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5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5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5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5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5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5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5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5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5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5"/>
      <c r="AE356" s="215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5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5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5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5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5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5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5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5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5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5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5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5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5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5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5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5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5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5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5"/>
      <c r="AE375" s="215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5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5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5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5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5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5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5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5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5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5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5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5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5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5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5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5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ageMargins left="0.75" right="0.25" top="0" bottom="0" header="0.5" footer="0.5"/>
  <pageSetup paperSize="5"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43"/>
  <sheetViews>
    <sheetView workbookViewId="0"/>
    <sheetView topLeftCell="A26" workbookViewId="1">
      <selection activeCell="C19" sqref="C19"/>
    </sheetView>
  </sheetViews>
  <sheetFormatPr defaultRowHeight="12.75" x14ac:dyDescent="0.2"/>
  <sheetData>
    <row r="5" spans="1:6" ht="15" x14ac:dyDescent="0.25">
      <c r="A5" s="134"/>
      <c r="B5" s="34" t="s">
        <v>128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</row>
    <row r="8" spans="1:6" x14ac:dyDescent="0.2">
      <c r="A8" s="10">
        <v>1</v>
      </c>
      <c r="B8" s="11">
        <v>6188</v>
      </c>
      <c r="C8" s="11">
        <v>6546</v>
      </c>
      <c r="D8" s="11">
        <v>3125</v>
      </c>
      <c r="E8" s="11">
        <v>2754</v>
      </c>
      <c r="F8" s="25">
        <f>+E8+C8-D8-B8</f>
        <v>-13</v>
      </c>
    </row>
    <row r="9" spans="1:6" x14ac:dyDescent="0.2">
      <c r="A9" s="10">
        <v>2</v>
      </c>
      <c r="B9" s="11">
        <v>6334</v>
      </c>
      <c r="C9" s="11">
        <v>6546</v>
      </c>
      <c r="D9" s="11">
        <v>1812</v>
      </c>
      <c r="E9" s="11">
        <v>2733</v>
      </c>
      <c r="F9" s="25">
        <f t="shared" ref="F9:F38" si="0">+E9+C9-D9-B9</f>
        <v>1133</v>
      </c>
    </row>
    <row r="10" spans="1:6" x14ac:dyDescent="0.2">
      <c r="A10" s="10">
        <v>3</v>
      </c>
      <c r="B10" s="11">
        <v>6939</v>
      </c>
      <c r="C10" s="11">
        <v>6546</v>
      </c>
      <c r="D10" s="11">
        <v>2006</v>
      </c>
      <c r="E10" s="11">
        <v>2738</v>
      </c>
      <c r="F10" s="25">
        <f t="shared" si="0"/>
        <v>339</v>
      </c>
    </row>
    <row r="11" spans="1:6" x14ac:dyDescent="0.2">
      <c r="A11" s="10">
        <v>4</v>
      </c>
      <c r="B11" s="11">
        <v>6807</v>
      </c>
      <c r="C11" s="11">
        <v>6295</v>
      </c>
      <c r="D11" s="11">
        <v>2497</v>
      </c>
      <c r="E11" s="11">
        <v>3004</v>
      </c>
      <c r="F11" s="25">
        <f t="shared" si="0"/>
        <v>-5</v>
      </c>
    </row>
    <row r="12" spans="1:6" x14ac:dyDescent="0.2">
      <c r="A12" s="10">
        <v>5</v>
      </c>
      <c r="B12" s="11">
        <v>6573</v>
      </c>
      <c r="C12" s="11">
        <v>7471</v>
      </c>
      <c r="D12" s="11">
        <v>903</v>
      </c>
      <c r="E12" s="11">
        <v>3647</v>
      </c>
      <c r="F12" s="25">
        <f t="shared" si="0"/>
        <v>3642</v>
      </c>
    </row>
    <row r="13" spans="1:6" x14ac:dyDescent="0.2">
      <c r="A13" s="10">
        <v>6</v>
      </c>
      <c r="B13" s="11">
        <v>6768</v>
      </c>
      <c r="C13" s="11">
        <v>7471</v>
      </c>
      <c r="D13" s="11">
        <v>4368</v>
      </c>
      <c r="E13" s="11">
        <v>3647</v>
      </c>
      <c r="F13" s="25">
        <f t="shared" si="0"/>
        <v>-18</v>
      </c>
    </row>
    <row r="14" spans="1:6" x14ac:dyDescent="0.2">
      <c r="A14" s="10">
        <v>7</v>
      </c>
      <c r="B14" s="11">
        <v>6935</v>
      </c>
      <c r="C14" s="11">
        <v>7471</v>
      </c>
      <c r="D14" s="11">
        <v>4015</v>
      </c>
      <c r="E14" s="11">
        <v>3647</v>
      </c>
      <c r="F14" s="25">
        <f t="shared" si="0"/>
        <v>168</v>
      </c>
    </row>
    <row r="15" spans="1:6" x14ac:dyDescent="0.2">
      <c r="A15" s="10">
        <v>8</v>
      </c>
      <c r="B15" s="11">
        <v>5156</v>
      </c>
      <c r="C15" s="11">
        <v>7471</v>
      </c>
      <c r="D15" s="11">
        <v>2736</v>
      </c>
      <c r="E15" s="11">
        <v>3647</v>
      </c>
      <c r="F15" s="25">
        <f t="shared" si="0"/>
        <v>3226</v>
      </c>
    </row>
    <row r="16" spans="1:6" x14ac:dyDescent="0.2">
      <c r="A16" s="10">
        <v>9</v>
      </c>
      <c r="B16" s="11">
        <v>6608</v>
      </c>
      <c r="C16" s="11">
        <v>7437</v>
      </c>
      <c r="D16" s="11">
        <v>4783</v>
      </c>
      <c r="E16" s="11">
        <v>3647</v>
      </c>
      <c r="F16" s="25">
        <f t="shared" si="0"/>
        <v>-307</v>
      </c>
    </row>
    <row r="17" spans="1:6" x14ac:dyDescent="0.2">
      <c r="A17" s="10">
        <v>10</v>
      </c>
      <c r="B17" s="11">
        <v>7241</v>
      </c>
      <c r="C17" s="11">
        <v>7403</v>
      </c>
      <c r="D17" s="11">
        <v>3618</v>
      </c>
      <c r="E17" s="11">
        <v>3647</v>
      </c>
      <c r="F17" s="25">
        <f t="shared" si="0"/>
        <v>191</v>
      </c>
    </row>
    <row r="18" spans="1:6" x14ac:dyDescent="0.2">
      <c r="A18" s="10">
        <v>11</v>
      </c>
      <c r="B18" s="11">
        <v>6667</v>
      </c>
      <c r="C18" s="11">
        <v>7389</v>
      </c>
      <c r="D18" s="11">
        <v>2891</v>
      </c>
      <c r="E18" s="11">
        <v>3647</v>
      </c>
      <c r="F18" s="25">
        <f t="shared" si="0"/>
        <v>1478</v>
      </c>
    </row>
    <row r="19" spans="1:6" x14ac:dyDescent="0.2">
      <c r="A19" s="10">
        <v>12</v>
      </c>
      <c r="B19" s="11"/>
      <c r="C19" s="11"/>
      <c r="D19" s="11"/>
      <c r="E19" s="11"/>
      <c r="F19" s="25">
        <f t="shared" si="0"/>
        <v>0</v>
      </c>
    </row>
    <row r="20" spans="1:6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6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6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6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6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6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6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6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6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6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6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6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6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72216</v>
      </c>
      <c r="C39" s="11">
        <f>SUM(C8:C38)</f>
        <v>78046</v>
      </c>
      <c r="D39" s="11">
        <f>SUM(D8:D38)</f>
        <v>32754</v>
      </c>
      <c r="E39" s="11">
        <f>SUM(E8:E38)</f>
        <v>36758</v>
      </c>
      <c r="F39" s="25">
        <f>SUM(F8:F38)</f>
        <v>9834</v>
      </c>
    </row>
    <row r="40" spans="1:6" x14ac:dyDescent="0.2">
      <c r="A40" s="26"/>
      <c r="C40" s="14"/>
      <c r="F40" s="264">
        <f>+summary!P13</f>
        <v>7.74</v>
      </c>
    </row>
    <row r="41" spans="1:6" x14ac:dyDescent="0.2">
      <c r="F41" s="138">
        <f>+F40*F39</f>
        <v>76115.16</v>
      </c>
    </row>
    <row r="42" spans="1:6" x14ac:dyDescent="0.2">
      <c r="A42" s="57">
        <v>36860</v>
      </c>
      <c r="C42" s="15"/>
      <c r="F42" s="379">
        <v>-282710.67</v>
      </c>
    </row>
    <row r="43" spans="1:6" x14ac:dyDescent="0.2">
      <c r="A43" s="57">
        <v>36871</v>
      </c>
      <c r="C43" s="48"/>
      <c r="F43" s="138">
        <f>+F42+F41</f>
        <v>-206595.50999999998</v>
      </c>
    </row>
  </sheetData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9" sqref="C9"/>
    </sheetView>
    <sheetView topLeftCell="A26" workbookViewId="1">
      <selection activeCell="A41" sqref="A41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12</v>
      </c>
      <c r="B6" s="6" t="s">
        <v>21</v>
      </c>
      <c r="C6" s="6" t="s">
        <v>22</v>
      </c>
      <c r="D6" s="6" t="s">
        <v>48</v>
      </c>
    </row>
    <row r="7" spans="1:4" x14ac:dyDescent="0.2">
      <c r="A7" s="10">
        <v>1</v>
      </c>
      <c r="B7" s="11">
        <v>173271</v>
      </c>
      <c r="C7" s="11">
        <v>176394</v>
      </c>
      <c r="D7" s="25">
        <f>+C7-B7</f>
        <v>3123</v>
      </c>
    </row>
    <row r="8" spans="1:4" x14ac:dyDescent="0.2">
      <c r="A8" s="10">
        <v>2</v>
      </c>
      <c r="B8" s="11">
        <v>177225</v>
      </c>
      <c r="C8" s="11">
        <v>188500</v>
      </c>
      <c r="D8" s="25">
        <f>+C8-B8</f>
        <v>11275</v>
      </c>
    </row>
    <row r="9" spans="1:4" x14ac:dyDescent="0.2">
      <c r="A9" s="10">
        <v>3</v>
      </c>
      <c r="B9" s="11">
        <v>173559</v>
      </c>
      <c r="C9" s="11">
        <v>172558</v>
      </c>
      <c r="D9" s="25">
        <f t="shared" ref="D9:D37" si="0">+C9-B9</f>
        <v>-1001</v>
      </c>
    </row>
    <row r="10" spans="1:4" x14ac:dyDescent="0.2">
      <c r="A10" s="10">
        <v>4</v>
      </c>
      <c r="B10" s="11">
        <v>188978</v>
      </c>
      <c r="C10" s="11">
        <v>195274</v>
      </c>
      <c r="D10" s="25">
        <f t="shared" si="0"/>
        <v>6296</v>
      </c>
    </row>
    <row r="11" spans="1:4" x14ac:dyDescent="0.2">
      <c r="A11" s="10">
        <v>5</v>
      </c>
      <c r="B11" s="11">
        <v>184605</v>
      </c>
      <c r="C11" s="11">
        <v>181847</v>
      </c>
      <c r="D11" s="25">
        <f t="shared" si="0"/>
        <v>-2758</v>
      </c>
    </row>
    <row r="12" spans="1:4" x14ac:dyDescent="0.2">
      <c r="A12" s="10">
        <v>6</v>
      </c>
      <c r="B12" s="11">
        <v>191169</v>
      </c>
      <c r="C12" s="11">
        <v>192336</v>
      </c>
      <c r="D12" s="25">
        <f t="shared" si="0"/>
        <v>1167</v>
      </c>
    </row>
    <row r="13" spans="1:4" x14ac:dyDescent="0.2">
      <c r="A13" s="10">
        <v>7</v>
      </c>
      <c r="B13" s="11">
        <v>213637</v>
      </c>
      <c r="C13" s="11">
        <v>217025</v>
      </c>
      <c r="D13" s="25">
        <f t="shared" si="0"/>
        <v>3388</v>
      </c>
    </row>
    <row r="14" spans="1:4" x14ac:dyDescent="0.2">
      <c r="A14" s="10">
        <v>8</v>
      </c>
      <c r="B14" s="11">
        <v>195649</v>
      </c>
      <c r="C14" s="11">
        <v>195210</v>
      </c>
      <c r="D14" s="25">
        <f t="shared" si="0"/>
        <v>-439</v>
      </c>
    </row>
    <row r="15" spans="1:4" x14ac:dyDescent="0.2">
      <c r="A15" s="10">
        <v>9</v>
      </c>
      <c r="B15" s="11">
        <v>198999</v>
      </c>
      <c r="C15" s="11">
        <v>197970</v>
      </c>
      <c r="D15" s="25">
        <f t="shared" si="0"/>
        <v>-1029</v>
      </c>
    </row>
    <row r="16" spans="1:4" x14ac:dyDescent="0.2">
      <c r="A16" s="10">
        <v>10</v>
      </c>
      <c r="B16" s="11">
        <v>195598</v>
      </c>
      <c r="C16" s="11">
        <v>203483</v>
      </c>
      <c r="D16" s="25">
        <f t="shared" si="0"/>
        <v>7885</v>
      </c>
    </row>
    <row r="17" spans="1:4" x14ac:dyDescent="0.2">
      <c r="A17" s="10">
        <v>11</v>
      </c>
      <c r="B17" s="11">
        <v>189560</v>
      </c>
      <c r="C17" s="11">
        <v>188209</v>
      </c>
      <c r="D17" s="25">
        <f t="shared" si="0"/>
        <v>-1351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1"/>
      <c r="C26" s="11"/>
      <c r="D26" s="25">
        <f t="shared" si="0"/>
        <v>0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2082250</v>
      </c>
      <c r="C38" s="11">
        <f>SUM(C7:C37)</f>
        <v>2108806</v>
      </c>
      <c r="D38" s="11">
        <f>SUM(D7:D37)</f>
        <v>26556</v>
      </c>
    </row>
    <row r="39" spans="1:4" x14ac:dyDescent="0.2">
      <c r="A39" s="26"/>
      <c r="C39" s="14"/>
      <c r="D39" s="106">
        <f>+summary!P12</f>
        <v>7.61</v>
      </c>
    </row>
    <row r="40" spans="1:4" x14ac:dyDescent="0.2">
      <c r="D40" s="138">
        <f>+D39*D38</f>
        <v>202091.16</v>
      </c>
    </row>
    <row r="41" spans="1:4" x14ac:dyDescent="0.2">
      <c r="A41" s="57">
        <v>36860</v>
      </c>
      <c r="C41" s="15"/>
      <c r="D41" s="362">
        <v>214357</v>
      </c>
    </row>
    <row r="42" spans="1:4" x14ac:dyDescent="0.2">
      <c r="A42" s="57">
        <v>36871</v>
      </c>
      <c r="D42" s="348">
        <f>+D41+D40</f>
        <v>416448.16000000003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workbookViewId="0">
      <selection activeCell="C10" sqref="C10"/>
    </sheetView>
    <sheetView topLeftCell="A26" workbookViewId="1">
      <selection activeCell="B41" sqref="B41"/>
    </sheetView>
  </sheetViews>
  <sheetFormatPr defaultRowHeight="12.75" x14ac:dyDescent="0.2"/>
  <cols>
    <col min="2" max="2" width="9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19</v>
      </c>
      <c r="C3" s="14"/>
      <c r="D3" s="38" t="s">
        <v>20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12</v>
      </c>
      <c r="B4" s="6" t="s">
        <v>21</v>
      </c>
      <c r="C4" s="40" t="s">
        <v>22</v>
      </c>
      <c r="D4" s="6" t="s">
        <v>21</v>
      </c>
      <c r="E4" s="6" t="s">
        <v>22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>
        <v>6271</v>
      </c>
      <c r="C5" s="11"/>
      <c r="D5" s="11"/>
      <c r="E5" s="11">
        <v>5000</v>
      </c>
      <c r="F5" s="11">
        <f>+B5+D5-C5-E5</f>
        <v>1271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>
        <v>12463</v>
      </c>
      <c r="C6" s="11"/>
      <c r="D6" s="11"/>
      <c r="E6" s="11">
        <v>10000</v>
      </c>
      <c r="F6" s="11">
        <f t="shared" ref="F6:F35" si="0">+B6+D6-C6-E6</f>
        <v>2463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10327</v>
      </c>
      <c r="C7" s="11"/>
      <c r="D7" s="11"/>
      <c r="E7" s="11">
        <v>10000</v>
      </c>
      <c r="F7" s="11">
        <f t="shared" si="0"/>
        <v>327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9612</v>
      </c>
      <c r="C8" s="11"/>
      <c r="D8" s="11"/>
      <c r="E8" s="11">
        <v>10000</v>
      </c>
      <c r="F8" s="11">
        <f t="shared" si="0"/>
        <v>-388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5169</v>
      </c>
      <c r="C9" s="11"/>
      <c r="D9" s="11"/>
      <c r="E9" s="11">
        <v>5000</v>
      </c>
      <c r="F9" s="11">
        <f t="shared" si="0"/>
        <v>169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/>
      <c r="C10" s="11"/>
      <c r="D10" s="11"/>
      <c r="E10" s="11">
        <v>5000</v>
      </c>
      <c r="F10" s="11">
        <f t="shared" si="0"/>
        <v>-5000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1"/>
      <c r="C11" s="11"/>
      <c r="D11" s="11"/>
      <c r="E11" s="11">
        <v>5000</v>
      </c>
      <c r="F11" s="11">
        <f t="shared" si="0"/>
        <v>-5000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/>
      <c r="C12" s="11"/>
      <c r="D12" s="11">
        <v>5474</v>
      </c>
      <c r="E12" s="11">
        <v>5000</v>
      </c>
      <c r="F12" s="11">
        <f t="shared" si="0"/>
        <v>474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1"/>
      <c r="C13" s="11"/>
      <c r="D13" s="11">
        <v>6224</v>
      </c>
      <c r="E13" s="11">
        <v>5000</v>
      </c>
      <c r="F13" s="11">
        <f t="shared" si="0"/>
        <v>1224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/>
      <c r="C14" s="11"/>
      <c r="D14" s="11">
        <v>5258</v>
      </c>
      <c r="E14" s="11">
        <v>5000</v>
      </c>
      <c r="F14" s="11">
        <f t="shared" si="0"/>
        <v>258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>
        <v>15176</v>
      </c>
      <c r="C15" s="11"/>
      <c r="D15" s="11"/>
      <c r="E15" s="11">
        <v>15000</v>
      </c>
      <c r="F15" s="11">
        <f t="shared" si="0"/>
        <v>176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59018</v>
      </c>
      <c r="C36" s="44">
        <f>SUM(C5:C35)</f>
        <v>0</v>
      </c>
      <c r="D36" s="43">
        <f>SUM(D5:D35)</f>
        <v>16956</v>
      </c>
      <c r="E36" s="44">
        <f>SUM(E5:E35)</f>
        <v>80000</v>
      </c>
      <c r="F36" s="11">
        <f>SUM(F5:F35)</f>
        <v>-4026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59018</v>
      </c>
      <c r="D37" s="24"/>
      <c r="E37" s="24">
        <f>+D36-E36</f>
        <v>-63044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36860</v>
      </c>
      <c r="C41" s="14"/>
      <c r="D41" s="50"/>
      <c r="E41" s="50"/>
      <c r="F41" s="244">
        <v>28281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36871</v>
      </c>
      <c r="C42" s="14"/>
      <c r="D42" s="50"/>
      <c r="E42" s="50"/>
      <c r="F42" s="51">
        <f>+F41+F36</f>
        <v>24255</v>
      </c>
      <c r="G42" s="32"/>
      <c r="H42" s="49"/>
      <c r="I42" s="14"/>
      <c r="J42" s="50"/>
      <c r="K42" s="50"/>
      <c r="L42" s="51"/>
    </row>
    <row r="43" spans="1:12" x14ac:dyDescent="0.2">
      <c r="B43" s="34"/>
      <c r="F43" s="52"/>
      <c r="L43" s="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A39" sqref="A39"/>
    </sheetView>
    <sheetView topLeftCell="A3" workbookViewId="1">
      <selection activeCell="A41" sqref="A41"/>
    </sheetView>
  </sheetViews>
  <sheetFormatPr defaultRowHeight="12.75" x14ac:dyDescent="0.2"/>
  <cols>
    <col min="1" max="1" width="7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v>275537</v>
      </c>
      <c r="C4" s="11">
        <v>278613</v>
      </c>
      <c r="D4" s="25">
        <f>+C4-B4</f>
        <v>3076</v>
      </c>
    </row>
    <row r="5" spans="1:4" x14ac:dyDescent="0.2">
      <c r="A5" s="10">
        <v>2</v>
      </c>
      <c r="B5" s="11">
        <v>262499</v>
      </c>
      <c r="C5" s="11">
        <v>267365</v>
      </c>
      <c r="D5" s="25">
        <f t="shared" ref="D5:D34" si="0">+C5-B5</f>
        <v>4866</v>
      </c>
    </row>
    <row r="6" spans="1:4" x14ac:dyDescent="0.2">
      <c r="A6" s="10">
        <v>3</v>
      </c>
      <c r="B6" s="11">
        <v>278050</v>
      </c>
      <c r="C6" s="11">
        <v>280155</v>
      </c>
      <c r="D6" s="25">
        <f t="shared" si="0"/>
        <v>2105</v>
      </c>
    </row>
    <row r="7" spans="1:4" x14ac:dyDescent="0.2">
      <c r="A7" s="10">
        <v>4</v>
      </c>
      <c r="B7" s="11">
        <v>284260</v>
      </c>
      <c r="C7" s="11">
        <v>287502</v>
      </c>
      <c r="D7" s="25">
        <f t="shared" si="0"/>
        <v>3242</v>
      </c>
    </row>
    <row r="8" spans="1:4" x14ac:dyDescent="0.2">
      <c r="A8" s="10">
        <v>5</v>
      </c>
      <c r="B8" s="11">
        <v>281989</v>
      </c>
      <c r="C8" s="11">
        <v>283106</v>
      </c>
      <c r="D8" s="25">
        <f t="shared" si="0"/>
        <v>1117</v>
      </c>
    </row>
    <row r="9" spans="1:4" x14ac:dyDescent="0.2">
      <c r="A9" s="10">
        <v>6</v>
      </c>
      <c r="B9" s="11">
        <v>279075</v>
      </c>
      <c r="C9" s="11">
        <v>281215</v>
      </c>
      <c r="D9" s="25">
        <f t="shared" si="0"/>
        <v>2140</v>
      </c>
    </row>
    <row r="10" spans="1:4" x14ac:dyDescent="0.2">
      <c r="A10" s="10">
        <v>7</v>
      </c>
      <c r="B10" s="11">
        <v>278417</v>
      </c>
      <c r="C10" s="11">
        <v>280191</v>
      </c>
      <c r="D10" s="25">
        <f t="shared" si="0"/>
        <v>1774</v>
      </c>
    </row>
    <row r="11" spans="1:4" x14ac:dyDescent="0.2">
      <c r="A11" s="10">
        <v>8</v>
      </c>
      <c r="B11" s="11">
        <v>281054</v>
      </c>
      <c r="C11" s="11">
        <v>284340</v>
      </c>
      <c r="D11" s="25">
        <f t="shared" si="0"/>
        <v>3286</v>
      </c>
    </row>
    <row r="12" spans="1:4" x14ac:dyDescent="0.2">
      <c r="A12" s="10">
        <v>9</v>
      </c>
      <c r="B12" s="11">
        <v>278159</v>
      </c>
      <c r="C12" s="11">
        <v>281600</v>
      </c>
      <c r="D12" s="25">
        <f t="shared" si="0"/>
        <v>3441</v>
      </c>
    </row>
    <row r="13" spans="1:4" x14ac:dyDescent="0.2">
      <c r="A13" s="10">
        <v>10</v>
      </c>
      <c r="B13" s="11">
        <v>281851</v>
      </c>
      <c r="C13" s="11">
        <v>283836</v>
      </c>
      <c r="D13" s="25">
        <f t="shared" si="0"/>
        <v>1985</v>
      </c>
    </row>
    <row r="14" spans="1:4" x14ac:dyDescent="0.2">
      <c r="A14" s="10">
        <v>11</v>
      </c>
      <c r="B14" s="11">
        <v>281910</v>
      </c>
      <c r="C14" s="11">
        <v>283570</v>
      </c>
      <c r="D14" s="25">
        <f t="shared" si="0"/>
        <v>1660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30" x14ac:dyDescent="0.2">
      <c r="A33" s="10">
        <v>30</v>
      </c>
      <c r="B33" s="11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3062801</v>
      </c>
      <c r="C35" s="11">
        <f>SUM(C4:C34)</f>
        <v>3091493</v>
      </c>
      <c r="D35" s="11">
        <f>SUM(D4:D34)</f>
        <v>28692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51">
        <v>36860</v>
      </c>
      <c r="D38" s="244">
        <v>160058</v>
      </c>
    </row>
    <row r="39" spans="1:30" x14ac:dyDescent="0.2">
      <c r="A39" s="12"/>
      <c r="D39" s="24"/>
    </row>
    <row r="40" spans="1:30" x14ac:dyDescent="0.2">
      <c r="A40" s="251">
        <v>36871</v>
      </c>
      <c r="D40" s="24">
        <f>+D38+D35</f>
        <v>188750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K44"/>
    </row>
    <row r="45" spans="1:30" x14ac:dyDescent="0.2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6" workbookViewId="0">
      <selection activeCell="C42" sqref="C42"/>
    </sheetView>
    <sheetView topLeftCell="A26" workbookViewId="1">
      <selection activeCell="C40" sqref="C40"/>
    </sheetView>
  </sheetViews>
  <sheetFormatPr defaultRowHeight="12.75" x14ac:dyDescent="0.2"/>
  <cols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>
        <v>10487</v>
      </c>
      <c r="B1" s="55"/>
      <c r="F1" s="54"/>
    </row>
    <row r="3" spans="1:11" x14ac:dyDescent="0.2">
      <c r="A3" s="5" t="s">
        <v>12</v>
      </c>
      <c r="B3" s="6" t="s">
        <v>22</v>
      </c>
      <c r="C3" s="6" t="s">
        <v>21</v>
      </c>
      <c r="F3" s="5"/>
      <c r="G3" s="6"/>
      <c r="H3" s="6"/>
    </row>
    <row r="4" spans="1:11" x14ac:dyDescent="0.2">
      <c r="A4" s="10">
        <v>1</v>
      </c>
      <c r="B4" s="11">
        <v>720923</v>
      </c>
      <c r="C4" s="11">
        <v>712708</v>
      </c>
      <c r="D4" s="25">
        <f>+C4-B4</f>
        <v>-8215</v>
      </c>
      <c r="F4" s="10"/>
      <c r="G4" s="11"/>
      <c r="H4" s="11"/>
      <c r="I4" s="25"/>
    </row>
    <row r="5" spans="1:11" x14ac:dyDescent="0.2">
      <c r="A5" s="10">
        <v>2</v>
      </c>
      <c r="B5" s="11">
        <v>754446</v>
      </c>
      <c r="C5" s="11">
        <v>754394</v>
      </c>
      <c r="D5" s="25">
        <f t="shared" ref="D5:D34" si="0">+C5-B5</f>
        <v>-52</v>
      </c>
      <c r="F5" s="10"/>
      <c r="G5" s="11"/>
      <c r="H5" s="11"/>
      <c r="I5" s="25"/>
    </row>
    <row r="6" spans="1:11" x14ac:dyDescent="0.2">
      <c r="A6" s="10">
        <v>3</v>
      </c>
      <c r="B6" s="11">
        <v>749727</v>
      </c>
      <c r="C6" s="11">
        <v>747563</v>
      </c>
      <c r="D6" s="25">
        <f t="shared" si="0"/>
        <v>-2164</v>
      </c>
      <c r="F6" s="10"/>
      <c r="G6" s="11"/>
      <c r="H6" s="11"/>
      <c r="I6" s="25"/>
    </row>
    <row r="7" spans="1:11" x14ac:dyDescent="0.2">
      <c r="A7" s="10">
        <v>4</v>
      </c>
      <c r="B7" s="11">
        <v>749497</v>
      </c>
      <c r="C7" s="11">
        <v>750712</v>
      </c>
      <c r="D7" s="25">
        <f t="shared" si="0"/>
        <v>1215</v>
      </c>
      <c r="F7" s="10"/>
      <c r="G7" s="11"/>
      <c r="H7" s="11"/>
      <c r="I7" s="25"/>
      <c r="K7" s="25"/>
    </row>
    <row r="8" spans="1:11" x14ac:dyDescent="0.2">
      <c r="A8" s="10">
        <v>5</v>
      </c>
      <c r="B8" s="11">
        <v>756319</v>
      </c>
      <c r="C8" s="11">
        <v>753779</v>
      </c>
      <c r="D8" s="25">
        <f t="shared" si="0"/>
        <v>-2540</v>
      </c>
      <c r="F8" s="10"/>
      <c r="G8" s="11"/>
      <c r="H8" s="11"/>
      <c r="I8" s="25"/>
    </row>
    <row r="9" spans="1:11" x14ac:dyDescent="0.2">
      <c r="A9" s="10">
        <v>6</v>
      </c>
      <c r="B9" s="11">
        <v>762143</v>
      </c>
      <c r="C9" s="11">
        <v>753941</v>
      </c>
      <c r="D9" s="25">
        <f t="shared" si="0"/>
        <v>-8202</v>
      </c>
      <c r="F9" s="10"/>
      <c r="G9" s="11"/>
      <c r="H9" s="11"/>
      <c r="I9" s="25"/>
    </row>
    <row r="10" spans="1:11" x14ac:dyDescent="0.2">
      <c r="A10" s="10">
        <v>7</v>
      </c>
      <c r="B10" s="11">
        <v>743462</v>
      </c>
      <c r="C10" s="11">
        <v>746309</v>
      </c>
      <c r="D10" s="25">
        <f t="shared" si="0"/>
        <v>2847</v>
      </c>
      <c r="F10" s="10"/>
      <c r="G10" s="11"/>
      <c r="H10" s="11"/>
      <c r="I10" s="25"/>
    </row>
    <row r="11" spans="1:11" x14ac:dyDescent="0.2">
      <c r="A11" s="10">
        <v>8</v>
      </c>
      <c r="B11" s="11">
        <v>747675</v>
      </c>
      <c r="C11" s="11">
        <v>747818</v>
      </c>
      <c r="D11" s="25">
        <f t="shared" si="0"/>
        <v>143</v>
      </c>
      <c r="F11" s="10"/>
      <c r="G11" s="11"/>
      <c r="H11" s="11"/>
      <c r="I11" s="25"/>
    </row>
    <row r="12" spans="1:11" x14ac:dyDescent="0.2">
      <c r="A12" s="10">
        <v>9</v>
      </c>
      <c r="B12" s="11">
        <v>759272</v>
      </c>
      <c r="C12" s="11">
        <v>759235</v>
      </c>
      <c r="D12" s="25">
        <f t="shared" si="0"/>
        <v>-37</v>
      </c>
      <c r="F12" s="10"/>
      <c r="G12" s="11"/>
      <c r="H12" s="11"/>
      <c r="I12" s="25"/>
    </row>
    <row r="13" spans="1:11" x14ac:dyDescent="0.2">
      <c r="A13" s="10">
        <v>10</v>
      </c>
      <c r="B13" s="11">
        <v>756223</v>
      </c>
      <c r="C13" s="11">
        <v>752905</v>
      </c>
      <c r="D13" s="25">
        <f t="shared" si="0"/>
        <v>-3318</v>
      </c>
      <c r="F13" s="10"/>
      <c r="G13" s="11"/>
      <c r="H13" s="11"/>
      <c r="I13" s="25"/>
    </row>
    <row r="14" spans="1:11" x14ac:dyDescent="0.2">
      <c r="A14" s="10">
        <v>11</v>
      </c>
      <c r="B14" s="11">
        <v>756207</v>
      </c>
      <c r="C14" s="11">
        <v>742700</v>
      </c>
      <c r="D14" s="25">
        <f t="shared" si="0"/>
        <v>-13507</v>
      </c>
      <c r="F14" s="10"/>
      <c r="G14" s="11"/>
      <c r="H14" s="11"/>
      <c r="I14" s="25"/>
    </row>
    <row r="15" spans="1:11" x14ac:dyDescent="0.2">
      <c r="A15" s="10">
        <v>12</v>
      </c>
      <c r="B15" s="11"/>
      <c r="C15" s="11"/>
      <c r="D15" s="25">
        <f t="shared" si="0"/>
        <v>0</v>
      </c>
      <c r="F15" s="10"/>
      <c r="G15" s="11"/>
      <c r="H15" s="11"/>
      <c r="I15" s="25"/>
    </row>
    <row r="16" spans="1:11" x14ac:dyDescent="0.2">
      <c r="A16" s="10">
        <v>13</v>
      </c>
      <c r="B16" s="11"/>
      <c r="C16" s="11"/>
      <c r="D16" s="25">
        <f t="shared" si="0"/>
        <v>0</v>
      </c>
      <c r="F16" s="10"/>
      <c r="G16" s="11"/>
      <c r="H16" s="11"/>
      <c r="I16" s="25"/>
      <c r="K16" s="25"/>
    </row>
    <row r="17" spans="1:11" x14ac:dyDescent="0.2">
      <c r="A17" s="10">
        <v>14</v>
      </c>
      <c r="B17" s="11"/>
      <c r="C17" s="11"/>
      <c r="D17" s="25">
        <f t="shared" si="0"/>
        <v>0</v>
      </c>
      <c r="F17" s="10"/>
      <c r="G17" s="11"/>
      <c r="H17" s="11"/>
      <c r="I17" s="25"/>
    </row>
    <row r="18" spans="1:11" x14ac:dyDescent="0.2">
      <c r="A18" s="10">
        <v>15</v>
      </c>
      <c r="B18" s="11"/>
      <c r="C18" s="11"/>
      <c r="D18" s="25">
        <f t="shared" si="0"/>
        <v>0</v>
      </c>
      <c r="F18" s="10"/>
      <c r="G18" s="11"/>
      <c r="H18" s="11"/>
      <c r="I18" s="25"/>
    </row>
    <row r="19" spans="1:11" x14ac:dyDescent="0.2">
      <c r="A19" s="10">
        <v>16</v>
      </c>
      <c r="B19" s="11"/>
      <c r="C19" s="11"/>
      <c r="D19" s="25">
        <f t="shared" si="0"/>
        <v>0</v>
      </c>
      <c r="F19" s="10"/>
      <c r="G19" s="11"/>
      <c r="H19" s="11"/>
      <c r="I19" s="25"/>
    </row>
    <row r="20" spans="1:11" x14ac:dyDescent="0.2">
      <c r="A20" s="10">
        <v>17</v>
      </c>
      <c r="B20" s="11"/>
      <c r="C20" s="11"/>
      <c r="D20" s="25">
        <f t="shared" si="0"/>
        <v>0</v>
      </c>
      <c r="F20" s="10"/>
      <c r="G20" s="11"/>
      <c r="H20" s="11"/>
      <c r="I20" s="25"/>
    </row>
    <row r="21" spans="1:11" x14ac:dyDescent="0.2">
      <c r="A21" s="10">
        <v>18</v>
      </c>
      <c r="B21" s="11"/>
      <c r="C21" s="11"/>
      <c r="D21" s="25">
        <f t="shared" si="0"/>
        <v>0</v>
      </c>
      <c r="F21" s="10"/>
      <c r="G21" s="11"/>
      <c r="H21" s="11"/>
      <c r="I21" s="25"/>
    </row>
    <row r="22" spans="1:11" x14ac:dyDescent="0.2">
      <c r="A22" s="10">
        <v>19</v>
      </c>
      <c r="B22" s="11"/>
      <c r="C22" s="11"/>
      <c r="D22" s="25">
        <f t="shared" si="0"/>
        <v>0</v>
      </c>
      <c r="F22" s="10"/>
      <c r="G22" s="11"/>
      <c r="H22" s="11"/>
      <c r="I22" s="25"/>
    </row>
    <row r="23" spans="1:11" x14ac:dyDescent="0.2">
      <c r="A23" s="10">
        <v>20</v>
      </c>
      <c r="B23" s="11"/>
      <c r="C23" s="11"/>
      <c r="D23" s="25">
        <f t="shared" si="0"/>
        <v>0</v>
      </c>
      <c r="F23" s="10"/>
      <c r="G23" s="11"/>
      <c r="H23" s="11"/>
      <c r="I23" s="25"/>
    </row>
    <row r="24" spans="1:11" x14ac:dyDescent="0.2">
      <c r="A24" s="10">
        <v>21</v>
      </c>
      <c r="B24" s="11"/>
      <c r="C24" s="11"/>
      <c r="D24" s="25">
        <f t="shared" si="0"/>
        <v>0</v>
      </c>
      <c r="F24" s="10"/>
      <c r="G24" s="11"/>
      <c r="H24" s="11"/>
      <c r="I24" s="25"/>
      <c r="K24" s="25"/>
    </row>
    <row r="25" spans="1:11" x14ac:dyDescent="0.2">
      <c r="A25" s="10">
        <v>22</v>
      </c>
      <c r="B25" s="11"/>
      <c r="C25" s="11"/>
      <c r="D25" s="25">
        <f t="shared" si="0"/>
        <v>0</v>
      </c>
      <c r="F25" s="10"/>
      <c r="G25" s="11"/>
      <c r="H25" s="11"/>
      <c r="I25" s="25"/>
    </row>
    <row r="26" spans="1:11" x14ac:dyDescent="0.2">
      <c r="A26" s="10">
        <v>23</v>
      </c>
      <c r="B26" s="11"/>
      <c r="C26" s="11"/>
      <c r="D26" s="25">
        <f t="shared" si="0"/>
        <v>0</v>
      </c>
      <c r="F26" s="10"/>
      <c r="G26" s="11"/>
      <c r="H26" s="11"/>
      <c r="I26" s="25"/>
    </row>
    <row r="27" spans="1:11" x14ac:dyDescent="0.2">
      <c r="A27" s="10">
        <v>24</v>
      </c>
      <c r="B27" s="11"/>
      <c r="C27" s="11"/>
      <c r="D27" s="25">
        <f t="shared" si="0"/>
        <v>0</v>
      </c>
      <c r="F27" s="10"/>
      <c r="G27" s="11"/>
      <c r="H27" s="11"/>
      <c r="I27" s="25"/>
      <c r="K27" s="25"/>
    </row>
    <row r="28" spans="1:11" x14ac:dyDescent="0.2">
      <c r="A28" s="10">
        <v>25</v>
      </c>
      <c r="B28" s="11"/>
      <c r="C28" s="11"/>
      <c r="D28" s="25">
        <f t="shared" si="0"/>
        <v>0</v>
      </c>
      <c r="F28" s="10"/>
      <c r="G28" s="11"/>
      <c r="H28" s="11"/>
      <c r="I28" s="25"/>
      <c r="K28" s="25"/>
    </row>
    <row r="29" spans="1:11" x14ac:dyDescent="0.2">
      <c r="A29" s="10">
        <v>26</v>
      </c>
      <c r="B29" s="11"/>
      <c r="C29" s="11"/>
      <c r="D29" s="25">
        <f t="shared" si="0"/>
        <v>0</v>
      </c>
      <c r="F29" s="10"/>
      <c r="G29" s="11"/>
      <c r="H29" s="11"/>
      <c r="I29" s="25"/>
      <c r="K29" s="25"/>
    </row>
    <row r="30" spans="1:11" x14ac:dyDescent="0.2">
      <c r="A30" s="10">
        <v>27</v>
      </c>
      <c r="B30" s="11"/>
      <c r="C30" s="11"/>
      <c r="D30" s="25">
        <f t="shared" si="0"/>
        <v>0</v>
      </c>
      <c r="F30" s="10"/>
      <c r="G30" s="11"/>
      <c r="H30" s="11"/>
      <c r="I30" s="25"/>
      <c r="K30" s="25"/>
    </row>
    <row r="31" spans="1:11" x14ac:dyDescent="0.2">
      <c r="A31" s="10">
        <v>28</v>
      </c>
      <c r="B31" s="11"/>
      <c r="C31" s="11"/>
      <c r="D31" s="25">
        <f t="shared" si="0"/>
        <v>0</v>
      </c>
      <c r="F31" s="10"/>
      <c r="G31" s="11"/>
      <c r="H31" s="11"/>
      <c r="I31" s="25"/>
    </row>
    <row r="32" spans="1:11" x14ac:dyDescent="0.2">
      <c r="A32" s="10">
        <v>29</v>
      </c>
      <c r="B32" s="11"/>
      <c r="C32" s="11"/>
      <c r="D32" s="25">
        <f t="shared" si="0"/>
        <v>0</v>
      </c>
      <c r="F32" s="10"/>
      <c r="G32" s="11"/>
      <c r="H32" s="11"/>
      <c r="I32" s="25"/>
    </row>
    <row r="33" spans="1:45" x14ac:dyDescent="0.2">
      <c r="A33" s="10">
        <v>30</v>
      </c>
      <c r="B33" s="11"/>
      <c r="C33" s="11"/>
      <c r="D33" s="25">
        <f t="shared" si="0"/>
        <v>0</v>
      </c>
      <c r="F33" s="10"/>
      <c r="G33" s="11"/>
      <c r="H33" s="11"/>
      <c r="I33" s="25"/>
    </row>
    <row r="34" spans="1:45" x14ac:dyDescent="0.2">
      <c r="A34" s="10">
        <v>31</v>
      </c>
      <c r="B34" s="11"/>
      <c r="C34" s="11"/>
      <c r="D34" s="25">
        <f t="shared" si="0"/>
        <v>0</v>
      </c>
      <c r="F34" s="10"/>
      <c r="G34" s="11"/>
      <c r="H34" s="11"/>
      <c r="I34" s="25"/>
    </row>
    <row r="35" spans="1:45" x14ac:dyDescent="0.2">
      <c r="A35" s="10"/>
      <c r="B35" s="11">
        <f>SUM(B4:B34)</f>
        <v>8255894</v>
      </c>
      <c r="C35" s="11">
        <f>SUM(C4:C34)</f>
        <v>8222064</v>
      </c>
      <c r="D35" s="11">
        <f>SUM(D4:D34)</f>
        <v>-33830</v>
      </c>
      <c r="F35" s="10"/>
      <c r="G35" s="11"/>
      <c r="H35" s="11"/>
      <c r="I35" s="11"/>
      <c r="K35" s="11"/>
    </row>
    <row r="36" spans="1:45" x14ac:dyDescent="0.2">
      <c r="A36" s="26"/>
      <c r="B36" s="24"/>
      <c r="C36" s="25"/>
      <c r="D36" s="2"/>
      <c r="F36" s="26"/>
      <c r="H36" s="25"/>
      <c r="I36" s="2"/>
    </row>
    <row r="37" spans="1:45" x14ac:dyDescent="0.2">
      <c r="D37" s="24"/>
      <c r="I37" s="24"/>
    </row>
    <row r="38" spans="1:45" x14ac:dyDescent="0.2">
      <c r="A38" s="57">
        <v>36860</v>
      </c>
      <c r="D38" s="381">
        <v>85314</v>
      </c>
      <c r="I38" s="24"/>
    </row>
    <row r="39" spans="1:45" x14ac:dyDescent="0.2">
      <c r="A39" s="2"/>
      <c r="D39" s="24"/>
      <c r="I39" s="24"/>
    </row>
    <row r="40" spans="1:45" x14ac:dyDescent="0.2">
      <c r="A40" s="57">
        <v>36871</v>
      </c>
      <c r="D40" s="36">
        <f>+D38+D35</f>
        <v>51484</v>
      </c>
      <c r="I40" s="24"/>
    </row>
    <row r="42" spans="1:45" x14ac:dyDescent="0.2">
      <c r="AF42" s="330"/>
      <c r="AG42" s="330"/>
      <c r="AH42" s="330"/>
      <c r="AI42" s="330"/>
      <c r="AJ42" s="330"/>
      <c r="AK42" s="330"/>
      <c r="AL42" s="330"/>
      <c r="AM42" s="330"/>
      <c r="AN42" s="330"/>
      <c r="AO42" s="330"/>
      <c r="AP42" s="330"/>
      <c r="AQ42" s="330"/>
      <c r="AR42" s="330"/>
      <c r="AS42" s="330"/>
    </row>
    <row r="43" spans="1:45" ht="15.75" x14ac:dyDescent="0.25">
      <c r="A43" s="53"/>
      <c r="B43" s="11"/>
      <c r="C43" s="11"/>
      <c r="D43" s="138"/>
      <c r="F43" s="53"/>
      <c r="G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31"/>
      <c r="AG43" s="330"/>
      <c r="AH43" s="330"/>
      <c r="AI43" s="332"/>
      <c r="AJ43" s="331"/>
      <c r="AK43" s="330"/>
      <c r="AL43" s="330"/>
      <c r="AM43" s="332"/>
      <c r="AN43" s="331"/>
      <c r="AO43" s="330"/>
      <c r="AP43" s="330"/>
      <c r="AQ43" s="330"/>
      <c r="AR43" s="330"/>
      <c r="AS43" s="330"/>
    </row>
    <row r="44" spans="1:45" x14ac:dyDescent="0.2">
      <c r="K44"/>
      <c r="AF44" s="330"/>
      <c r="AG44" s="330"/>
      <c r="AH44" s="330"/>
      <c r="AI44" s="330"/>
      <c r="AJ44" s="330"/>
      <c r="AK44" s="330"/>
      <c r="AL44" s="330"/>
      <c r="AM44" s="330"/>
      <c r="AN44" s="330"/>
      <c r="AO44" s="330"/>
      <c r="AP44" s="330"/>
      <c r="AQ44" s="330"/>
      <c r="AR44" s="330"/>
      <c r="AS44" s="330"/>
    </row>
    <row r="45" spans="1:45" x14ac:dyDescent="0.2">
      <c r="A45" s="5"/>
      <c r="B45" s="6"/>
      <c r="C45" s="6"/>
      <c r="F45" s="5"/>
      <c r="G45" s="6"/>
      <c r="H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33"/>
      <c r="AG45" s="333"/>
      <c r="AH45" s="330"/>
      <c r="AI45" s="334"/>
      <c r="AJ45" s="333"/>
      <c r="AK45" s="333"/>
      <c r="AL45" s="330"/>
      <c r="AM45" s="334"/>
      <c r="AN45" s="333"/>
      <c r="AO45" s="333"/>
      <c r="AP45" s="330"/>
      <c r="AQ45" s="330"/>
      <c r="AR45" s="330"/>
      <c r="AS45" s="330"/>
    </row>
    <row r="46" spans="1:45" x14ac:dyDescent="0.2">
      <c r="A46" s="10"/>
      <c r="B46" s="11"/>
      <c r="C46" s="11"/>
      <c r="D46" s="25"/>
      <c r="F46" s="10"/>
      <c r="G46" s="11"/>
      <c r="H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35"/>
      <c r="AG46" s="335"/>
      <c r="AH46" s="336"/>
      <c r="AI46" s="337"/>
      <c r="AJ46" s="335"/>
      <c r="AK46" s="335"/>
      <c r="AL46" s="336"/>
      <c r="AM46" s="337"/>
      <c r="AN46" s="335"/>
      <c r="AO46" s="335"/>
      <c r="AP46" s="336"/>
      <c r="AQ46" s="330"/>
      <c r="AR46" s="330"/>
      <c r="AS46" s="330"/>
    </row>
    <row r="47" spans="1:45" x14ac:dyDescent="0.2">
      <c r="A47" s="10"/>
      <c r="B47" s="11"/>
      <c r="C47" s="11"/>
      <c r="D47" s="105"/>
      <c r="F47" s="10"/>
      <c r="G47" s="11"/>
      <c r="H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35"/>
      <c r="AG47" s="335"/>
      <c r="AH47" s="336"/>
      <c r="AI47" s="337"/>
      <c r="AJ47" s="335"/>
      <c r="AK47" s="335"/>
      <c r="AL47" s="336"/>
      <c r="AM47" s="337"/>
      <c r="AN47" s="335"/>
      <c r="AO47" s="335"/>
      <c r="AP47" s="336"/>
      <c r="AQ47" s="330"/>
      <c r="AR47" s="330"/>
      <c r="AS47" s="330"/>
    </row>
    <row r="48" spans="1:45" x14ac:dyDescent="0.2">
      <c r="A48" s="10"/>
      <c r="B48" s="11"/>
      <c r="C48" s="11"/>
      <c r="D48" s="25"/>
      <c r="F48" s="10"/>
      <c r="G48" s="11"/>
      <c r="H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35"/>
      <c r="AG48" s="335"/>
      <c r="AH48" s="336"/>
      <c r="AI48" s="337"/>
      <c r="AJ48" s="335"/>
      <c r="AK48" s="335"/>
      <c r="AL48" s="336"/>
      <c r="AM48" s="337"/>
      <c r="AN48" s="335"/>
      <c r="AO48" s="335"/>
      <c r="AP48" s="336"/>
      <c r="AQ48" s="330"/>
      <c r="AR48" s="330"/>
      <c r="AS48" s="330"/>
    </row>
    <row r="49" spans="1:45" x14ac:dyDescent="0.2">
      <c r="A49" s="10"/>
      <c r="B49" s="11"/>
      <c r="C49" s="11"/>
      <c r="D49" s="25"/>
      <c r="F49" s="10"/>
      <c r="G49" s="11"/>
      <c r="H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35"/>
      <c r="AG49" s="335"/>
      <c r="AH49" s="336"/>
      <c r="AI49" s="337"/>
      <c r="AJ49" s="335"/>
      <c r="AK49" s="335"/>
      <c r="AL49" s="336"/>
      <c r="AM49" s="337"/>
      <c r="AN49" s="335"/>
      <c r="AO49" s="335"/>
      <c r="AP49" s="336"/>
      <c r="AQ49" s="330"/>
      <c r="AR49" s="330"/>
      <c r="AS49" s="330"/>
    </row>
    <row r="50" spans="1:45" x14ac:dyDescent="0.2">
      <c r="A50" s="10"/>
      <c r="B50" s="11"/>
      <c r="C50" s="11"/>
      <c r="D50" s="25"/>
      <c r="F50" s="10"/>
      <c r="G50" s="11"/>
      <c r="H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35"/>
      <c r="AG50" s="335"/>
      <c r="AH50" s="336"/>
      <c r="AI50" s="337"/>
      <c r="AJ50" s="335"/>
      <c r="AK50" s="335"/>
      <c r="AL50" s="336"/>
      <c r="AM50" s="337"/>
      <c r="AN50" s="335"/>
      <c r="AO50" s="335"/>
      <c r="AP50" s="336"/>
      <c r="AQ50" s="330"/>
      <c r="AR50" s="330"/>
      <c r="AS50" s="330"/>
    </row>
    <row r="51" spans="1:45" x14ac:dyDescent="0.2">
      <c r="A51" s="10"/>
      <c r="B51" s="11"/>
      <c r="C51" s="11"/>
      <c r="D51" s="25"/>
      <c r="F51" s="10"/>
      <c r="G51" s="11"/>
      <c r="H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35"/>
      <c r="AG51" s="335"/>
      <c r="AH51" s="336"/>
      <c r="AI51" s="337"/>
      <c r="AJ51" s="335"/>
      <c r="AK51" s="335"/>
      <c r="AL51" s="336"/>
      <c r="AM51" s="337"/>
      <c r="AN51" s="335"/>
      <c r="AO51" s="335"/>
      <c r="AP51" s="336"/>
      <c r="AQ51" s="330"/>
      <c r="AR51" s="330"/>
      <c r="AS51" s="330"/>
    </row>
    <row r="52" spans="1:45" x14ac:dyDescent="0.2">
      <c r="A52" s="10"/>
      <c r="B52" s="11"/>
      <c r="C52" s="11"/>
      <c r="D52" s="25"/>
      <c r="F52" s="10"/>
      <c r="G52" s="11"/>
      <c r="H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35"/>
      <c r="AG52" s="335"/>
      <c r="AH52" s="336"/>
      <c r="AI52" s="337"/>
      <c r="AJ52" s="335"/>
      <c r="AK52" s="335"/>
      <c r="AL52" s="336"/>
      <c r="AM52" s="337"/>
      <c r="AN52" s="335"/>
      <c r="AO52" s="335"/>
      <c r="AP52" s="336"/>
      <c r="AQ52" s="330"/>
      <c r="AR52" s="330"/>
      <c r="AS52" s="330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35"/>
      <c r="AG53" s="335"/>
      <c r="AH53" s="336"/>
      <c r="AI53" s="337"/>
      <c r="AJ53" s="335"/>
      <c r="AK53" s="335"/>
      <c r="AL53" s="336"/>
      <c r="AM53" s="337"/>
      <c r="AN53" s="335"/>
      <c r="AO53" s="335"/>
      <c r="AP53" s="336"/>
      <c r="AQ53" s="330"/>
      <c r="AR53" s="330"/>
      <c r="AS53" s="330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35"/>
      <c r="AG54" s="335"/>
      <c r="AH54" s="336"/>
      <c r="AI54" s="337"/>
      <c r="AJ54" s="335"/>
      <c r="AK54" s="335"/>
      <c r="AL54" s="336"/>
      <c r="AM54" s="337"/>
      <c r="AN54" s="335"/>
      <c r="AO54" s="335"/>
      <c r="AP54" s="336"/>
      <c r="AQ54" s="330"/>
      <c r="AR54" s="330"/>
      <c r="AS54" s="330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35"/>
      <c r="AG55" s="335"/>
      <c r="AH55" s="336"/>
      <c r="AI55" s="337"/>
      <c r="AJ55" s="335"/>
      <c r="AK55" s="335"/>
      <c r="AL55" s="336"/>
      <c r="AM55" s="337"/>
      <c r="AN55" s="335"/>
      <c r="AO55" s="335"/>
      <c r="AP55" s="336"/>
      <c r="AQ55" s="330"/>
      <c r="AR55" s="330"/>
      <c r="AS55" s="330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35"/>
      <c r="AG56" s="335"/>
      <c r="AH56" s="336"/>
      <c r="AI56" s="337"/>
      <c r="AJ56" s="335"/>
      <c r="AK56" s="335"/>
      <c r="AL56" s="336"/>
      <c r="AM56" s="337"/>
      <c r="AN56" s="335"/>
      <c r="AO56" s="335"/>
      <c r="AP56" s="336"/>
      <c r="AQ56" s="330"/>
      <c r="AR56" s="330"/>
      <c r="AS56" s="330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35"/>
      <c r="AG57" s="335"/>
      <c r="AH57" s="336"/>
      <c r="AI57" s="337"/>
      <c r="AJ57" s="335"/>
      <c r="AK57" s="335"/>
      <c r="AL57" s="336"/>
      <c r="AM57" s="337"/>
      <c r="AN57" s="335"/>
      <c r="AO57" s="335"/>
      <c r="AP57" s="336"/>
      <c r="AQ57" s="330"/>
      <c r="AR57" s="330"/>
      <c r="AS57" s="330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35"/>
      <c r="AG58" s="335"/>
      <c r="AH58" s="336"/>
      <c r="AI58" s="337"/>
      <c r="AJ58" s="335"/>
      <c r="AK58" s="335"/>
      <c r="AL58" s="336"/>
      <c r="AM58" s="337"/>
      <c r="AN58" s="335"/>
      <c r="AO58" s="335"/>
      <c r="AP58" s="336"/>
      <c r="AQ58" s="330"/>
      <c r="AR58" s="330"/>
      <c r="AS58" s="330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35"/>
      <c r="AG59" s="335"/>
      <c r="AH59" s="336"/>
      <c r="AI59" s="337"/>
      <c r="AJ59" s="335"/>
      <c r="AK59" s="335"/>
      <c r="AL59" s="336"/>
      <c r="AM59" s="337"/>
      <c r="AN59" s="335"/>
      <c r="AO59" s="335"/>
      <c r="AP59" s="336"/>
      <c r="AQ59" s="330"/>
      <c r="AR59" s="330"/>
      <c r="AS59" s="330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35"/>
      <c r="AG60" s="335"/>
      <c r="AH60" s="336"/>
      <c r="AI60" s="337"/>
      <c r="AJ60" s="335"/>
      <c r="AK60" s="335"/>
      <c r="AL60" s="336"/>
      <c r="AM60" s="337"/>
      <c r="AN60" s="335"/>
      <c r="AO60" s="335"/>
      <c r="AP60" s="336"/>
      <c r="AQ60" s="330"/>
      <c r="AR60" s="330"/>
      <c r="AS60" s="330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35"/>
      <c r="AG61" s="335"/>
      <c r="AH61" s="336"/>
      <c r="AI61" s="337"/>
      <c r="AJ61" s="335"/>
      <c r="AK61" s="335"/>
      <c r="AL61" s="336"/>
      <c r="AM61" s="337"/>
      <c r="AN61" s="335"/>
      <c r="AO61" s="335"/>
      <c r="AP61" s="336"/>
      <c r="AQ61" s="330"/>
      <c r="AR61" s="330"/>
      <c r="AS61" s="330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35"/>
      <c r="AG62" s="335"/>
      <c r="AH62" s="336"/>
      <c r="AI62" s="337"/>
      <c r="AJ62" s="335"/>
      <c r="AK62" s="335"/>
      <c r="AL62" s="336"/>
      <c r="AM62" s="337"/>
      <c r="AN62" s="335"/>
      <c r="AO62" s="335"/>
      <c r="AP62" s="336"/>
      <c r="AQ62" s="330"/>
      <c r="AR62" s="330"/>
      <c r="AS62" s="330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35"/>
      <c r="AG63" s="335"/>
      <c r="AH63" s="336"/>
      <c r="AI63" s="337"/>
      <c r="AJ63" s="335"/>
      <c r="AK63" s="335"/>
      <c r="AL63" s="336"/>
      <c r="AM63" s="337"/>
      <c r="AN63" s="335"/>
      <c r="AO63" s="335"/>
      <c r="AP63" s="336"/>
      <c r="AQ63" s="330"/>
      <c r="AR63" s="330"/>
      <c r="AS63" s="330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35"/>
      <c r="AG64" s="335"/>
      <c r="AH64" s="336"/>
      <c r="AI64" s="337"/>
      <c r="AJ64" s="335"/>
      <c r="AK64" s="335"/>
      <c r="AL64" s="336"/>
      <c r="AM64" s="337"/>
      <c r="AN64" s="335"/>
      <c r="AO64" s="335"/>
      <c r="AP64" s="336"/>
      <c r="AQ64" s="330"/>
      <c r="AR64" s="330"/>
      <c r="AS64" s="330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35"/>
      <c r="AG65" s="335"/>
      <c r="AH65" s="336"/>
      <c r="AI65" s="337"/>
      <c r="AJ65" s="335"/>
      <c r="AK65" s="335"/>
      <c r="AL65" s="336"/>
      <c r="AM65" s="337"/>
      <c r="AN65" s="335"/>
      <c r="AO65" s="335"/>
      <c r="AP65" s="336"/>
      <c r="AQ65" s="330"/>
      <c r="AR65" s="330"/>
      <c r="AS65" s="330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35"/>
      <c r="AG66" s="335"/>
      <c r="AH66" s="336"/>
      <c r="AI66" s="337"/>
      <c r="AJ66" s="335"/>
      <c r="AK66" s="335"/>
      <c r="AL66" s="336"/>
      <c r="AM66" s="337"/>
      <c r="AN66" s="335"/>
      <c r="AO66" s="335"/>
      <c r="AP66" s="336"/>
      <c r="AQ66" s="330"/>
      <c r="AR66" s="330"/>
      <c r="AS66" s="330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35"/>
      <c r="AG67" s="335"/>
      <c r="AH67" s="336"/>
      <c r="AI67" s="337"/>
      <c r="AJ67" s="335"/>
      <c r="AK67" s="335"/>
      <c r="AL67" s="336"/>
      <c r="AM67" s="337"/>
      <c r="AN67" s="335"/>
      <c r="AO67" s="335"/>
      <c r="AP67" s="336"/>
      <c r="AQ67" s="330"/>
      <c r="AR67" s="330"/>
      <c r="AS67" s="330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35"/>
      <c r="AG68" s="335"/>
      <c r="AH68" s="336"/>
      <c r="AI68" s="337"/>
      <c r="AJ68" s="335"/>
      <c r="AK68" s="335"/>
      <c r="AL68" s="336"/>
      <c r="AM68" s="337"/>
      <c r="AN68" s="335"/>
      <c r="AO68" s="335"/>
      <c r="AP68" s="336"/>
      <c r="AQ68" s="330"/>
      <c r="AR68" s="330"/>
      <c r="AS68" s="330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35"/>
      <c r="AG69" s="335"/>
      <c r="AH69" s="336"/>
      <c r="AI69" s="337"/>
      <c r="AJ69" s="335"/>
      <c r="AK69" s="335"/>
      <c r="AL69" s="336"/>
      <c r="AM69" s="337"/>
      <c r="AN69" s="335"/>
      <c r="AO69" s="335"/>
      <c r="AP69" s="336"/>
      <c r="AQ69" s="330"/>
      <c r="AR69" s="330"/>
      <c r="AS69" s="330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35"/>
      <c r="AG70" s="335"/>
      <c r="AH70" s="336"/>
      <c r="AI70" s="337"/>
      <c r="AJ70" s="335"/>
      <c r="AK70" s="335"/>
      <c r="AL70" s="336"/>
      <c r="AM70" s="337"/>
      <c r="AN70" s="335"/>
      <c r="AO70" s="335"/>
      <c r="AP70" s="336"/>
      <c r="AQ70" s="330"/>
      <c r="AR70" s="330"/>
      <c r="AS70" s="330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35"/>
      <c r="AG71" s="335"/>
      <c r="AH71" s="336"/>
      <c r="AI71" s="337"/>
      <c r="AJ71" s="335"/>
      <c r="AK71" s="335"/>
      <c r="AL71" s="336"/>
      <c r="AM71" s="337"/>
      <c r="AN71" s="335"/>
      <c r="AO71" s="335"/>
      <c r="AP71" s="336"/>
      <c r="AQ71" s="330"/>
      <c r="AR71" s="330"/>
      <c r="AS71" s="330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35"/>
      <c r="AG72" s="335"/>
      <c r="AH72" s="336"/>
      <c r="AI72" s="337"/>
      <c r="AJ72" s="335"/>
      <c r="AK72" s="335"/>
      <c r="AL72" s="336"/>
      <c r="AM72" s="337"/>
      <c r="AN72" s="335"/>
      <c r="AO72" s="335"/>
      <c r="AP72" s="336"/>
      <c r="AQ72" s="330"/>
      <c r="AR72" s="330"/>
      <c r="AS72" s="330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35"/>
      <c r="AG73" s="335"/>
      <c r="AH73" s="336"/>
      <c r="AI73" s="337"/>
      <c r="AJ73" s="335"/>
      <c r="AK73" s="335"/>
      <c r="AL73" s="336"/>
      <c r="AM73" s="337"/>
      <c r="AN73" s="335"/>
      <c r="AO73" s="335"/>
      <c r="AP73" s="336"/>
      <c r="AQ73" s="330"/>
      <c r="AR73" s="330"/>
      <c r="AS73" s="330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35"/>
      <c r="AG74" s="335"/>
      <c r="AH74" s="336"/>
      <c r="AI74" s="337"/>
      <c r="AJ74" s="335"/>
      <c r="AK74" s="335"/>
      <c r="AL74" s="336"/>
      <c r="AM74" s="337"/>
      <c r="AN74" s="335"/>
      <c r="AO74" s="335"/>
      <c r="AP74" s="336"/>
      <c r="AQ74" s="330"/>
      <c r="AR74" s="330"/>
      <c r="AS74" s="330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35"/>
      <c r="AG75" s="335"/>
      <c r="AH75" s="336"/>
      <c r="AI75" s="337"/>
      <c r="AJ75" s="335"/>
      <c r="AK75" s="335"/>
      <c r="AL75" s="336"/>
      <c r="AM75" s="337"/>
      <c r="AN75" s="335"/>
      <c r="AO75" s="335"/>
      <c r="AP75" s="336"/>
      <c r="AQ75" s="330"/>
      <c r="AR75" s="330"/>
      <c r="AS75" s="330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35"/>
      <c r="AG76" s="335"/>
      <c r="AH76" s="336"/>
      <c r="AI76" s="337"/>
      <c r="AJ76" s="335"/>
      <c r="AK76" s="335"/>
      <c r="AL76" s="336"/>
      <c r="AM76" s="337"/>
      <c r="AN76" s="335"/>
      <c r="AO76" s="335"/>
      <c r="AP76" s="336"/>
      <c r="AQ76" s="330"/>
      <c r="AR76" s="330"/>
      <c r="AS76" s="330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35"/>
      <c r="AG77" s="335"/>
      <c r="AH77" s="335"/>
      <c r="AI77" s="337"/>
      <c r="AJ77" s="335"/>
      <c r="AK77" s="335"/>
      <c r="AL77" s="335"/>
      <c r="AM77" s="337"/>
      <c r="AN77" s="335"/>
      <c r="AO77" s="335"/>
      <c r="AP77" s="335"/>
      <c r="AQ77" s="330"/>
      <c r="AR77" s="330"/>
      <c r="AS77" s="330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30"/>
      <c r="AG78" s="336"/>
      <c r="AH78" s="338"/>
      <c r="AI78" s="339"/>
      <c r="AJ78" s="330"/>
      <c r="AK78" s="336"/>
      <c r="AL78" s="338"/>
      <c r="AM78" s="339"/>
      <c r="AN78" s="330"/>
      <c r="AO78" s="336"/>
      <c r="AP78" s="338"/>
      <c r="AQ78" s="330"/>
      <c r="AR78" s="330"/>
      <c r="AS78" s="330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30"/>
      <c r="AG79" s="330"/>
      <c r="AH79" s="340"/>
      <c r="AI79" s="330"/>
      <c r="AJ79" s="330"/>
      <c r="AK79" s="330"/>
      <c r="AL79" s="340"/>
      <c r="AM79" s="330"/>
      <c r="AN79" s="330"/>
      <c r="AO79" s="330"/>
      <c r="AP79" s="340"/>
      <c r="AQ79" s="330"/>
      <c r="AR79" s="330"/>
      <c r="AS79" s="330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30"/>
      <c r="AG80" s="330"/>
      <c r="AH80" s="340"/>
      <c r="AI80" s="341"/>
      <c r="AJ80" s="330"/>
      <c r="AK80" s="330"/>
      <c r="AL80" s="340"/>
      <c r="AM80" s="341"/>
      <c r="AN80" s="330"/>
      <c r="AO80" s="330"/>
      <c r="AP80" s="340"/>
      <c r="AQ80" s="330"/>
      <c r="AR80" s="330"/>
      <c r="AS80" s="330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30"/>
      <c r="AG81" s="330"/>
      <c r="AH81" s="340"/>
      <c r="AI81" s="338"/>
      <c r="AJ81" s="330"/>
      <c r="AK81" s="330"/>
      <c r="AL81" s="340"/>
      <c r="AM81" s="338"/>
      <c r="AN81" s="330"/>
      <c r="AO81" s="330"/>
      <c r="AP81" s="340"/>
      <c r="AQ81" s="330"/>
      <c r="AR81" s="330"/>
      <c r="AS81" s="330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30"/>
      <c r="AG82" s="330"/>
      <c r="AH82" s="340"/>
      <c r="AI82" s="341"/>
      <c r="AJ82" s="330"/>
      <c r="AK82" s="330"/>
      <c r="AL82" s="340"/>
      <c r="AM82" s="341"/>
      <c r="AN82" s="330"/>
      <c r="AO82" s="330"/>
      <c r="AP82" s="340"/>
      <c r="AQ82" s="330"/>
      <c r="AR82" s="330"/>
      <c r="AS82" s="330"/>
    </row>
    <row r="83" spans="4:45" x14ac:dyDescent="0.2">
      <c r="AE83" s="32"/>
      <c r="AF83" s="330"/>
      <c r="AG83" s="330"/>
      <c r="AH83" s="330"/>
      <c r="AI83" s="330"/>
      <c r="AJ83" s="330"/>
      <c r="AK83" s="330"/>
      <c r="AL83" s="330"/>
      <c r="AM83" s="330"/>
      <c r="AN83" s="330"/>
      <c r="AO83" s="330"/>
      <c r="AP83" s="330"/>
      <c r="AQ83" s="330"/>
      <c r="AR83" s="330"/>
      <c r="AS83" s="330"/>
    </row>
    <row r="84" spans="4:45" x14ac:dyDescent="0.2">
      <c r="AE84" s="32"/>
      <c r="AF84" s="330"/>
      <c r="AG84" s="330"/>
      <c r="AH84" s="330"/>
      <c r="AI84" s="330"/>
      <c r="AJ84" s="330"/>
      <c r="AK84" s="330"/>
      <c r="AL84" s="330"/>
      <c r="AM84" s="330"/>
      <c r="AN84" s="330"/>
      <c r="AO84" s="330"/>
      <c r="AP84" s="330"/>
      <c r="AQ84" s="330"/>
      <c r="AR84" s="330"/>
      <c r="AS84" s="330"/>
    </row>
    <row r="85" spans="4:45" x14ac:dyDescent="0.2">
      <c r="AF85" s="330"/>
      <c r="AG85" s="330"/>
      <c r="AH85" s="330"/>
      <c r="AI85" s="330"/>
      <c r="AJ85" s="330"/>
      <c r="AK85" s="330"/>
      <c r="AL85" s="330"/>
      <c r="AM85" s="330"/>
      <c r="AN85" s="330"/>
      <c r="AO85" s="330"/>
      <c r="AP85" s="330"/>
      <c r="AQ85" s="330"/>
      <c r="AR85" s="330"/>
      <c r="AS85" s="330"/>
    </row>
    <row r="86" spans="4:45" x14ac:dyDescent="0.2">
      <c r="AF86" s="330"/>
      <c r="AG86" s="330"/>
      <c r="AH86" s="330"/>
      <c r="AI86" s="330"/>
      <c r="AJ86" s="330"/>
      <c r="AK86" s="330"/>
      <c r="AL86" s="330"/>
      <c r="AM86" s="330"/>
      <c r="AN86" s="330"/>
      <c r="AO86" s="330"/>
      <c r="AP86" s="330"/>
      <c r="AQ86" s="330"/>
      <c r="AR86" s="330"/>
      <c r="AS86" s="330"/>
    </row>
    <row r="87" spans="4:45" x14ac:dyDescent="0.2">
      <c r="AF87" s="330"/>
      <c r="AG87" s="330"/>
      <c r="AH87" s="330"/>
      <c r="AI87" s="330"/>
      <c r="AJ87" s="330"/>
      <c r="AK87" s="330"/>
      <c r="AL87" s="330"/>
      <c r="AM87" s="330"/>
      <c r="AN87" s="330"/>
      <c r="AO87" s="330"/>
      <c r="AP87" s="330"/>
      <c r="AQ87" s="330"/>
      <c r="AR87" s="330"/>
      <c r="AS87" s="330"/>
    </row>
    <row r="88" spans="4:45" x14ac:dyDescent="0.2">
      <c r="AF88" s="330"/>
      <c r="AG88" s="330"/>
      <c r="AH88" s="330"/>
      <c r="AI88" s="330"/>
      <c r="AJ88" s="330"/>
      <c r="AK88" s="330"/>
      <c r="AL88" s="330"/>
      <c r="AM88" s="330"/>
      <c r="AN88" s="330"/>
      <c r="AO88" s="330"/>
      <c r="AP88" s="330"/>
      <c r="AQ88" s="330"/>
      <c r="AR88" s="330"/>
      <c r="AS88" s="330"/>
    </row>
    <row r="89" spans="4:45" x14ac:dyDescent="0.2">
      <c r="AF89" s="330"/>
      <c r="AG89" s="330"/>
      <c r="AH89" s="330"/>
      <c r="AI89" s="330"/>
      <c r="AJ89" s="330"/>
      <c r="AK89" s="330"/>
      <c r="AL89" s="330"/>
      <c r="AM89" s="330"/>
      <c r="AN89" s="330"/>
      <c r="AO89" s="330"/>
      <c r="AP89" s="330"/>
      <c r="AQ89" s="330"/>
      <c r="AR89" s="330"/>
      <c r="AS89" s="330"/>
    </row>
    <row r="90" spans="4:45" x14ac:dyDescent="0.2">
      <c r="AF90" s="330"/>
      <c r="AG90" s="330"/>
      <c r="AH90" s="330"/>
      <c r="AI90" s="330"/>
      <c r="AJ90" s="330"/>
      <c r="AK90" s="330"/>
      <c r="AL90" s="330"/>
      <c r="AM90" s="330"/>
      <c r="AN90" s="330"/>
      <c r="AO90" s="330"/>
      <c r="AP90" s="330"/>
      <c r="AQ90" s="330"/>
      <c r="AR90" s="330"/>
      <c r="AS90" s="330"/>
    </row>
    <row r="91" spans="4:45" x14ac:dyDescent="0.2">
      <c r="AF91" s="330"/>
      <c r="AG91" s="330"/>
      <c r="AH91" s="330"/>
      <c r="AI91" s="330"/>
      <c r="AJ91" s="330"/>
      <c r="AK91" s="330"/>
      <c r="AL91" s="330"/>
      <c r="AM91" s="330"/>
      <c r="AN91" s="330"/>
      <c r="AO91" s="330"/>
      <c r="AP91" s="330"/>
      <c r="AQ91" s="330"/>
      <c r="AR91" s="330"/>
      <c r="AS91" s="330"/>
    </row>
    <row r="92" spans="4:45" x14ac:dyDescent="0.2">
      <c r="AF92" s="330"/>
      <c r="AG92" s="330"/>
      <c r="AH92" s="330"/>
      <c r="AI92" s="330"/>
      <c r="AJ92" s="330"/>
      <c r="AK92" s="330"/>
      <c r="AL92" s="330"/>
      <c r="AM92" s="330"/>
      <c r="AN92" s="330"/>
      <c r="AO92" s="330"/>
      <c r="AP92" s="330"/>
      <c r="AQ92" s="330"/>
      <c r="AR92" s="330"/>
      <c r="AS92" s="330"/>
    </row>
    <row r="93" spans="4:45" x14ac:dyDescent="0.2">
      <c r="AF93" s="330"/>
      <c r="AG93" s="330"/>
      <c r="AH93" s="330"/>
      <c r="AI93" s="330"/>
      <c r="AJ93" s="330"/>
      <c r="AK93" s="330"/>
      <c r="AL93" s="330"/>
      <c r="AM93" s="330"/>
      <c r="AN93" s="330"/>
      <c r="AO93" s="330"/>
      <c r="AP93" s="330"/>
      <c r="AQ93" s="330"/>
      <c r="AR93" s="330"/>
      <c r="AS93" s="330"/>
    </row>
    <row r="94" spans="4:45" x14ac:dyDescent="0.2">
      <c r="AF94" s="330"/>
      <c r="AG94" s="330"/>
      <c r="AH94" s="330"/>
      <c r="AI94" s="330"/>
      <c r="AJ94" s="330"/>
      <c r="AK94" s="330"/>
      <c r="AL94" s="330"/>
      <c r="AM94" s="330"/>
      <c r="AN94" s="330"/>
      <c r="AO94" s="330"/>
      <c r="AP94" s="330"/>
      <c r="AQ94" s="330"/>
      <c r="AR94" s="330"/>
      <c r="AS94" s="330"/>
    </row>
    <row r="95" spans="4:45" x14ac:dyDescent="0.2">
      <c r="AF95" s="330"/>
      <c r="AG95" s="330"/>
      <c r="AH95" s="330"/>
      <c r="AI95" s="330"/>
      <c r="AJ95" s="330"/>
      <c r="AK95" s="330"/>
      <c r="AL95" s="330"/>
      <c r="AM95" s="330"/>
      <c r="AN95" s="330"/>
      <c r="AO95" s="330"/>
      <c r="AP95" s="330"/>
      <c r="AQ95" s="330"/>
      <c r="AR95" s="330"/>
      <c r="AS95" s="330"/>
    </row>
    <row r="96" spans="4:45" x14ac:dyDescent="0.2">
      <c r="AF96" s="330"/>
      <c r="AG96" s="330"/>
      <c r="AH96" s="330"/>
      <c r="AI96" s="330"/>
      <c r="AJ96" s="330"/>
      <c r="AK96" s="330"/>
      <c r="AL96" s="330"/>
      <c r="AM96" s="330"/>
      <c r="AN96" s="330"/>
      <c r="AO96" s="330"/>
      <c r="AP96" s="330"/>
      <c r="AQ96" s="330"/>
      <c r="AR96" s="330"/>
      <c r="AS96" s="330"/>
    </row>
    <row r="97" spans="32:45" x14ac:dyDescent="0.2">
      <c r="AF97" s="330"/>
      <c r="AG97" s="330"/>
      <c r="AH97" s="330"/>
      <c r="AI97" s="330"/>
      <c r="AJ97" s="330"/>
      <c r="AK97" s="330"/>
      <c r="AL97" s="330"/>
      <c r="AM97" s="330"/>
      <c r="AN97" s="330"/>
      <c r="AO97" s="330"/>
      <c r="AP97" s="330"/>
      <c r="AQ97" s="330"/>
      <c r="AR97" s="330"/>
      <c r="AS97" s="330"/>
    </row>
    <row r="98" spans="32:45" x14ac:dyDescent="0.2">
      <c r="AF98" s="330"/>
      <c r="AG98" s="330"/>
      <c r="AH98" s="330"/>
      <c r="AI98" s="330"/>
      <c r="AJ98" s="330"/>
      <c r="AK98" s="330"/>
      <c r="AL98" s="330"/>
      <c r="AM98" s="330"/>
      <c r="AN98" s="330"/>
      <c r="AO98" s="330"/>
      <c r="AP98" s="330"/>
      <c r="AQ98" s="330"/>
      <c r="AR98" s="330"/>
      <c r="AS98" s="330"/>
    </row>
    <row r="99" spans="32:45" x14ac:dyDescent="0.2">
      <c r="AF99" s="330"/>
      <c r="AG99" s="330"/>
      <c r="AH99" s="330"/>
      <c r="AI99" s="330"/>
      <c r="AJ99" s="330"/>
      <c r="AK99" s="330"/>
      <c r="AL99" s="330"/>
      <c r="AM99" s="330"/>
      <c r="AN99" s="330"/>
      <c r="AO99" s="330"/>
      <c r="AP99" s="330"/>
      <c r="AQ99" s="330"/>
      <c r="AR99" s="330"/>
      <c r="AS99" s="330"/>
    </row>
    <row r="100" spans="32:45" x14ac:dyDescent="0.2">
      <c r="AF100" s="330"/>
      <c r="AG100" s="330"/>
      <c r="AH100" s="330"/>
      <c r="AI100" s="330"/>
      <c r="AJ100" s="330"/>
      <c r="AK100" s="330"/>
      <c r="AL100" s="330"/>
      <c r="AM100" s="330"/>
      <c r="AN100" s="330"/>
      <c r="AO100" s="330"/>
      <c r="AP100" s="330"/>
      <c r="AQ100" s="330"/>
      <c r="AR100" s="330"/>
      <c r="AS100" s="330"/>
    </row>
    <row r="101" spans="32:45" x14ac:dyDescent="0.2">
      <c r="AF101" s="330"/>
      <c r="AG101" s="330"/>
      <c r="AH101" s="330"/>
      <c r="AI101" s="330"/>
      <c r="AJ101" s="330"/>
      <c r="AK101" s="330"/>
      <c r="AL101" s="330"/>
      <c r="AM101" s="330"/>
      <c r="AN101" s="330"/>
      <c r="AO101" s="330"/>
      <c r="AP101" s="330"/>
      <c r="AQ101" s="330"/>
      <c r="AR101" s="330"/>
      <c r="AS101" s="330"/>
    </row>
    <row r="102" spans="32:45" x14ac:dyDescent="0.2">
      <c r="AF102" s="330"/>
      <c r="AG102" s="330"/>
      <c r="AH102" s="330"/>
      <c r="AI102" s="330"/>
      <c r="AJ102" s="330"/>
      <c r="AK102" s="330"/>
      <c r="AL102" s="330"/>
      <c r="AM102" s="330"/>
      <c r="AN102" s="330"/>
      <c r="AO102" s="330"/>
      <c r="AP102" s="330"/>
      <c r="AQ102" s="330"/>
      <c r="AR102" s="330"/>
      <c r="AS102" s="330"/>
    </row>
    <row r="103" spans="32:45" x14ac:dyDescent="0.2">
      <c r="AF103" s="330"/>
      <c r="AG103" s="330"/>
      <c r="AH103" s="330"/>
      <c r="AI103" s="330"/>
      <c r="AJ103" s="330"/>
      <c r="AK103" s="330"/>
      <c r="AL103" s="330"/>
      <c r="AM103" s="330"/>
      <c r="AN103" s="330"/>
      <c r="AO103" s="330"/>
      <c r="AP103" s="330"/>
      <c r="AQ103" s="330"/>
      <c r="AR103" s="330"/>
      <c r="AS103" s="330"/>
    </row>
    <row r="104" spans="32:45" x14ac:dyDescent="0.2">
      <c r="AF104" s="330"/>
      <c r="AG104" s="330"/>
      <c r="AH104" s="330"/>
      <c r="AI104" s="330"/>
      <c r="AJ104" s="330"/>
      <c r="AK104" s="330"/>
      <c r="AL104" s="330"/>
      <c r="AM104" s="330"/>
      <c r="AN104" s="330"/>
      <c r="AO104" s="330"/>
      <c r="AP104" s="330"/>
      <c r="AQ104" s="330"/>
      <c r="AR104" s="330"/>
      <c r="AS104" s="330"/>
    </row>
    <row r="105" spans="32:45" x14ac:dyDescent="0.2">
      <c r="AF105" s="330"/>
      <c r="AG105" s="330"/>
      <c r="AH105" s="330"/>
      <c r="AI105" s="330"/>
      <c r="AJ105" s="330"/>
      <c r="AK105" s="330"/>
      <c r="AL105" s="330"/>
      <c r="AM105" s="330"/>
      <c r="AN105" s="330"/>
      <c r="AO105" s="330"/>
      <c r="AP105" s="330"/>
      <c r="AQ105" s="330"/>
      <c r="AR105" s="330"/>
      <c r="AS105" s="330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topLeftCell="A15" workbookViewId="0">
      <selection activeCell="E40" sqref="E40"/>
    </sheetView>
    <sheetView workbookViewId="1">
      <selection activeCell="E11" sqref="E11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2" width="10.42578125" style="32" bestFit="1" customWidth="1"/>
    <col min="13" max="13" width="9.140625" style="32"/>
    <col min="14" max="14" width="12" style="32" bestFit="1" customWidth="1"/>
    <col min="15" max="21" width="9.140625" style="32"/>
    <col min="22" max="22" width="10.7109375" style="32" bestFit="1" customWidth="1"/>
    <col min="23" max="16384" width="9.14062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19</v>
      </c>
      <c r="C2" s="14"/>
      <c r="D2" s="38" t="s">
        <v>20</v>
      </c>
      <c r="E2" s="4"/>
      <c r="F2" s="38" t="s">
        <v>28</v>
      </c>
      <c r="G2" s="4"/>
      <c r="J2" s="4"/>
      <c r="K2" s="4"/>
      <c r="L2" s="38"/>
      <c r="M2" s="4"/>
    </row>
    <row r="3" spans="1:14" x14ac:dyDescent="0.2">
      <c r="A3" s="39" t="s">
        <v>12</v>
      </c>
      <c r="B3" s="6" t="s">
        <v>21</v>
      </c>
      <c r="C3" s="40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33295</v>
      </c>
      <c r="C4" s="11">
        <v>17825</v>
      </c>
      <c r="D4" s="11"/>
      <c r="E4" s="11">
        <v>14579</v>
      </c>
      <c r="F4" s="11"/>
      <c r="G4" s="11"/>
      <c r="H4" s="11">
        <f>+G4-F4+D4-E4+B4-C4</f>
        <v>891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35755</v>
      </c>
      <c r="C5" s="11">
        <v>-187</v>
      </c>
      <c r="D5" s="11"/>
      <c r="E5" s="11">
        <v>35000</v>
      </c>
      <c r="F5" s="11"/>
      <c r="G5" s="11"/>
      <c r="H5" s="11">
        <f t="shared" ref="H5:H34" si="0">+G5-F5+D5-E5+B5-C5</f>
        <v>942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4589</v>
      </c>
      <c r="C6" s="11">
        <v>-187</v>
      </c>
      <c r="D6" s="11"/>
      <c r="E6" s="11"/>
      <c r="F6" s="11"/>
      <c r="G6" s="11"/>
      <c r="H6" s="11">
        <f t="shared" si="0"/>
        <v>4776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v>42970</v>
      </c>
      <c r="C7" s="11">
        <v>-187</v>
      </c>
      <c r="D7" s="11"/>
      <c r="E7" s="11">
        <v>43232</v>
      </c>
      <c r="F7" s="11"/>
      <c r="G7" s="11"/>
      <c r="H7" s="11">
        <f t="shared" si="0"/>
        <v>-75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1">
        <v>419</v>
      </c>
      <c r="C8" s="11">
        <v>-187</v>
      </c>
      <c r="D8" s="11"/>
      <c r="E8" s="11">
        <v>61</v>
      </c>
      <c r="F8" s="11"/>
      <c r="G8" s="11"/>
      <c r="H8" s="11">
        <f t="shared" si="0"/>
        <v>545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/>
      <c r="C9" s="11">
        <v>14623</v>
      </c>
      <c r="D9" s="11"/>
      <c r="E9" s="11">
        <v>-5000</v>
      </c>
      <c r="F9" s="11"/>
      <c r="G9" s="11"/>
      <c r="H9" s="11">
        <f t="shared" si="0"/>
        <v>-9623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1">
        <v>36032</v>
      </c>
      <c r="C10" s="11">
        <v>18481</v>
      </c>
      <c r="D10" s="11"/>
      <c r="E10" s="11">
        <v>16742</v>
      </c>
      <c r="F10" s="11"/>
      <c r="G10" s="11"/>
      <c r="H10" s="11">
        <f t="shared" si="0"/>
        <v>809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>
        <v>29195</v>
      </c>
      <c r="C11" s="11">
        <v>20939</v>
      </c>
      <c r="D11" s="11"/>
      <c r="E11" s="11">
        <v>8000</v>
      </c>
      <c r="F11" s="11"/>
      <c r="G11" s="11"/>
      <c r="H11" s="11">
        <f t="shared" si="0"/>
        <v>256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>
        <v>435</v>
      </c>
      <c r="C12" s="11">
        <v>-187</v>
      </c>
      <c r="D12" s="11"/>
      <c r="E12" s="11"/>
      <c r="F12" s="11"/>
      <c r="G12" s="11"/>
      <c r="H12" s="11">
        <f t="shared" si="0"/>
        <v>622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/>
      <c r="C13" s="11">
        <v>-187</v>
      </c>
      <c r="D13" s="11"/>
      <c r="E13" s="11"/>
      <c r="F13" s="11"/>
      <c r="G13" s="11"/>
      <c r="H13" s="11">
        <f t="shared" si="0"/>
        <v>187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/>
      <c r="C14" s="11">
        <v>-187</v>
      </c>
      <c r="D14" s="11">
        <v>5</v>
      </c>
      <c r="E14" s="11"/>
      <c r="F14" s="11"/>
      <c r="G14" s="11"/>
      <c r="H14" s="11">
        <f t="shared" si="0"/>
        <v>192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182690</v>
      </c>
      <c r="C35" s="44">
        <f t="shared" si="1"/>
        <v>70559</v>
      </c>
      <c r="D35" s="11">
        <f t="shared" si="1"/>
        <v>5</v>
      </c>
      <c r="E35" s="44">
        <f t="shared" si="1"/>
        <v>112614</v>
      </c>
      <c r="F35" s="11">
        <f t="shared" si="1"/>
        <v>0</v>
      </c>
      <c r="G35" s="11">
        <f t="shared" si="1"/>
        <v>0</v>
      </c>
      <c r="H35" s="11">
        <f t="shared" si="1"/>
        <v>-478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+summary!P13</f>
        <v>7.74</v>
      </c>
      <c r="I36" s="11"/>
      <c r="J36" s="102"/>
      <c r="K36" s="103"/>
      <c r="L36" s="11"/>
      <c r="M36" s="11"/>
      <c r="N36" s="11"/>
    </row>
    <row r="37" spans="1:14" x14ac:dyDescent="0.2">
      <c r="C37" s="14"/>
      <c r="D37" s="15"/>
      <c r="E37" s="15"/>
      <c r="F37" s="15"/>
      <c r="G37" s="15"/>
      <c r="H37" s="137">
        <f>+H36*H35</f>
        <v>-3699.7200000000003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8">
        <v>36860</v>
      </c>
      <c r="F38" s="47"/>
      <c r="G38" s="48"/>
      <c r="H38" s="379">
        <v>24376.68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36871</v>
      </c>
      <c r="F39" s="47"/>
      <c r="G39" s="47"/>
      <c r="H39" s="137">
        <f>+H38+H37</f>
        <v>20676.96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1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1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workbookViewId="0">
      <selection activeCell="E19" sqref="E19"/>
    </sheetView>
    <sheetView workbookViewId="1">
      <selection activeCell="C11" sqref="C11"/>
    </sheetView>
  </sheetViews>
  <sheetFormatPr defaultRowHeight="12.75" x14ac:dyDescent="0.2"/>
  <cols>
    <col min="1" max="1" width="6.7109375" customWidth="1"/>
    <col min="2" max="2" width="10.42578125" customWidth="1"/>
    <col min="3" max="3" width="9.42578125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45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38</v>
      </c>
      <c r="D3" s="59" t="s">
        <v>46</v>
      </c>
      <c r="E3" s="4"/>
      <c r="F3" s="59" t="s">
        <v>47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40</v>
      </c>
      <c r="AB3" s="121"/>
      <c r="AC3" s="24"/>
      <c r="AD3" s="24"/>
      <c r="AE3" s="24"/>
      <c r="AF3" s="32"/>
      <c r="AG3" s="122" t="s">
        <v>41</v>
      </c>
      <c r="AH3" s="121"/>
      <c r="AM3" s="2" t="s">
        <v>42</v>
      </c>
      <c r="AN3"/>
    </row>
    <row r="4" spans="1:47" x14ac:dyDescent="0.2">
      <c r="A4" s="5" t="s">
        <v>12</v>
      </c>
      <c r="B4" s="6" t="s">
        <v>21</v>
      </c>
      <c r="C4" s="6" t="s">
        <v>22</v>
      </c>
      <c r="D4" s="6" t="s">
        <v>21</v>
      </c>
      <c r="E4" s="6" t="s">
        <v>22</v>
      </c>
      <c r="F4" s="6" t="s">
        <v>21</v>
      </c>
      <c r="G4" s="6" t="s">
        <v>22</v>
      </c>
      <c r="H4" s="115" t="s">
        <v>48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285865</v>
      </c>
      <c r="E5" s="11">
        <v>284347</v>
      </c>
      <c r="F5" s="11"/>
      <c r="G5" s="11"/>
      <c r="H5" s="24">
        <f>+G5-F5+D5-E5+C5-B5</f>
        <v>1518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38</v>
      </c>
      <c r="AB5" s="24"/>
      <c r="AC5" s="24"/>
      <c r="AD5" s="58" t="s">
        <v>39</v>
      </c>
      <c r="AE5" s="58"/>
      <c r="AF5" s="4"/>
      <c r="AG5" s="2" t="s">
        <v>38</v>
      </c>
      <c r="AJ5" s="4" t="s">
        <v>39</v>
      </c>
      <c r="AK5" s="4"/>
      <c r="AL5" s="4"/>
      <c r="AM5" s="2" t="s">
        <v>38</v>
      </c>
      <c r="AO5" s="4" t="s">
        <v>39</v>
      </c>
      <c r="AP5" s="4"/>
    </row>
    <row r="6" spans="1:47" x14ac:dyDescent="0.2">
      <c r="A6" s="10">
        <v>2</v>
      </c>
      <c r="B6" s="11"/>
      <c r="C6" s="11"/>
      <c r="D6" s="11">
        <v>335549</v>
      </c>
      <c r="E6" s="11">
        <v>330187</v>
      </c>
      <c r="F6" s="11"/>
      <c r="G6" s="11"/>
      <c r="H6" s="24">
        <f t="shared" ref="H6:H35" si="0">+G6-F6+D6-E6+C6-B6</f>
        <v>5362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43</v>
      </c>
      <c r="AA6" s="40" t="s">
        <v>13</v>
      </c>
      <c r="AB6" s="40" t="s">
        <v>14</v>
      </c>
      <c r="AC6" s="40" t="s">
        <v>44</v>
      </c>
      <c r="AD6" s="40" t="s">
        <v>13</v>
      </c>
      <c r="AE6" s="40" t="s">
        <v>14</v>
      </c>
      <c r="AF6" s="6" t="s">
        <v>44</v>
      </c>
      <c r="AG6" s="6" t="s">
        <v>13</v>
      </c>
      <c r="AH6" s="40" t="s">
        <v>14</v>
      </c>
      <c r="AI6" s="6" t="s">
        <v>44</v>
      </c>
      <c r="AJ6" s="6" t="s">
        <v>13</v>
      </c>
      <c r="AK6" s="6" t="s">
        <v>14</v>
      </c>
      <c r="AL6" s="6" t="s">
        <v>44</v>
      </c>
      <c r="AM6" s="6" t="s">
        <v>13</v>
      </c>
      <c r="AN6" s="6" t="s">
        <v>14</v>
      </c>
      <c r="AO6" s="6" t="s">
        <v>13</v>
      </c>
      <c r="AP6" s="6" t="s">
        <v>14</v>
      </c>
    </row>
    <row r="7" spans="1:47" x14ac:dyDescent="0.2">
      <c r="A7" s="10">
        <v>3</v>
      </c>
      <c r="B7" s="11"/>
      <c r="C7" s="129"/>
      <c r="D7" s="129">
        <v>321780</v>
      </c>
      <c r="E7" s="368">
        <f>321777+3</f>
        <v>321780</v>
      </c>
      <c r="F7" s="11"/>
      <c r="G7" s="11"/>
      <c r="H7" s="24">
        <f t="shared" si="0"/>
        <v>0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>
        <v>36</v>
      </c>
      <c r="C8" s="129"/>
      <c r="D8" s="129">
        <v>315774</v>
      </c>
      <c r="E8" s="129">
        <f>312874+1</f>
        <v>312875</v>
      </c>
      <c r="F8" s="11"/>
      <c r="G8" s="11"/>
      <c r="H8" s="24">
        <f t="shared" si="0"/>
        <v>2863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308055</v>
      </c>
      <c r="E9" s="11">
        <f>305794+836</f>
        <v>306630</v>
      </c>
      <c r="F9" s="11"/>
      <c r="G9" s="11"/>
      <c r="H9" s="24">
        <f t="shared" si="0"/>
        <v>1425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300415</v>
      </c>
      <c r="E10" s="11">
        <f>297110+1264</f>
        <v>298374</v>
      </c>
      <c r="F10" s="11"/>
      <c r="G10" s="11"/>
      <c r="H10" s="24">
        <f t="shared" si="0"/>
        <v>2041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334956</v>
      </c>
      <c r="E11" s="11">
        <v>333511</v>
      </c>
      <c r="F11" s="11"/>
      <c r="G11" s="11"/>
      <c r="H11" s="24">
        <f t="shared" si="0"/>
        <v>1445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315249</v>
      </c>
      <c r="E12" s="11">
        <f>310237+2158</f>
        <v>312395</v>
      </c>
      <c r="F12" s="11"/>
      <c r="G12" s="11"/>
      <c r="H12" s="24">
        <f t="shared" si="0"/>
        <v>2854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308076</v>
      </c>
      <c r="E13" s="11">
        <v>297153</v>
      </c>
      <c r="F13" s="11"/>
      <c r="G13" s="11"/>
      <c r="H13" s="24">
        <f t="shared" si="0"/>
        <v>10923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304655</v>
      </c>
      <c r="E14" s="11">
        <f>301352+1079</f>
        <v>302431</v>
      </c>
      <c r="F14" s="11"/>
      <c r="G14" s="11"/>
      <c r="H14" s="24">
        <f t="shared" si="0"/>
        <v>2224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272083</v>
      </c>
      <c r="E15" s="11">
        <v>276791</v>
      </c>
      <c r="F15" s="11"/>
      <c r="G15" s="11"/>
      <c r="H15" s="24">
        <f t="shared" si="0"/>
        <v>-4708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36</v>
      </c>
      <c r="C36" s="11">
        <f t="shared" si="15"/>
        <v>0</v>
      </c>
      <c r="D36" s="11">
        <f t="shared" si="15"/>
        <v>3402457</v>
      </c>
      <c r="E36" s="11">
        <f t="shared" si="15"/>
        <v>3376474</v>
      </c>
      <c r="F36" s="11">
        <f t="shared" si="15"/>
        <v>0</v>
      </c>
      <c r="G36" s="11">
        <f t="shared" si="15"/>
        <v>0</v>
      </c>
      <c r="H36" s="11">
        <f t="shared" si="15"/>
        <v>25947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A37" s="57">
        <v>36860</v>
      </c>
      <c r="B37" s="2" t="s">
        <v>49</v>
      </c>
      <c r="C37" s="376">
        <v>-7085</v>
      </c>
      <c r="D37" s="361"/>
      <c r="E37" s="363">
        <v>217223</v>
      </c>
      <c r="F37" s="24"/>
      <c r="G37" s="24"/>
      <c r="H37" s="24">
        <f>+E37+C37</f>
        <v>210138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36871</v>
      </c>
      <c r="B38" s="2" t="s">
        <v>49</v>
      </c>
      <c r="C38" s="131">
        <f>+C37+C36-B36</f>
        <v>-7121</v>
      </c>
      <c r="D38" s="262"/>
      <c r="E38" s="131">
        <f>+E37+D36-E36</f>
        <v>243206</v>
      </c>
      <c r="F38" s="262"/>
      <c r="G38" s="131"/>
      <c r="H38" s="131">
        <f>+H37+H36</f>
        <v>236085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26"/>
      <c r="D39" s="252"/>
      <c r="E39" s="252"/>
      <c r="F39" s="256"/>
      <c r="G39" s="252"/>
      <c r="H39" s="263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H40" s="393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84"/>
      <c r="E42" s="4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5"/>
      <c r="B43" s="6"/>
      <c r="C43" s="6"/>
      <c r="D43" s="6"/>
      <c r="E43" s="289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10"/>
      <c r="B44" s="11"/>
      <c r="C44" s="11"/>
      <c r="D44" s="11"/>
      <c r="E44" s="280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10"/>
      <c r="B45" s="11"/>
      <c r="C45" s="11"/>
      <c r="D45" s="11"/>
      <c r="E45" s="280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10"/>
      <c r="B46" s="11"/>
      <c r="C46" s="11"/>
      <c r="D46" s="11"/>
      <c r="E46" s="280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11"/>
      <c r="D47" s="11"/>
      <c r="E47" s="280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80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80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ageMargins left="0.5" right="0" top="0.5" bottom="0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topLeftCell="A26" workbookViewId="1">
      <selection activeCell="C42" sqref="C42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50</v>
      </c>
      <c r="E4" s="3"/>
      <c r="F4" s="1"/>
      <c r="I4" s="3"/>
      <c r="J4" s="1"/>
      <c r="M4" s="3"/>
      <c r="N4" s="1"/>
    </row>
    <row r="5" spans="1:16" x14ac:dyDescent="0.2">
      <c r="A5" s="5" t="s">
        <v>12</v>
      </c>
      <c r="B5" s="6" t="s">
        <v>21</v>
      </c>
      <c r="C5" s="6" t="s">
        <v>22</v>
      </c>
      <c r="D5" s="6" t="s">
        <v>48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93344</v>
      </c>
      <c r="C6" s="11">
        <v>93623</v>
      </c>
      <c r="D6" s="25">
        <f>+C6-B6</f>
        <v>279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90757</v>
      </c>
      <c r="C7" s="11">
        <v>82485</v>
      </c>
      <c r="D7" s="25">
        <f>+C7-B7</f>
        <v>-8272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79881</v>
      </c>
      <c r="C8" s="11">
        <v>83564</v>
      </c>
      <c r="D8" s="25">
        <f t="shared" ref="D8:D36" si="0">+C8-B8</f>
        <v>3683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86932</v>
      </c>
      <c r="C9" s="11">
        <v>85573</v>
      </c>
      <c r="D9" s="25">
        <f t="shared" si="0"/>
        <v>-1359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91421</v>
      </c>
      <c r="C10" s="11">
        <v>89951</v>
      </c>
      <c r="D10" s="25">
        <f t="shared" si="0"/>
        <v>-1470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>
        <v>93012</v>
      </c>
      <c r="C11" s="11">
        <v>90323</v>
      </c>
      <c r="D11" s="25">
        <f t="shared" si="0"/>
        <v>-2689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>
        <v>112781</v>
      </c>
      <c r="C12" s="11">
        <v>112264</v>
      </c>
      <c r="D12" s="25">
        <f t="shared" si="0"/>
        <v>-517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>
        <v>107002</v>
      </c>
      <c r="C13" s="11">
        <v>105320</v>
      </c>
      <c r="D13" s="25">
        <f t="shared" si="0"/>
        <v>-1682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>
        <v>103512</v>
      </c>
      <c r="C14" s="11">
        <v>98386</v>
      </c>
      <c r="D14" s="25">
        <f t="shared" si="0"/>
        <v>-5126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>
        <v>106623</v>
      </c>
      <c r="C15" s="11">
        <v>104979</v>
      </c>
      <c r="D15" s="25">
        <f t="shared" si="0"/>
        <v>-1644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>
        <v>95291</v>
      </c>
      <c r="C16" s="11">
        <v>93974</v>
      </c>
      <c r="D16" s="25">
        <f t="shared" si="0"/>
        <v>-1317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/>
      <c r="C17" s="11"/>
      <c r="D17" s="25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1060556</v>
      </c>
      <c r="C37" s="11">
        <f>SUM(C6:C36)</f>
        <v>1040442</v>
      </c>
      <c r="D37" s="11">
        <f>SUM(D6:D36)</f>
        <v>-20114</v>
      </c>
      <c r="E37" s="10"/>
      <c r="F37" s="11"/>
      <c r="G37" s="11"/>
      <c r="H37" s="129"/>
      <c r="I37" s="274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2"/>
      <c r="I38" s="275"/>
      <c r="J38" s="252"/>
      <c r="K38" s="276"/>
      <c r="L38" s="252"/>
      <c r="M38" s="26"/>
      <c r="O38" s="14"/>
    </row>
    <row r="39" spans="1:16" x14ac:dyDescent="0.2">
      <c r="A39" s="57">
        <v>36860</v>
      </c>
      <c r="C39" s="15"/>
      <c r="D39" s="244">
        <v>-15891</v>
      </c>
      <c r="E39" s="57"/>
      <c r="G39" s="15"/>
      <c r="H39" s="51"/>
      <c r="I39" s="277"/>
      <c r="J39" s="252"/>
      <c r="K39" s="278"/>
      <c r="L39" s="51"/>
      <c r="M39" s="57"/>
      <c r="O39" s="15"/>
      <c r="P39" s="24"/>
    </row>
    <row r="40" spans="1:16" x14ac:dyDescent="0.2">
      <c r="A40" s="57">
        <v>36871</v>
      </c>
      <c r="C40" s="48"/>
      <c r="D40" s="25">
        <f>+D39+D37</f>
        <v>-36005</v>
      </c>
      <c r="E40" s="57"/>
      <c r="G40" s="48"/>
      <c r="H40" s="131"/>
      <c r="I40" s="277"/>
      <c r="J40" s="252"/>
      <c r="K40" s="279"/>
      <c r="L40" s="131"/>
      <c r="M40" s="57"/>
      <c r="O40" s="48"/>
      <c r="P40" s="130"/>
    </row>
    <row r="41" spans="1:16" x14ac:dyDescent="0.2">
      <c r="C41" s="47"/>
      <c r="H41" s="252"/>
      <c r="I41" s="252"/>
      <c r="J41" s="252"/>
      <c r="K41" s="252"/>
      <c r="L41" s="252"/>
    </row>
    <row r="42" spans="1:16" x14ac:dyDescent="0.2">
      <c r="A42" s="57"/>
      <c r="C42" s="50"/>
      <c r="D42" s="25"/>
      <c r="H42" s="252"/>
      <c r="I42" s="252"/>
      <c r="J42" s="252"/>
      <c r="K42" s="252"/>
      <c r="L42" s="252"/>
    </row>
    <row r="43" spans="1:16" x14ac:dyDescent="0.2">
      <c r="A43" s="57"/>
      <c r="C43" s="50"/>
      <c r="H43" s="252"/>
      <c r="I43" s="252"/>
      <c r="J43" s="252"/>
      <c r="K43" s="252"/>
      <c r="L43" s="252"/>
    </row>
    <row r="44" spans="1:16" x14ac:dyDescent="0.2">
      <c r="H44" s="252"/>
      <c r="I44" s="252"/>
      <c r="J44" s="252"/>
      <c r="K44" s="252"/>
      <c r="L44" s="2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7"/>
  <sheetViews>
    <sheetView topLeftCell="A26" workbookViewId="0">
      <selection activeCell="C46" sqref="C46"/>
    </sheetView>
    <sheetView workbookViewId="1">
      <selection activeCell="C19" sqref="C19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4" width="13.42578125" style="34" customWidth="1"/>
    <col min="5" max="5" width="14" style="113" customWidth="1"/>
    <col min="6" max="6" width="11.7109375" style="113" customWidth="1"/>
    <col min="7" max="7" width="11.85546875" style="34" customWidth="1"/>
    <col min="8" max="8" width="10.28515625" style="34" customWidth="1"/>
    <col min="9" max="9" width="13.28515625" style="34" bestFit="1" customWidth="1"/>
    <col min="10" max="12" width="9.140625" style="34"/>
    <col min="13" max="13" width="10.140625" style="34" bestFit="1" customWidth="1"/>
    <col min="14" max="41" width="9.140625" style="34"/>
    <col min="42" max="42" width="11.7109375" style="34" bestFit="1" customWidth="1"/>
    <col min="43" max="45" width="9.140625" style="34"/>
    <col min="46" max="46" width="9.85546875" style="34" bestFit="1" customWidth="1"/>
    <col min="47" max="16384" width="9.140625" style="34"/>
  </cols>
  <sheetData>
    <row r="1" spans="1:46" x14ac:dyDescent="0.2">
      <c r="E1" s="34"/>
      <c r="G1" s="113"/>
    </row>
    <row r="2" spans="1:46" x14ac:dyDescent="0.2">
      <c r="A2" s="38" t="s">
        <v>53</v>
      </c>
      <c r="B2" s="24"/>
      <c r="C2" s="121"/>
      <c r="D2" s="2"/>
      <c r="E2" s="2"/>
      <c r="F2" s="38"/>
      <c r="G2" s="24"/>
      <c r="H2" s="24"/>
      <c r="I2" s="2"/>
      <c r="K2" s="38"/>
      <c r="L2" s="24"/>
      <c r="M2" s="24"/>
      <c r="N2" s="2"/>
      <c r="O2" s="38"/>
      <c r="P2" s="24"/>
      <c r="Q2" s="24"/>
      <c r="R2" s="2"/>
    </row>
    <row r="3" spans="1:46" x14ac:dyDescent="0.2">
      <c r="A3" s="12"/>
      <c r="B3" s="24"/>
      <c r="C3" s="121"/>
      <c r="D3" s="2"/>
      <c r="E3" s="2"/>
      <c r="F3" s="12"/>
      <c r="G3" s="24"/>
      <c r="H3" s="24"/>
      <c r="I3" s="2"/>
      <c r="K3" s="12"/>
      <c r="L3" s="24"/>
      <c r="M3" s="24"/>
      <c r="N3" s="2"/>
      <c r="O3" s="12"/>
      <c r="P3" s="24"/>
      <c r="Q3" s="24"/>
      <c r="R3" s="2"/>
    </row>
    <row r="4" spans="1:46" x14ac:dyDescent="0.2">
      <c r="A4" s="101"/>
      <c r="B4" s="141">
        <v>500538</v>
      </c>
      <c r="C4" s="24"/>
      <c r="D4" s="2"/>
      <c r="E4" s="2"/>
      <c r="F4" s="101"/>
      <c r="G4" s="24"/>
      <c r="H4" s="24"/>
      <c r="I4" s="2"/>
      <c r="K4" s="101"/>
      <c r="L4" s="24"/>
      <c r="M4" s="24"/>
      <c r="N4" s="2"/>
      <c r="O4" s="101"/>
      <c r="P4" s="24"/>
      <c r="Q4" s="24"/>
      <c r="R4" s="2"/>
      <c r="S4" s="101"/>
      <c r="T4" s="141"/>
      <c r="U4" s="24"/>
      <c r="V4" s="2"/>
      <c r="W4" s="101"/>
      <c r="X4" s="141"/>
      <c r="Y4" s="24"/>
      <c r="Z4" s="2"/>
      <c r="AA4" s="101"/>
      <c r="AB4" s="141">
        <v>500538</v>
      </c>
      <c r="AC4" s="24"/>
      <c r="AD4" s="2"/>
      <c r="AE4" s="101">
        <v>36495</v>
      </c>
      <c r="AF4" s="141">
        <v>500538</v>
      </c>
      <c r="AG4" s="24"/>
      <c r="AH4" s="2"/>
      <c r="AI4" s="101">
        <v>36526</v>
      </c>
      <c r="AJ4" s="141">
        <v>500538</v>
      </c>
      <c r="AK4" s="24"/>
      <c r="AL4" s="2"/>
      <c r="AM4" s="101">
        <v>36557</v>
      </c>
      <c r="AN4" s="141">
        <v>500538</v>
      </c>
      <c r="AO4" s="24"/>
      <c r="AP4" s="2"/>
      <c r="AQ4" s="101">
        <v>36586</v>
      </c>
      <c r="AR4" s="141">
        <v>500538</v>
      </c>
      <c r="AS4" s="24"/>
      <c r="AT4" s="2"/>
    </row>
    <row r="5" spans="1:46" x14ac:dyDescent="0.2">
      <c r="A5" s="12"/>
      <c r="B5" s="58"/>
      <c r="C5" s="58"/>
      <c r="D5" s="4" t="s">
        <v>54</v>
      </c>
      <c r="E5" s="4"/>
      <c r="F5" s="12"/>
      <c r="G5" s="58"/>
      <c r="H5" s="58"/>
      <c r="I5" s="12"/>
      <c r="J5" s="142"/>
      <c r="K5" s="12"/>
      <c r="L5" s="58"/>
      <c r="M5" s="58"/>
      <c r="N5" s="12"/>
      <c r="O5" s="12"/>
      <c r="P5" s="58"/>
      <c r="Q5" s="58"/>
      <c r="R5" s="12"/>
      <c r="S5" s="12"/>
      <c r="T5" s="58"/>
      <c r="U5" s="58"/>
      <c r="V5" s="12"/>
      <c r="W5" s="12"/>
      <c r="X5" s="58"/>
      <c r="Y5" s="58"/>
      <c r="Z5" s="12"/>
      <c r="AA5" s="12"/>
      <c r="AB5" s="58"/>
      <c r="AC5" s="58" t="s">
        <v>54</v>
      </c>
      <c r="AD5" s="12"/>
      <c r="AE5" s="12"/>
      <c r="AF5" s="58"/>
      <c r="AG5" s="58" t="s">
        <v>54</v>
      </c>
      <c r="AH5" s="12"/>
      <c r="AI5" s="12"/>
      <c r="AJ5" s="58"/>
      <c r="AK5" s="58" t="s">
        <v>54</v>
      </c>
      <c r="AL5" s="12"/>
      <c r="AM5" s="12"/>
      <c r="AN5" s="58"/>
      <c r="AO5" s="58" t="s">
        <v>54</v>
      </c>
      <c r="AP5" s="12"/>
      <c r="AQ5" s="12"/>
      <c r="AR5" s="58"/>
      <c r="AS5" s="58" t="s">
        <v>54</v>
      </c>
      <c r="AT5" s="12"/>
    </row>
    <row r="6" spans="1:46" x14ac:dyDescent="0.2">
      <c r="B6" s="40" t="s">
        <v>21</v>
      </c>
      <c r="C6" s="40" t="s">
        <v>22</v>
      </c>
      <c r="D6" s="6" t="s">
        <v>16</v>
      </c>
      <c r="E6" s="39"/>
      <c r="F6" s="139"/>
      <c r="G6" s="287"/>
      <c r="H6" s="286"/>
      <c r="I6" s="6"/>
      <c r="J6" s="142"/>
      <c r="K6" s="139"/>
      <c r="L6" s="40"/>
      <c r="M6" s="40"/>
      <c r="N6" s="6"/>
      <c r="O6" s="139"/>
      <c r="P6" s="40"/>
      <c r="Q6" s="40"/>
      <c r="R6" s="6"/>
      <c r="S6" s="139"/>
      <c r="T6" s="40"/>
      <c r="U6" s="40"/>
      <c r="V6" s="6"/>
      <c r="W6" s="139"/>
      <c r="X6" s="40"/>
      <c r="Y6" s="40"/>
      <c r="Z6" s="6"/>
      <c r="AA6" s="139"/>
      <c r="AB6" s="40" t="s">
        <v>13</v>
      </c>
      <c r="AC6" s="40" t="s">
        <v>14</v>
      </c>
      <c r="AD6" s="6" t="s">
        <v>16</v>
      </c>
      <c r="AE6" s="139"/>
      <c r="AF6" s="40" t="s">
        <v>13</v>
      </c>
      <c r="AG6" s="40" t="s">
        <v>14</v>
      </c>
      <c r="AH6" s="6" t="s">
        <v>16</v>
      </c>
      <c r="AI6" s="139"/>
      <c r="AJ6" s="40" t="s">
        <v>13</v>
      </c>
      <c r="AK6" s="40" t="s">
        <v>14</v>
      </c>
      <c r="AL6" s="6" t="s">
        <v>16</v>
      </c>
      <c r="AM6" s="139"/>
      <c r="AN6" s="40" t="s">
        <v>13</v>
      </c>
      <c r="AO6" s="40" t="s">
        <v>14</v>
      </c>
      <c r="AP6" s="6" t="s">
        <v>16</v>
      </c>
      <c r="AQ6" s="139"/>
      <c r="AR6" s="40" t="s">
        <v>13</v>
      </c>
      <c r="AS6" s="40" t="s">
        <v>14</v>
      </c>
      <c r="AT6" s="6" t="s">
        <v>16</v>
      </c>
    </row>
    <row r="7" spans="1:46" x14ac:dyDescent="0.2">
      <c r="B7" s="11"/>
      <c r="C7" s="11"/>
      <c r="D7" s="11"/>
      <c r="E7" s="143"/>
      <c r="F7" s="139"/>
      <c r="G7" s="280"/>
      <c r="H7" s="285"/>
      <c r="I7" s="11"/>
      <c r="J7" s="142"/>
      <c r="K7" s="139"/>
      <c r="L7" s="11"/>
      <c r="M7" s="11"/>
      <c r="N7" s="11"/>
      <c r="O7" s="139"/>
      <c r="P7" s="11"/>
      <c r="Q7" s="11"/>
      <c r="R7" s="11"/>
      <c r="S7" s="139"/>
      <c r="T7" s="11"/>
      <c r="U7" s="11"/>
      <c r="V7" s="11"/>
      <c r="W7" s="139"/>
      <c r="X7" s="11"/>
      <c r="Y7" s="11"/>
      <c r="Z7" s="11"/>
      <c r="AA7" s="139"/>
      <c r="AB7" s="11"/>
      <c r="AC7" s="11"/>
      <c r="AD7" s="11"/>
      <c r="AE7" s="139"/>
      <c r="AF7" s="11"/>
      <c r="AG7" s="11"/>
      <c r="AH7" s="11"/>
      <c r="AI7" s="139"/>
      <c r="AJ7" s="11"/>
      <c r="AK7" s="11"/>
      <c r="AL7" s="11"/>
      <c r="AM7" s="139"/>
      <c r="AN7" s="11"/>
      <c r="AO7" s="11"/>
      <c r="AP7" s="11"/>
      <c r="AQ7" s="139"/>
      <c r="AR7" s="11"/>
      <c r="AS7" s="11"/>
      <c r="AT7" s="11"/>
    </row>
    <row r="8" spans="1:46" x14ac:dyDescent="0.2">
      <c r="A8" s="139">
        <v>1</v>
      </c>
      <c r="B8" s="11">
        <v>156863</v>
      </c>
      <c r="C8" s="11">
        <v>153458</v>
      </c>
      <c r="D8" s="11">
        <f t="shared" ref="D8:D38" si="0">+C8-B8</f>
        <v>-3405</v>
      </c>
      <c r="E8" s="143"/>
      <c r="F8" s="139"/>
      <c r="G8" s="280"/>
      <c r="H8" s="285"/>
      <c r="I8" s="11"/>
      <c r="J8" s="142"/>
      <c r="K8" s="139"/>
      <c r="L8" s="11"/>
      <c r="M8" s="11"/>
      <c r="N8" s="11"/>
      <c r="O8" s="139"/>
      <c r="P8" s="11"/>
      <c r="Q8" s="11"/>
      <c r="R8" s="11"/>
      <c r="S8" s="139"/>
      <c r="T8" s="11"/>
      <c r="U8" s="11"/>
      <c r="V8" s="11"/>
      <c r="W8" s="139"/>
      <c r="X8" s="11"/>
      <c r="Y8" s="11"/>
      <c r="Z8" s="11"/>
      <c r="AA8" s="139"/>
      <c r="AB8" s="11">
        <v>90127</v>
      </c>
      <c r="AC8" s="11">
        <v>82104</v>
      </c>
      <c r="AD8" s="11">
        <f t="shared" ref="AD8:AD38" si="1">+AC8-AB8</f>
        <v>-8023</v>
      </c>
      <c r="AE8" s="139">
        <v>1</v>
      </c>
      <c r="AF8" s="11">
        <v>85280</v>
      </c>
      <c r="AG8" s="11">
        <v>90048</v>
      </c>
      <c r="AH8" s="11">
        <f t="shared" ref="AH8:AH38" si="2">+AG8-AF8</f>
        <v>4768</v>
      </c>
      <c r="AI8" s="139">
        <v>1</v>
      </c>
      <c r="AJ8" s="11">
        <v>129902</v>
      </c>
      <c r="AK8" s="11">
        <v>129590</v>
      </c>
      <c r="AL8" s="11">
        <f t="shared" ref="AL8:AL38" si="3">+AK8-AJ8</f>
        <v>-312</v>
      </c>
      <c r="AM8" s="139">
        <v>1</v>
      </c>
      <c r="AN8" s="11">
        <v>172290</v>
      </c>
      <c r="AO8" s="11">
        <v>178308</v>
      </c>
      <c r="AP8" s="11">
        <f t="shared" ref="AP8:AP38" si="4">+AO8-AN8</f>
        <v>6018</v>
      </c>
      <c r="AQ8" s="139">
        <v>1</v>
      </c>
      <c r="AR8" s="11">
        <v>167385</v>
      </c>
      <c r="AS8" s="11">
        <v>169213</v>
      </c>
      <c r="AT8" s="11">
        <f t="shared" ref="AT8:AT38" si="5">+AS8-AR8</f>
        <v>1828</v>
      </c>
    </row>
    <row r="9" spans="1:46" x14ac:dyDescent="0.2">
      <c r="A9" s="139">
        <v>2</v>
      </c>
      <c r="B9" s="11">
        <v>156290</v>
      </c>
      <c r="C9" s="11">
        <v>156639</v>
      </c>
      <c r="D9" s="11">
        <f t="shared" si="0"/>
        <v>349</v>
      </c>
      <c r="E9" s="143"/>
      <c r="F9" s="139"/>
      <c r="G9" s="280"/>
      <c r="H9" s="285"/>
      <c r="I9" s="11"/>
      <c r="J9" s="142"/>
      <c r="K9" s="139"/>
      <c r="L9" s="11"/>
      <c r="M9" s="11"/>
      <c r="N9" s="11"/>
      <c r="O9" s="139"/>
      <c r="P9" s="11"/>
      <c r="Q9" s="11"/>
      <c r="R9" s="11"/>
      <c r="S9" s="139"/>
      <c r="T9" s="11"/>
      <c r="U9" s="11"/>
      <c r="V9" s="11"/>
      <c r="W9" s="139"/>
      <c r="X9" s="11"/>
      <c r="Y9" s="11"/>
      <c r="Z9" s="11"/>
      <c r="AA9" s="139"/>
      <c r="AB9" s="11">
        <v>82193</v>
      </c>
      <c r="AC9" s="11">
        <v>85058</v>
      </c>
      <c r="AD9" s="11">
        <f t="shared" si="1"/>
        <v>2865</v>
      </c>
      <c r="AE9" s="139">
        <v>2</v>
      </c>
      <c r="AF9" s="11">
        <v>85760</v>
      </c>
      <c r="AG9" s="11">
        <v>85437</v>
      </c>
      <c r="AH9" s="11">
        <f t="shared" si="2"/>
        <v>-323</v>
      </c>
      <c r="AI9" s="139">
        <v>2</v>
      </c>
      <c r="AJ9" s="11">
        <v>128605</v>
      </c>
      <c r="AK9" s="11">
        <v>131126</v>
      </c>
      <c r="AL9" s="11">
        <f t="shared" si="3"/>
        <v>2521</v>
      </c>
      <c r="AM9" s="139">
        <v>2</v>
      </c>
      <c r="AN9" s="11">
        <v>175368</v>
      </c>
      <c r="AO9" s="11">
        <v>183908</v>
      </c>
      <c r="AP9" s="11">
        <f t="shared" si="4"/>
        <v>8540</v>
      </c>
      <c r="AQ9" s="139">
        <v>2</v>
      </c>
      <c r="AR9" s="11">
        <v>170184</v>
      </c>
      <c r="AS9" s="11">
        <v>169526</v>
      </c>
      <c r="AT9" s="11">
        <f t="shared" si="5"/>
        <v>-658</v>
      </c>
    </row>
    <row r="10" spans="1:46" x14ac:dyDescent="0.2">
      <c r="A10" s="139">
        <v>3</v>
      </c>
      <c r="B10" s="11">
        <v>156408</v>
      </c>
      <c r="C10" s="11">
        <v>152895</v>
      </c>
      <c r="D10" s="11">
        <f t="shared" si="0"/>
        <v>-3513</v>
      </c>
      <c r="E10" s="143"/>
      <c r="F10" s="139"/>
      <c r="G10" s="280"/>
      <c r="H10" s="285"/>
      <c r="I10" s="11"/>
      <c r="J10" s="142"/>
      <c r="K10" s="139"/>
      <c r="L10" s="11"/>
      <c r="M10" s="11"/>
      <c r="N10" s="11"/>
      <c r="O10" s="139"/>
      <c r="P10" s="11"/>
      <c r="Q10" s="11"/>
      <c r="R10" s="11"/>
      <c r="S10" s="139"/>
      <c r="T10" s="11"/>
      <c r="U10" s="11"/>
      <c r="V10" s="11"/>
      <c r="W10" s="139"/>
      <c r="X10" s="11"/>
      <c r="Y10" s="11"/>
      <c r="Z10" s="11"/>
      <c r="AA10" s="139"/>
      <c r="AB10" s="11">
        <v>77703</v>
      </c>
      <c r="AC10" s="11">
        <v>79135</v>
      </c>
      <c r="AD10" s="11">
        <f t="shared" si="1"/>
        <v>1432</v>
      </c>
      <c r="AE10" s="139">
        <v>3</v>
      </c>
      <c r="AF10" s="11">
        <v>101183</v>
      </c>
      <c r="AG10" s="11">
        <v>103385</v>
      </c>
      <c r="AH10" s="11">
        <f t="shared" si="2"/>
        <v>2202</v>
      </c>
      <c r="AI10" s="139">
        <v>3</v>
      </c>
      <c r="AJ10" s="11">
        <v>118612</v>
      </c>
      <c r="AK10" s="11">
        <v>121101</v>
      </c>
      <c r="AL10" s="11">
        <f t="shared" si="3"/>
        <v>2489</v>
      </c>
      <c r="AM10" s="139">
        <v>3</v>
      </c>
      <c r="AN10" s="11">
        <v>173456</v>
      </c>
      <c r="AO10" s="11">
        <v>173309</v>
      </c>
      <c r="AP10" s="11">
        <f t="shared" si="4"/>
        <v>-147</v>
      </c>
      <c r="AQ10" s="139">
        <v>3</v>
      </c>
      <c r="AR10" s="11">
        <v>169674</v>
      </c>
      <c r="AS10" s="11">
        <v>169203</v>
      </c>
      <c r="AT10" s="11">
        <f t="shared" si="5"/>
        <v>-471</v>
      </c>
    </row>
    <row r="11" spans="1:46" x14ac:dyDescent="0.2">
      <c r="A11" s="139">
        <v>4</v>
      </c>
      <c r="B11" s="11">
        <v>151330</v>
      </c>
      <c r="C11" s="11">
        <v>152322</v>
      </c>
      <c r="D11" s="11">
        <f t="shared" si="0"/>
        <v>992</v>
      </c>
      <c r="E11" s="143"/>
      <c r="F11" s="139"/>
      <c r="G11" s="288"/>
      <c r="H11" s="285"/>
      <c r="I11" s="11"/>
      <c r="J11" s="142"/>
      <c r="K11" s="139"/>
      <c r="L11" s="11"/>
      <c r="M11" s="11"/>
      <c r="N11" s="11"/>
      <c r="O11" s="139"/>
      <c r="P11" s="11"/>
      <c r="Q11" s="11"/>
      <c r="R11" s="11"/>
      <c r="S11" s="139"/>
      <c r="T11" s="11"/>
      <c r="U11" s="11"/>
      <c r="V11" s="11"/>
      <c r="W11" s="139"/>
      <c r="X11" s="11"/>
      <c r="Y11" s="11"/>
      <c r="Z11" s="11"/>
      <c r="AA11" s="139"/>
      <c r="AB11" s="11">
        <v>83833</v>
      </c>
      <c r="AC11" s="11">
        <v>84350</v>
      </c>
      <c r="AD11" s="11">
        <f t="shared" si="1"/>
        <v>517</v>
      </c>
      <c r="AE11" s="139">
        <v>4</v>
      </c>
      <c r="AF11" s="11">
        <v>109515</v>
      </c>
      <c r="AG11" s="11">
        <v>109943</v>
      </c>
      <c r="AH11" s="11">
        <f t="shared" si="2"/>
        <v>428</v>
      </c>
      <c r="AI11" s="139">
        <v>4</v>
      </c>
      <c r="AJ11" s="11">
        <v>114483</v>
      </c>
      <c r="AK11" s="11">
        <v>119711</v>
      </c>
      <c r="AL11" s="11">
        <f t="shared" si="3"/>
        <v>5228</v>
      </c>
      <c r="AM11" s="139">
        <v>4</v>
      </c>
      <c r="AN11" s="11">
        <v>171128</v>
      </c>
      <c r="AO11" s="11">
        <v>174677</v>
      </c>
      <c r="AP11" s="11">
        <f t="shared" si="4"/>
        <v>3549</v>
      </c>
      <c r="AQ11" s="139">
        <v>4</v>
      </c>
      <c r="AR11" s="11">
        <v>168897</v>
      </c>
      <c r="AS11" s="11">
        <v>175969</v>
      </c>
      <c r="AT11" s="11">
        <f t="shared" si="5"/>
        <v>7072</v>
      </c>
    </row>
    <row r="12" spans="1:46" x14ac:dyDescent="0.2">
      <c r="A12" s="139">
        <v>5</v>
      </c>
      <c r="B12" s="11">
        <v>152209</v>
      </c>
      <c r="C12" s="11">
        <v>152755</v>
      </c>
      <c r="D12" s="11">
        <f t="shared" si="0"/>
        <v>546</v>
      </c>
      <c r="E12" s="143"/>
      <c r="F12" s="139"/>
      <c r="G12" s="285"/>
      <c r="H12" s="11"/>
      <c r="I12" s="11"/>
      <c r="J12" s="142"/>
      <c r="K12" s="139"/>
      <c r="L12" s="11"/>
      <c r="M12" s="11"/>
      <c r="N12" s="11"/>
      <c r="O12" s="139"/>
      <c r="P12" s="11"/>
      <c r="Q12" s="11"/>
      <c r="R12" s="11"/>
      <c r="S12" s="139"/>
      <c r="T12" s="11"/>
      <c r="U12" s="11"/>
      <c r="V12" s="11"/>
      <c r="W12" s="139"/>
      <c r="X12" s="11"/>
      <c r="Y12" s="11"/>
      <c r="Z12" s="11"/>
      <c r="AA12" s="139"/>
      <c r="AB12" s="11">
        <v>87296</v>
      </c>
      <c r="AC12" s="11">
        <v>90518</v>
      </c>
      <c r="AD12" s="11">
        <f t="shared" si="1"/>
        <v>3222</v>
      </c>
      <c r="AE12" s="139">
        <v>5</v>
      </c>
      <c r="AF12" s="11">
        <v>108361</v>
      </c>
      <c r="AG12" s="11">
        <v>108593</v>
      </c>
      <c r="AH12" s="11">
        <f t="shared" si="2"/>
        <v>232</v>
      </c>
      <c r="AI12" s="139">
        <v>5</v>
      </c>
      <c r="AJ12" s="11">
        <v>100931</v>
      </c>
      <c r="AK12" s="11">
        <v>123114</v>
      </c>
      <c r="AL12" s="11">
        <f t="shared" si="3"/>
        <v>22183</v>
      </c>
      <c r="AM12" s="139">
        <v>5</v>
      </c>
      <c r="AN12" s="11">
        <v>169630</v>
      </c>
      <c r="AO12" s="11">
        <v>166360</v>
      </c>
      <c r="AP12" s="11">
        <f t="shared" si="4"/>
        <v>-3270</v>
      </c>
      <c r="AQ12" s="139">
        <v>5</v>
      </c>
      <c r="AR12" s="11">
        <v>176704</v>
      </c>
      <c r="AS12" s="11">
        <v>173380</v>
      </c>
      <c r="AT12" s="11">
        <f t="shared" si="5"/>
        <v>-3324</v>
      </c>
    </row>
    <row r="13" spans="1:46" x14ac:dyDescent="0.2">
      <c r="A13" s="139">
        <v>6</v>
      </c>
      <c r="B13" s="11">
        <v>153616</v>
      </c>
      <c r="C13" s="11">
        <v>154781</v>
      </c>
      <c r="D13" s="11">
        <f t="shared" si="0"/>
        <v>1165</v>
      </c>
      <c r="E13" s="143"/>
      <c r="F13" s="139"/>
      <c r="G13" s="285"/>
      <c r="H13" s="285"/>
      <c r="I13" s="11"/>
      <c r="J13" s="142"/>
      <c r="K13" s="139"/>
      <c r="L13" s="11"/>
      <c r="M13" s="11"/>
      <c r="N13" s="11"/>
      <c r="O13" s="139"/>
      <c r="P13" s="11"/>
      <c r="Q13" s="11"/>
      <c r="R13" s="11"/>
      <c r="S13" s="139"/>
      <c r="T13" s="11"/>
      <c r="U13" s="11"/>
      <c r="V13" s="11"/>
      <c r="W13" s="139"/>
      <c r="X13" s="11"/>
      <c r="Y13" s="11"/>
      <c r="Z13" s="11"/>
      <c r="AA13" s="139"/>
      <c r="AB13" s="11">
        <v>105367</v>
      </c>
      <c r="AC13" s="11">
        <v>105940</v>
      </c>
      <c r="AD13" s="11">
        <f t="shared" si="1"/>
        <v>573</v>
      </c>
      <c r="AE13" s="139">
        <v>6</v>
      </c>
      <c r="AF13" s="11">
        <v>111639</v>
      </c>
      <c r="AG13" s="11">
        <v>115193</v>
      </c>
      <c r="AH13" s="11">
        <f t="shared" si="2"/>
        <v>3554</v>
      </c>
      <c r="AI13" s="139">
        <v>6</v>
      </c>
      <c r="AJ13" s="11">
        <v>109406</v>
      </c>
      <c r="AK13" s="11">
        <v>113090</v>
      </c>
      <c r="AL13" s="11">
        <f t="shared" si="3"/>
        <v>3684</v>
      </c>
      <c r="AM13" s="139">
        <v>6</v>
      </c>
      <c r="AN13" s="11">
        <v>167764</v>
      </c>
      <c r="AO13" s="11">
        <v>167719</v>
      </c>
      <c r="AP13" s="11">
        <f t="shared" si="4"/>
        <v>-45</v>
      </c>
      <c r="AQ13" s="139">
        <v>6</v>
      </c>
      <c r="AR13" s="11">
        <v>136216</v>
      </c>
      <c r="AS13" s="11">
        <v>176410</v>
      </c>
      <c r="AT13" s="11">
        <f t="shared" si="5"/>
        <v>40194</v>
      </c>
    </row>
    <row r="14" spans="1:46" x14ac:dyDescent="0.2">
      <c r="A14" s="139">
        <v>7</v>
      </c>
      <c r="B14" s="11">
        <v>149153</v>
      </c>
      <c r="C14" s="11">
        <v>149334</v>
      </c>
      <c r="D14" s="11">
        <f t="shared" si="0"/>
        <v>181</v>
      </c>
      <c r="E14" s="143"/>
      <c r="F14" s="139"/>
      <c r="G14" s="285"/>
      <c r="H14" s="11"/>
      <c r="I14" s="11"/>
      <c r="J14" s="142"/>
      <c r="K14" s="139"/>
      <c r="L14" s="11"/>
      <c r="M14" s="11"/>
      <c r="N14" s="11"/>
      <c r="O14" s="139"/>
      <c r="P14" s="11"/>
      <c r="Q14" s="11"/>
      <c r="R14" s="11"/>
      <c r="S14" s="139"/>
      <c r="T14" s="11"/>
      <c r="U14" s="11"/>
      <c r="V14" s="11"/>
      <c r="W14" s="139"/>
      <c r="X14" s="11"/>
      <c r="Y14" s="11"/>
      <c r="Z14" s="11"/>
      <c r="AA14" s="139"/>
      <c r="AB14" s="11">
        <v>101440</v>
      </c>
      <c r="AC14" s="11">
        <v>101940</v>
      </c>
      <c r="AD14" s="11">
        <f t="shared" si="1"/>
        <v>500</v>
      </c>
      <c r="AE14" s="139">
        <v>7</v>
      </c>
      <c r="AF14" s="11">
        <v>97086</v>
      </c>
      <c r="AG14" s="11">
        <v>98950</v>
      </c>
      <c r="AH14" s="11">
        <f t="shared" si="2"/>
        <v>1864</v>
      </c>
      <c r="AI14" s="139">
        <v>7</v>
      </c>
      <c r="AJ14" s="11">
        <v>127221</v>
      </c>
      <c r="AK14" s="11">
        <v>127625</v>
      </c>
      <c r="AL14" s="11">
        <f t="shared" si="3"/>
        <v>404</v>
      </c>
      <c r="AM14" s="139">
        <v>7</v>
      </c>
      <c r="AN14" s="11">
        <v>167835</v>
      </c>
      <c r="AO14" s="11">
        <v>167817</v>
      </c>
      <c r="AP14" s="11">
        <f t="shared" si="4"/>
        <v>-18</v>
      </c>
      <c r="AQ14" s="139">
        <v>7</v>
      </c>
      <c r="AR14" s="11">
        <v>175529</v>
      </c>
      <c r="AS14" s="11">
        <v>171185</v>
      </c>
      <c r="AT14" s="11">
        <f t="shared" si="5"/>
        <v>-4344</v>
      </c>
    </row>
    <row r="15" spans="1:46" x14ac:dyDescent="0.2">
      <c r="A15" s="139">
        <v>8</v>
      </c>
      <c r="B15" s="11">
        <v>155652</v>
      </c>
      <c r="C15" s="11">
        <v>156088</v>
      </c>
      <c r="D15" s="11">
        <f t="shared" si="0"/>
        <v>436</v>
      </c>
      <c r="E15" s="143"/>
      <c r="F15" s="139"/>
      <c r="G15" s="285"/>
      <c r="H15" s="11"/>
      <c r="I15" s="11"/>
      <c r="J15" s="142"/>
      <c r="K15" s="139"/>
      <c r="L15" s="11"/>
      <c r="M15" s="11"/>
      <c r="N15" s="11"/>
      <c r="O15" s="139"/>
      <c r="P15" s="11"/>
      <c r="Q15" s="11"/>
      <c r="R15" s="11"/>
      <c r="S15" s="139"/>
      <c r="T15" s="11"/>
      <c r="U15" s="11"/>
      <c r="V15" s="11"/>
      <c r="W15" s="139"/>
      <c r="X15" s="11"/>
      <c r="Y15" s="11"/>
      <c r="Z15" s="11"/>
      <c r="AA15" s="139"/>
      <c r="AB15" s="11">
        <v>98057</v>
      </c>
      <c r="AC15" s="11">
        <v>98304</v>
      </c>
      <c r="AD15" s="11">
        <f t="shared" si="1"/>
        <v>247</v>
      </c>
      <c r="AE15" s="139">
        <v>8</v>
      </c>
      <c r="AF15" s="11">
        <v>92901</v>
      </c>
      <c r="AG15" s="11">
        <v>108735</v>
      </c>
      <c r="AH15" s="11">
        <f t="shared" si="2"/>
        <v>15834</v>
      </c>
      <c r="AI15" s="139">
        <v>8</v>
      </c>
      <c r="AJ15" s="11">
        <v>114657</v>
      </c>
      <c r="AK15" s="11">
        <v>112594</v>
      </c>
      <c r="AL15" s="11">
        <f t="shared" si="3"/>
        <v>-2063</v>
      </c>
      <c r="AM15" s="139">
        <v>8</v>
      </c>
      <c r="AN15" s="11">
        <v>178511</v>
      </c>
      <c r="AO15" s="11">
        <v>180748</v>
      </c>
      <c r="AP15" s="11">
        <f t="shared" si="4"/>
        <v>2237</v>
      </c>
      <c r="AQ15" s="139">
        <v>8</v>
      </c>
      <c r="AR15" s="11">
        <v>170291</v>
      </c>
      <c r="AS15" s="11">
        <v>172851</v>
      </c>
      <c r="AT15" s="11">
        <f t="shared" si="5"/>
        <v>2560</v>
      </c>
    </row>
    <row r="16" spans="1:46" x14ac:dyDescent="0.2">
      <c r="A16" s="139">
        <v>9</v>
      </c>
      <c r="B16" s="11">
        <v>154144</v>
      </c>
      <c r="C16" s="11">
        <v>154714</v>
      </c>
      <c r="D16" s="11">
        <f t="shared" si="0"/>
        <v>570</v>
      </c>
      <c r="E16" s="143"/>
      <c r="F16" s="139"/>
      <c r="G16" s="285"/>
      <c r="H16" s="11"/>
      <c r="I16" s="11"/>
      <c r="J16" s="142"/>
      <c r="K16" s="139"/>
      <c r="L16" s="11"/>
      <c r="M16" s="11"/>
      <c r="N16" s="11"/>
      <c r="O16" s="139"/>
      <c r="P16" s="11"/>
      <c r="Q16" s="11"/>
      <c r="R16" s="11"/>
      <c r="S16" s="139"/>
      <c r="T16" s="11"/>
      <c r="U16" s="11"/>
      <c r="V16" s="11"/>
      <c r="W16" s="139"/>
      <c r="X16" s="11"/>
      <c r="Y16" s="11"/>
      <c r="Z16" s="11"/>
      <c r="AA16" s="139"/>
      <c r="AB16" s="11">
        <v>87213</v>
      </c>
      <c r="AC16" s="11">
        <v>94093</v>
      </c>
      <c r="AD16" s="11">
        <f t="shared" si="1"/>
        <v>6880</v>
      </c>
      <c r="AE16" s="139">
        <v>9</v>
      </c>
      <c r="AF16" s="11">
        <v>94766</v>
      </c>
      <c r="AG16" s="11">
        <v>105186</v>
      </c>
      <c r="AH16" s="11">
        <f t="shared" si="2"/>
        <v>10420</v>
      </c>
      <c r="AI16" s="139">
        <v>9</v>
      </c>
      <c r="AJ16" s="11">
        <v>114565</v>
      </c>
      <c r="AK16" s="11">
        <v>112594</v>
      </c>
      <c r="AL16" s="11">
        <f t="shared" si="3"/>
        <v>-1971</v>
      </c>
      <c r="AM16" s="139">
        <v>9</v>
      </c>
      <c r="AN16" s="11">
        <v>174336</v>
      </c>
      <c r="AO16" s="11">
        <f>170451+2791</f>
        <v>173242</v>
      </c>
      <c r="AP16" s="11">
        <f t="shared" si="4"/>
        <v>-1094</v>
      </c>
      <c r="AQ16" s="139">
        <v>9</v>
      </c>
      <c r="AR16" s="11">
        <v>153140</v>
      </c>
      <c r="AS16" s="11">
        <f>144546+5760</f>
        <v>150306</v>
      </c>
      <c r="AT16" s="11">
        <f t="shared" si="5"/>
        <v>-2834</v>
      </c>
    </row>
    <row r="17" spans="1:46" x14ac:dyDescent="0.2">
      <c r="A17" s="139">
        <v>10</v>
      </c>
      <c r="B17" s="11">
        <v>157649</v>
      </c>
      <c r="C17" s="11">
        <v>154903</v>
      </c>
      <c r="D17" s="11">
        <f t="shared" si="0"/>
        <v>-2746</v>
      </c>
      <c r="E17" s="143"/>
      <c r="F17" s="139"/>
      <c r="G17" s="285"/>
      <c r="H17" s="11"/>
      <c r="I17" s="11"/>
      <c r="J17" s="142"/>
      <c r="K17" s="139"/>
      <c r="L17" s="11"/>
      <c r="M17" s="11"/>
      <c r="N17" s="11"/>
      <c r="O17" s="139"/>
      <c r="P17" s="11"/>
      <c r="Q17" s="11"/>
      <c r="R17" s="11"/>
      <c r="S17" s="139"/>
      <c r="T17" s="11"/>
      <c r="U17" s="11"/>
      <c r="V17" s="11"/>
      <c r="W17" s="139"/>
      <c r="X17" s="11"/>
      <c r="Y17" s="11"/>
      <c r="Z17" s="11"/>
      <c r="AA17" s="139"/>
      <c r="AB17" s="11">
        <v>85026</v>
      </c>
      <c r="AC17" s="11">
        <v>96676</v>
      </c>
      <c r="AD17" s="11">
        <f t="shared" si="1"/>
        <v>11650</v>
      </c>
      <c r="AE17" s="139">
        <v>10</v>
      </c>
      <c r="AF17" s="11">
        <v>112558</v>
      </c>
      <c r="AG17" s="11">
        <v>113310</v>
      </c>
      <c r="AH17" s="11">
        <f t="shared" si="2"/>
        <v>752</v>
      </c>
      <c r="AI17" s="139">
        <v>10</v>
      </c>
      <c r="AJ17" s="11">
        <v>114225</v>
      </c>
      <c r="AK17" s="11">
        <v>114599</v>
      </c>
      <c r="AL17" s="11">
        <f t="shared" si="3"/>
        <v>374</v>
      </c>
      <c r="AM17" s="139">
        <v>10</v>
      </c>
      <c r="AN17" s="11">
        <v>161862</v>
      </c>
      <c r="AO17" s="11">
        <v>158717</v>
      </c>
      <c r="AP17" s="11">
        <f t="shared" si="4"/>
        <v>-3145</v>
      </c>
      <c r="AQ17" s="139">
        <v>10</v>
      </c>
      <c r="AR17" s="11">
        <v>169575</v>
      </c>
      <c r="AS17" s="11">
        <v>170607</v>
      </c>
      <c r="AT17" s="11">
        <f t="shared" si="5"/>
        <v>1032</v>
      </c>
    </row>
    <row r="18" spans="1:46" x14ac:dyDescent="0.2">
      <c r="A18" s="139">
        <v>11</v>
      </c>
      <c r="B18" s="11">
        <v>157888</v>
      </c>
      <c r="C18" s="11">
        <v>155298</v>
      </c>
      <c r="D18" s="11">
        <f t="shared" si="0"/>
        <v>-2590</v>
      </c>
      <c r="E18" s="143"/>
      <c r="F18" s="139"/>
      <c r="G18" s="11"/>
      <c r="H18" s="11"/>
      <c r="I18" s="11"/>
      <c r="J18" s="142"/>
      <c r="K18" s="139"/>
      <c r="L18" s="11"/>
      <c r="M18" s="11"/>
      <c r="N18" s="11"/>
      <c r="O18" s="139"/>
      <c r="P18" s="11"/>
      <c r="Q18" s="11"/>
      <c r="R18" s="11"/>
      <c r="S18" s="139"/>
      <c r="T18" s="11"/>
      <c r="U18" s="11"/>
      <c r="V18" s="11"/>
      <c r="W18" s="139"/>
      <c r="X18" s="11"/>
      <c r="Y18" s="11"/>
      <c r="Z18" s="11"/>
      <c r="AA18" s="139"/>
      <c r="AB18" s="11">
        <v>85017</v>
      </c>
      <c r="AC18" s="11">
        <v>82841</v>
      </c>
      <c r="AD18" s="11">
        <f t="shared" si="1"/>
        <v>-2176</v>
      </c>
      <c r="AE18" s="139">
        <v>11</v>
      </c>
      <c r="AF18" s="11">
        <v>101279</v>
      </c>
      <c r="AG18" s="11">
        <v>102214</v>
      </c>
      <c r="AH18" s="11">
        <f t="shared" si="2"/>
        <v>935</v>
      </c>
      <c r="AI18" s="139">
        <v>11</v>
      </c>
      <c r="AJ18" s="11">
        <v>115735</v>
      </c>
      <c r="AK18" s="11">
        <v>115494</v>
      </c>
      <c r="AL18" s="11">
        <f t="shared" si="3"/>
        <v>-241</v>
      </c>
      <c r="AM18" s="139">
        <v>11</v>
      </c>
      <c r="AN18" s="11">
        <v>184527</v>
      </c>
      <c r="AO18" s="11">
        <v>185065</v>
      </c>
      <c r="AP18" s="11">
        <f t="shared" si="4"/>
        <v>538</v>
      </c>
      <c r="AQ18" s="139">
        <v>11</v>
      </c>
      <c r="AR18" s="11">
        <v>176731</v>
      </c>
      <c r="AS18" s="11">
        <v>175819</v>
      </c>
      <c r="AT18" s="11">
        <f t="shared" si="5"/>
        <v>-912</v>
      </c>
    </row>
    <row r="19" spans="1:46" x14ac:dyDescent="0.2">
      <c r="A19" s="139">
        <v>12</v>
      </c>
      <c r="B19" s="11"/>
      <c r="C19" s="11"/>
      <c r="D19" s="11">
        <f t="shared" si="0"/>
        <v>0</v>
      </c>
      <c r="E19" s="143"/>
      <c r="F19" s="139"/>
      <c r="G19" s="11"/>
      <c r="H19" s="11"/>
      <c r="I19" s="11"/>
      <c r="J19" s="142"/>
      <c r="K19" s="139"/>
      <c r="L19" s="11"/>
      <c r="M19" s="11"/>
      <c r="N19" s="11"/>
      <c r="O19" s="139"/>
      <c r="P19" s="11"/>
      <c r="Q19" s="11"/>
      <c r="R19" s="11"/>
      <c r="S19" s="139"/>
      <c r="T19" s="11"/>
      <c r="U19" s="11"/>
      <c r="V19" s="11"/>
      <c r="W19" s="139"/>
      <c r="X19" s="11"/>
      <c r="Y19" s="11"/>
      <c r="Z19" s="11"/>
      <c r="AA19" s="139"/>
      <c r="AB19" s="11">
        <v>82741</v>
      </c>
      <c r="AC19" s="11">
        <v>88828</v>
      </c>
      <c r="AD19" s="11">
        <f t="shared" si="1"/>
        <v>6087</v>
      </c>
      <c r="AE19" s="139">
        <v>12</v>
      </c>
      <c r="AF19" s="11">
        <v>98830</v>
      </c>
      <c r="AG19" s="11">
        <v>100234</v>
      </c>
      <c r="AH19" s="11">
        <f t="shared" si="2"/>
        <v>1404</v>
      </c>
      <c r="AI19" s="139">
        <v>12</v>
      </c>
      <c r="AJ19" s="11">
        <v>114055</v>
      </c>
      <c r="AK19" s="11">
        <v>113964</v>
      </c>
      <c r="AL19" s="11">
        <f t="shared" si="3"/>
        <v>-91</v>
      </c>
      <c r="AM19" s="139">
        <v>12</v>
      </c>
      <c r="AN19" s="11">
        <v>182892</v>
      </c>
      <c r="AO19" s="11">
        <v>187831</v>
      </c>
      <c r="AP19" s="11">
        <f t="shared" si="4"/>
        <v>4939</v>
      </c>
      <c r="AQ19" s="139">
        <v>12</v>
      </c>
      <c r="AR19" s="11">
        <v>178779</v>
      </c>
      <c r="AS19" s="11">
        <v>174779</v>
      </c>
      <c r="AT19" s="11">
        <f t="shared" si="5"/>
        <v>-4000</v>
      </c>
    </row>
    <row r="20" spans="1:46" x14ac:dyDescent="0.2">
      <c r="A20" s="139">
        <v>13</v>
      </c>
      <c r="B20" s="11"/>
      <c r="C20" s="11"/>
      <c r="D20" s="11">
        <f t="shared" si="0"/>
        <v>0</v>
      </c>
      <c r="E20" s="144"/>
      <c r="F20" s="139"/>
      <c r="G20" s="11"/>
      <c r="H20" s="11"/>
      <c r="I20" s="11"/>
      <c r="J20" s="142"/>
      <c r="K20" s="139"/>
      <c r="L20" s="11"/>
      <c r="M20" s="11"/>
      <c r="N20" s="11"/>
      <c r="O20" s="139"/>
      <c r="P20" s="11"/>
      <c r="Q20" s="11"/>
      <c r="R20" s="11"/>
      <c r="S20" s="139"/>
      <c r="T20" s="11"/>
      <c r="U20" s="11"/>
      <c r="V20" s="11"/>
      <c r="W20" s="139"/>
      <c r="X20" s="11"/>
      <c r="Y20" s="11"/>
      <c r="Z20" s="11"/>
      <c r="AA20" s="139"/>
      <c r="AB20" s="11">
        <v>100290</v>
      </c>
      <c r="AC20" s="11">
        <v>103318</v>
      </c>
      <c r="AD20" s="11">
        <f t="shared" si="1"/>
        <v>3028</v>
      </c>
      <c r="AE20" s="139">
        <v>13</v>
      </c>
      <c r="AF20" s="11">
        <v>90169</v>
      </c>
      <c r="AG20" s="11">
        <v>90019</v>
      </c>
      <c r="AH20" s="11">
        <f t="shared" si="2"/>
        <v>-150</v>
      </c>
      <c r="AI20" s="139">
        <v>13</v>
      </c>
      <c r="AJ20" s="11">
        <v>117712</v>
      </c>
      <c r="AK20" s="11">
        <v>116959</v>
      </c>
      <c r="AL20" s="11">
        <f t="shared" si="3"/>
        <v>-753</v>
      </c>
      <c r="AM20" s="139">
        <v>13</v>
      </c>
      <c r="AN20" s="11">
        <v>175373</v>
      </c>
      <c r="AO20" s="11">
        <v>175571</v>
      </c>
      <c r="AP20" s="11">
        <f t="shared" si="4"/>
        <v>198</v>
      </c>
      <c r="AQ20" s="139">
        <v>13</v>
      </c>
      <c r="AR20" s="11">
        <v>163585</v>
      </c>
      <c r="AS20" s="11">
        <v>165793</v>
      </c>
      <c r="AT20" s="11">
        <f t="shared" si="5"/>
        <v>2208</v>
      </c>
    </row>
    <row r="21" spans="1:46" x14ac:dyDescent="0.2">
      <c r="A21" s="139">
        <v>14</v>
      </c>
      <c r="B21" s="11"/>
      <c r="C21" s="11"/>
      <c r="D21" s="11">
        <f t="shared" si="0"/>
        <v>0</v>
      </c>
      <c r="E21" s="142"/>
      <c r="F21" s="139"/>
      <c r="G21" s="11"/>
      <c r="H21" s="11"/>
      <c r="I21" s="11"/>
      <c r="J21" s="142"/>
      <c r="K21" s="139"/>
      <c r="L21" s="11"/>
      <c r="M21" s="11"/>
      <c r="N21" s="11"/>
      <c r="O21" s="139"/>
      <c r="P21" s="11"/>
      <c r="Q21" s="11"/>
      <c r="R21" s="11"/>
      <c r="S21" s="139"/>
      <c r="T21" s="11"/>
      <c r="U21" s="11"/>
      <c r="V21" s="11"/>
      <c r="W21" s="139"/>
      <c r="X21" s="11"/>
      <c r="Y21" s="11"/>
      <c r="Z21" s="11"/>
      <c r="AA21" s="139"/>
      <c r="AB21" s="11">
        <v>92454</v>
      </c>
      <c r="AC21" s="11">
        <v>90422</v>
      </c>
      <c r="AD21" s="11">
        <f t="shared" si="1"/>
        <v>-2032</v>
      </c>
      <c r="AE21" s="139">
        <v>14</v>
      </c>
      <c r="AF21" s="11">
        <v>80341</v>
      </c>
      <c r="AG21" s="11">
        <v>73685</v>
      </c>
      <c r="AH21" s="11">
        <f t="shared" si="2"/>
        <v>-6656</v>
      </c>
      <c r="AI21" s="139">
        <v>14</v>
      </c>
      <c r="AJ21" s="11">
        <v>99714</v>
      </c>
      <c r="AK21" s="11">
        <v>124528</v>
      </c>
      <c r="AL21" s="11">
        <f t="shared" si="3"/>
        <v>24814</v>
      </c>
      <c r="AM21" s="139">
        <v>14</v>
      </c>
      <c r="AN21" s="11">
        <v>174348</v>
      </c>
      <c r="AO21" s="11">
        <f>174033+12</f>
        <v>174045</v>
      </c>
      <c r="AP21" s="11">
        <f t="shared" si="4"/>
        <v>-303</v>
      </c>
      <c r="AQ21" s="139">
        <v>14</v>
      </c>
      <c r="AR21" s="11">
        <v>171172</v>
      </c>
      <c r="AS21" s="11">
        <v>170890</v>
      </c>
      <c r="AT21" s="11">
        <f t="shared" si="5"/>
        <v>-282</v>
      </c>
    </row>
    <row r="22" spans="1:46" x14ac:dyDescent="0.2">
      <c r="A22" s="139">
        <v>15</v>
      </c>
      <c r="B22" s="11"/>
      <c r="C22" s="11"/>
      <c r="D22" s="11">
        <f t="shared" si="0"/>
        <v>0</v>
      </c>
      <c r="E22" s="142"/>
      <c r="F22" s="139"/>
      <c r="G22" s="11"/>
      <c r="H22" s="11"/>
      <c r="I22" s="11"/>
      <c r="J22" s="142"/>
      <c r="K22" s="139"/>
      <c r="L22" s="11"/>
      <c r="M22" s="11"/>
      <c r="N22" s="11"/>
      <c r="O22" s="139"/>
      <c r="P22" s="11"/>
      <c r="Q22" s="11"/>
      <c r="R22" s="11"/>
      <c r="S22" s="139"/>
      <c r="T22" s="11"/>
      <c r="U22" s="11"/>
      <c r="V22" s="11"/>
      <c r="W22" s="139"/>
      <c r="X22" s="11"/>
      <c r="Y22" s="11"/>
      <c r="Z22" s="11"/>
      <c r="AA22" s="139"/>
      <c r="AB22" s="11">
        <v>92819</v>
      </c>
      <c r="AC22" s="11">
        <v>93953</v>
      </c>
      <c r="AD22" s="11">
        <f t="shared" si="1"/>
        <v>1134</v>
      </c>
      <c r="AE22" s="139">
        <v>15</v>
      </c>
      <c r="AF22" s="11">
        <v>100392</v>
      </c>
      <c r="AG22" s="11">
        <v>101034</v>
      </c>
      <c r="AH22" s="11">
        <f t="shared" si="2"/>
        <v>642</v>
      </c>
      <c r="AI22" s="139">
        <v>15</v>
      </c>
      <c r="AJ22" s="11">
        <v>120773</v>
      </c>
      <c r="AK22" s="11">
        <v>120718</v>
      </c>
      <c r="AL22" s="11">
        <f t="shared" si="3"/>
        <v>-55</v>
      </c>
      <c r="AM22" s="139">
        <v>15</v>
      </c>
      <c r="AN22" s="11">
        <v>171703</v>
      </c>
      <c r="AO22" s="11">
        <f>164762+7841</f>
        <v>172603</v>
      </c>
      <c r="AP22" s="11">
        <f t="shared" si="4"/>
        <v>900</v>
      </c>
      <c r="AQ22" s="139">
        <v>15</v>
      </c>
      <c r="AR22" s="11">
        <v>174118</v>
      </c>
      <c r="AS22" s="11">
        <v>173261</v>
      </c>
      <c r="AT22" s="11">
        <f t="shared" si="5"/>
        <v>-857</v>
      </c>
    </row>
    <row r="23" spans="1:46" x14ac:dyDescent="0.2">
      <c r="A23" s="145">
        <v>16</v>
      </c>
      <c r="B23" s="11"/>
      <c r="C23" s="11"/>
      <c r="D23" s="11">
        <f t="shared" si="0"/>
        <v>0</v>
      </c>
      <c r="E23" s="142"/>
      <c r="F23" s="145"/>
      <c r="G23" s="11"/>
      <c r="H23" s="11"/>
      <c r="I23" s="11"/>
      <c r="J23" s="142"/>
      <c r="K23" s="145"/>
      <c r="L23" s="11"/>
      <c r="M23" s="11"/>
      <c r="N23" s="11"/>
      <c r="O23" s="145"/>
      <c r="P23" s="11"/>
      <c r="Q23" s="11"/>
      <c r="R23" s="11"/>
      <c r="S23" s="145"/>
      <c r="T23" s="11"/>
      <c r="U23" s="11"/>
      <c r="V23" s="11"/>
      <c r="W23" s="145"/>
      <c r="X23" s="11"/>
      <c r="Y23" s="11"/>
      <c r="Z23" s="11"/>
      <c r="AA23" s="145"/>
      <c r="AB23" s="11">
        <v>68795</v>
      </c>
      <c r="AC23" s="11">
        <v>80010</v>
      </c>
      <c r="AD23" s="11">
        <f t="shared" si="1"/>
        <v>11215</v>
      </c>
      <c r="AE23" s="145">
        <v>16</v>
      </c>
      <c r="AF23" s="11">
        <v>97736</v>
      </c>
      <c r="AG23" s="11">
        <v>92818</v>
      </c>
      <c r="AH23" s="11">
        <f t="shared" si="2"/>
        <v>-4918</v>
      </c>
      <c r="AI23" s="145">
        <v>16</v>
      </c>
      <c r="AJ23" s="11">
        <v>100073</v>
      </c>
      <c r="AK23" s="11">
        <v>121937</v>
      </c>
      <c r="AL23" s="11">
        <f t="shared" si="3"/>
        <v>21864</v>
      </c>
      <c r="AM23" s="145">
        <v>16</v>
      </c>
      <c r="AN23" s="11">
        <v>171702</v>
      </c>
      <c r="AO23" s="11">
        <f>169958+2000</f>
        <v>171958</v>
      </c>
      <c r="AP23" s="11">
        <f t="shared" si="4"/>
        <v>256</v>
      </c>
      <c r="AQ23" s="145">
        <v>16</v>
      </c>
      <c r="AR23" s="11">
        <v>180047</v>
      </c>
      <c r="AS23" s="11">
        <v>182323</v>
      </c>
      <c r="AT23" s="11">
        <f t="shared" si="5"/>
        <v>2276</v>
      </c>
    </row>
    <row r="24" spans="1:46" x14ac:dyDescent="0.2">
      <c r="A24" s="146">
        <v>17</v>
      </c>
      <c r="B24" s="11"/>
      <c r="C24" s="11"/>
      <c r="D24" s="11">
        <f t="shared" si="0"/>
        <v>0</v>
      </c>
      <c r="E24" s="283"/>
      <c r="F24" s="146"/>
      <c r="G24" s="11"/>
      <c r="H24" s="11"/>
      <c r="I24" s="11"/>
      <c r="J24" s="142"/>
      <c r="K24" s="146"/>
      <c r="L24" s="11"/>
      <c r="M24" s="11"/>
      <c r="N24" s="11"/>
      <c r="O24" s="146"/>
      <c r="P24" s="11"/>
      <c r="Q24" s="11"/>
      <c r="R24" s="11"/>
      <c r="S24" s="146"/>
      <c r="T24" s="11"/>
      <c r="U24" s="11"/>
      <c r="V24" s="11"/>
      <c r="W24" s="146"/>
      <c r="X24" s="11"/>
      <c r="Y24" s="11"/>
      <c r="Z24" s="11"/>
      <c r="AA24" s="146"/>
      <c r="AB24" s="11">
        <v>90410</v>
      </c>
      <c r="AC24" s="11">
        <v>89096</v>
      </c>
      <c r="AD24" s="11">
        <f t="shared" si="1"/>
        <v>-1314</v>
      </c>
      <c r="AE24" s="146">
        <v>17</v>
      </c>
      <c r="AF24" s="11">
        <v>94766</v>
      </c>
      <c r="AG24" s="11">
        <v>94662</v>
      </c>
      <c r="AH24" s="11">
        <f t="shared" si="2"/>
        <v>-104</v>
      </c>
      <c r="AI24" s="146">
        <v>17</v>
      </c>
      <c r="AJ24" s="11">
        <v>125828</v>
      </c>
      <c r="AK24" s="11">
        <v>122594</v>
      </c>
      <c r="AL24" s="11">
        <f t="shared" si="3"/>
        <v>-3234</v>
      </c>
      <c r="AM24" s="146">
        <v>17</v>
      </c>
      <c r="AN24" s="11">
        <v>172644</v>
      </c>
      <c r="AO24" s="11">
        <f>172264+339</f>
        <v>172603</v>
      </c>
      <c r="AP24" s="11">
        <f t="shared" si="4"/>
        <v>-41</v>
      </c>
      <c r="AQ24" s="146">
        <v>17</v>
      </c>
      <c r="AR24" s="11">
        <v>170607</v>
      </c>
      <c r="AS24" s="11">
        <v>170445</v>
      </c>
      <c r="AT24" s="11">
        <f t="shared" si="5"/>
        <v>-162</v>
      </c>
    </row>
    <row r="25" spans="1:46" x14ac:dyDescent="0.2">
      <c r="A25" s="147" t="s">
        <v>55</v>
      </c>
      <c r="B25" s="11"/>
      <c r="C25" s="11"/>
      <c r="D25" s="11">
        <f t="shared" si="0"/>
        <v>0</v>
      </c>
      <c r="E25" s="346"/>
      <c r="F25" s="147"/>
      <c r="G25" s="11"/>
      <c r="H25" s="11"/>
      <c r="I25" s="11"/>
      <c r="J25" s="142"/>
      <c r="K25" s="147"/>
      <c r="L25" s="11"/>
      <c r="M25" s="11"/>
      <c r="N25" s="11"/>
      <c r="O25" s="147"/>
      <c r="P25" s="11"/>
      <c r="Q25" s="11"/>
      <c r="R25" s="11"/>
      <c r="S25" s="147"/>
      <c r="T25" s="11"/>
      <c r="U25" s="11"/>
      <c r="V25" s="11"/>
      <c r="W25" s="147"/>
      <c r="X25" s="11"/>
      <c r="Y25" s="11"/>
      <c r="Z25" s="11"/>
      <c r="AA25" s="147"/>
      <c r="AB25" s="11">
        <v>86855</v>
      </c>
      <c r="AC25" s="11">
        <v>87128</v>
      </c>
      <c r="AD25" s="11">
        <f t="shared" si="1"/>
        <v>273</v>
      </c>
      <c r="AE25" s="147" t="s">
        <v>55</v>
      </c>
      <c r="AF25" s="11">
        <v>90438</v>
      </c>
      <c r="AG25" s="11">
        <v>89668</v>
      </c>
      <c r="AH25" s="11">
        <f t="shared" si="2"/>
        <v>-770</v>
      </c>
      <c r="AI25" s="147" t="s">
        <v>55</v>
      </c>
      <c r="AJ25" s="11">
        <v>119514</v>
      </c>
      <c r="AK25" s="11">
        <v>120375</v>
      </c>
      <c r="AL25" s="11">
        <f t="shared" si="3"/>
        <v>861</v>
      </c>
      <c r="AM25" s="147" t="s">
        <v>55</v>
      </c>
      <c r="AN25" s="11">
        <v>175778</v>
      </c>
      <c r="AO25" s="11">
        <v>172040</v>
      </c>
      <c r="AP25" s="11">
        <f t="shared" si="4"/>
        <v>-3738</v>
      </c>
      <c r="AQ25" s="147" t="s">
        <v>55</v>
      </c>
      <c r="AR25" s="11">
        <v>166103</v>
      </c>
      <c r="AS25" s="11">
        <v>167903</v>
      </c>
      <c r="AT25" s="11">
        <f t="shared" si="5"/>
        <v>1800</v>
      </c>
    </row>
    <row r="26" spans="1:46" x14ac:dyDescent="0.2">
      <c r="A26" s="145">
        <v>19</v>
      </c>
      <c r="B26" s="11"/>
      <c r="C26" s="11"/>
      <c r="D26" s="11">
        <f t="shared" si="0"/>
        <v>0</v>
      </c>
      <c r="E26" s="144"/>
      <c r="F26" s="145"/>
      <c r="G26" s="11"/>
      <c r="H26" s="11"/>
      <c r="I26" s="11"/>
      <c r="J26" s="142"/>
      <c r="K26" s="145"/>
      <c r="L26" s="11"/>
      <c r="M26" s="11"/>
      <c r="N26" s="11"/>
      <c r="O26" s="145"/>
      <c r="P26" s="11"/>
      <c r="Q26" s="11"/>
      <c r="R26" s="11"/>
      <c r="S26" s="145"/>
      <c r="T26" s="11"/>
      <c r="U26" s="11"/>
      <c r="V26" s="11"/>
      <c r="W26" s="145"/>
      <c r="X26" s="11"/>
      <c r="Y26" s="11"/>
      <c r="Z26" s="11"/>
      <c r="AA26" s="145"/>
      <c r="AB26" s="11">
        <v>90382</v>
      </c>
      <c r="AC26" s="11">
        <v>91513</v>
      </c>
      <c r="AD26" s="11">
        <f t="shared" si="1"/>
        <v>1131</v>
      </c>
      <c r="AE26" s="145">
        <v>19</v>
      </c>
      <c r="AF26" s="11">
        <v>90454</v>
      </c>
      <c r="AG26" s="11">
        <v>90980</v>
      </c>
      <c r="AH26" s="11">
        <f t="shared" si="2"/>
        <v>526</v>
      </c>
      <c r="AI26" s="145">
        <v>19</v>
      </c>
      <c r="AJ26" s="11">
        <v>112366</v>
      </c>
      <c r="AK26" s="11">
        <v>112335</v>
      </c>
      <c r="AL26" s="11">
        <f t="shared" si="3"/>
        <v>-31</v>
      </c>
      <c r="AM26" s="145">
        <v>19</v>
      </c>
      <c r="AN26" s="11">
        <v>178730</v>
      </c>
      <c r="AO26" s="11">
        <f>160337+5958</f>
        <v>166295</v>
      </c>
      <c r="AP26" s="11">
        <f t="shared" si="4"/>
        <v>-12435</v>
      </c>
      <c r="AQ26" s="145">
        <v>19</v>
      </c>
      <c r="AR26" s="11">
        <v>175589</v>
      </c>
      <c r="AS26" s="11">
        <v>176446</v>
      </c>
      <c r="AT26" s="11">
        <f t="shared" si="5"/>
        <v>857</v>
      </c>
    </row>
    <row r="27" spans="1:46" x14ac:dyDescent="0.2">
      <c r="A27" s="146">
        <v>20</v>
      </c>
      <c r="B27" s="11"/>
      <c r="C27" s="11"/>
      <c r="D27" s="11">
        <f t="shared" si="0"/>
        <v>0</v>
      </c>
      <c r="E27" s="148"/>
      <c r="F27" s="146"/>
      <c r="G27" s="11"/>
      <c r="H27" s="11"/>
      <c r="I27" s="11"/>
      <c r="J27" s="142"/>
      <c r="K27" s="146"/>
      <c r="L27" s="11"/>
      <c r="M27" s="11"/>
      <c r="N27" s="11"/>
      <c r="O27" s="146"/>
      <c r="P27" s="11"/>
      <c r="Q27" s="11"/>
      <c r="R27" s="11"/>
      <c r="S27" s="146"/>
      <c r="T27" s="11"/>
      <c r="U27" s="11"/>
      <c r="V27" s="11"/>
      <c r="W27" s="146"/>
      <c r="X27" s="11"/>
      <c r="Y27" s="11"/>
      <c r="Z27" s="11"/>
      <c r="AA27" s="146"/>
      <c r="AB27" s="11">
        <v>101529</v>
      </c>
      <c r="AC27" s="11">
        <v>104520</v>
      </c>
      <c r="AD27" s="11">
        <f t="shared" si="1"/>
        <v>2991</v>
      </c>
      <c r="AE27" s="146">
        <v>20</v>
      </c>
      <c r="AF27" s="11">
        <v>96601</v>
      </c>
      <c r="AG27" s="11">
        <v>98051</v>
      </c>
      <c r="AH27" s="11">
        <f t="shared" si="2"/>
        <v>1450</v>
      </c>
      <c r="AI27" s="146">
        <v>20</v>
      </c>
      <c r="AJ27" s="11">
        <v>131022</v>
      </c>
      <c r="AK27" s="11">
        <v>131761</v>
      </c>
      <c r="AL27" s="11">
        <f t="shared" si="3"/>
        <v>739</v>
      </c>
      <c r="AM27" s="146">
        <v>20</v>
      </c>
      <c r="AN27" s="11">
        <v>170615</v>
      </c>
      <c r="AO27" s="11">
        <f>158124+2541</f>
        <v>160665</v>
      </c>
      <c r="AP27" s="11">
        <f t="shared" si="4"/>
        <v>-9950</v>
      </c>
      <c r="AQ27" s="146">
        <v>20</v>
      </c>
      <c r="AR27" s="11">
        <v>173880</v>
      </c>
      <c r="AS27" s="11">
        <v>174805</v>
      </c>
      <c r="AT27" s="11">
        <f t="shared" si="5"/>
        <v>925</v>
      </c>
    </row>
    <row r="28" spans="1:46" x14ac:dyDescent="0.2">
      <c r="A28" s="149">
        <v>21</v>
      </c>
      <c r="B28" s="150"/>
      <c r="C28" s="150"/>
      <c r="D28" s="11">
        <f t="shared" si="0"/>
        <v>0</v>
      </c>
      <c r="E28" s="151"/>
      <c r="F28" s="149"/>
      <c r="G28" s="150"/>
      <c r="H28" s="150"/>
      <c r="I28" s="11"/>
      <c r="J28" s="142"/>
      <c r="K28" s="149"/>
      <c r="L28" s="150"/>
      <c r="M28" s="150"/>
      <c r="N28" s="11"/>
      <c r="O28" s="149"/>
      <c r="P28" s="150"/>
      <c r="Q28" s="150"/>
      <c r="R28" s="11"/>
      <c r="S28" s="149"/>
      <c r="T28" s="150"/>
      <c r="U28" s="150"/>
      <c r="V28" s="11"/>
      <c r="W28" s="149"/>
      <c r="X28" s="150"/>
      <c r="Y28" s="150"/>
      <c r="Z28" s="11"/>
      <c r="AA28" s="149"/>
      <c r="AB28" s="150">
        <v>92772</v>
      </c>
      <c r="AC28" s="150">
        <v>101229</v>
      </c>
      <c r="AD28" s="11">
        <f t="shared" si="1"/>
        <v>8457</v>
      </c>
      <c r="AE28" s="149">
        <v>21</v>
      </c>
      <c r="AF28" s="150">
        <v>91965</v>
      </c>
      <c r="AG28" s="150">
        <f>102636+108</f>
        <v>102744</v>
      </c>
      <c r="AH28" s="11">
        <f t="shared" si="2"/>
        <v>10779</v>
      </c>
      <c r="AI28" s="149">
        <v>21</v>
      </c>
      <c r="AJ28" s="150">
        <v>126551</v>
      </c>
      <c r="AK28" s="150">
        <v>126375</v>
      </c>
      <c r="AL28" s="11">
        <f t="shared" si="3"/>
        <v>-176</v>
      </c>
      <c r="AM28" s="149">
        <v>21</v>
      </c>
      <c r="AN28" s="150">
        <v>162253</v>
      </c>
      <c r="AO28" s="150">
        <v>161166</v>
      </c>
      <c r="AP28" s="11">
        <f t="shared" si="4"/>
        <v>-1087</v>
      </c>
      <c r="AQ28" s="149">
        <v>21</v>
      </c>
      <c r="AR28" s="150">
        <v>177344</v>
      </c>
      <c r="AS28" s="150">
        <v>181409</v>
      </c>
      <c r="AT28" s="11">
        <f t="shared" si="5"/>
        <v>4065</v>
      </c>
    </row>
    <row r="29" spans="1:46" x14ac:dyDescent="0.2">
      <c r="A29" s="149">
        <v>22</v>
      </c>
      <c r="B29" s="150"/>
      <c r="C29" s="150"/>
      <c r="D29" s="11">
        <f t="shared" si="0"/>
        <v>0</v>
      </c>
      <c r="E29" s="151"/>
      <c r="F29" s="149"/>
      <c r="G29" s="150"/>
      <c r="H29" s="150"/>
      <c r="I29" s="11"/>
      <c r="J29" s="142"/>
      <c r="K29" s="149"/>
      <c r="L29" s="150"/>
      <c r="M29" s="150"/>
      <c r="N29" s="11"/>
      <c r="O29" s="149"/>
      <c r="P29" s="150"/>
      <c r="Q29" s="150"/>
      <c r="R29" s="11"/>
      <c r="S29" s="149"/>
      <c r="T29" s="150"/>
      <c r="U29" s="150"/>
      <c r="V29" s="11"/>
      <c r="W29" s="149"/>
      <c r="X29" s="150"/>
      <c r="Y29" s="150"/>
      <c r="Z29" s="11"/>
      <c r="AA29" s="149"/>
      <c r="AB29" s="150">
        <v>93405</v>
      </c>
      <c r="AC29" s="150">
        <v>100368</v>
      </c>
      <c r="AD29" s="11">
        <f t="shared" si="1"/>
        <v>6963</v>
      </c>
      <c r="AE29" s="149">
        <v>22</v>
      </c>
      <c r="AF29" s="150">
        <v>103207</v>
      </c>
      <c r="AG29" s="150">
        <v>116825</v>
      </c>
      <c r="AH29" s="11">
        <f t="shared" si="2"/>
        <v>13618</v>
      </c>
      <c r="AI29" s="149">
        <v>22</v>
      </c>
      <c r="AJ29" s="150">
        <v>131105</v>
      </c>
      <c r="AK29" s="150">
        <v>131629</v>
      </c>
      <c r="AL29" s="11">
        <f t="shared" si="3"/>
        <v>524</v>
      </c>
      <c r="AM29" s="149">
        <v>22</v>
      </c>
      <c r="AN29" s="150">
        <v>131802</v>
      </c>
      <c r="AO29" s="150">
        <v>131356</v>
      </c>
      <c r="AP29" s="11">
        <f t="shared" si="4"/>
        <v>-446</v>
      </c>
      <c r="AQ29" s="149">
        <v>22</v>
      </c>
      <c r="AR29" s="150">
        <v>174250</v>
      </c>
      <c r="AS29" s="150">
        <v>175461</v>
      </c>
      <c r="AT29" s="11">
        <f t="shared" si="5"/>
        <v>1211</v>
      </c>
    </row>
    <row r="30" spans="1:46" x14ac:dyDescent="0.2">
      <c r="A30" s="149">
        <v>23</v>
      </c>
      <c r="B30" s="150"/>
      <c r="C30" s="150"/>
      <c r="D30" s="11">
        <f t="shared" si="0"/>
        <v>0</v>
      </c>
      <c r="E30" s="151"/>
      <c r="F30" s="149"/>
      <c r="G30" s="150"/>
      <c r="H30" s="150"/>
      <c r="I30" s="11"/>
      <c r="J30" s="142"/>
      <c r="K30" s="149"/>
      <c r="L30" s="150"/>
      <c r="M30" s="150"/>
      <c r="N30" s="11"/>
      <c r="O30" s="149"/>
      <c r="P30" s="150"/>
      <c r="Q30" s="150"/>
      <c r="R30" s="11"/>
      <c r="S30" s="149"/>
      <c r="T30" s="150"/>
      <c r="U30" s="150"/>
      <c r="V30" s="11"/>
      <c r="W30" s="149"/>
      <c r="X30" s="150"/>
      <c r="Y30" s="150"/>
      <c r="Z30" s="11"/>
      <c r="AA30" s="149"/>
      <c r="AB30" s="150">
        <v>87752</v>
      </c>
      <c r="AC30" s="150">
        <v>85600</v>
      </c>
      <c r="AD30" s="11">
        <f t="shared" si="1"/>
        <v>-2152</v>
      </c>
      <c r="AE30" s="149">
        <v>23</v>
      </c>
      <c r="AF30" s="150">
        <v>100407</v>
      </c>
      <c r="AG30" s="150">
        <v>89676</v>
      </c>
      <c r="AH30" s="11">
        <f t="shared" si="2"/>
        <v>-10731</v>
      </c>
      <c r="AI30" s="149">
        <v>23</v>
      </c>
      <c r="AJ30" s="150">
        <v>122167</v>
      </c>
      <c r="AK30" s="150">
        <v>121764</v>
      </c>
      <c r="AL30" s="11">
        <f t="shared" si="3"/>
        <v>-403</v>
      </c>
      <c r="AM30" s="149">
        <v>23</v>
      </c>
      <c r="AN30" s="150">
        <v>159515</v>
      </c>
      <c r="AO30" s="150">
        <v>160435</v>
      </c>
      <c r="AP30" s="11">
        <f t="shared" si="4"/>
        <v>920</v>
      </c>
      <c r="AQ30" s="149">
        <v>23</v>
      </c>
      <c r="AR30" s="150">
        <v>176744</v>
      </c>
      <c r="AS30" s="150">
        <f>181302+167</f>
        <v>181469</v>
      </c>
      <c r="AT30" s="11">
        <f t="shared" si="5"/>
        <v>4725</v>
      </c>
    </row>
    <row r="31" spans="1:46" x14ac:dyDescent="0.2">
      <c r="A31" s="149">
        <v>24</v>
      </c>
      <c r="B31" s="150"/>
      <c r="C31" s="150"/>
      <c r="D31" s="11">
        <f t="shared" si="0"/>
        <v>0</v>
      </c>
      <c r="E31" s="151"/>
      <c r="F31" s="149"/>
      <c r="G31" s="150"/>
      <c r="H31" s="150"/>
      <c r="I31" s="11"/>
      <c r="J31" s="142"/>
      <c r="K31" s="149"/>
      <c r="L31" s="150"/>
      <c r="M31" s="150"/>
      <c r="N31" s="11"/>
      <c r="O31" s="149"/>
      <c r="P31" s="150"/>
      <c r="Q31" s="150"/>
      <c r="R31" s="11"/>
      <c r="S31" s="149"/>
      <c r="T31" s="150"/>
      <c r="U31" s="150"/>
      <c r="V31" s="11"/>
      <c r="W31" s="149"/>
      <c r="X31" s="150"/>
      <c r="Y31" s="150"/>
      <c r="Z31" s="11"/>
      <c r="AA31" s="149"/>
      <c r="AB31" s="150">
        <v>97761</v>
      </c>
      <c r="AC31" s="150">
        <v>97012</v>
      </c>
      <c r="AD31" s="11">
        <f t="shared" si="1"/>
        <v>-749</v>
      </c>
      <c r="AE31" s="149">
        <v>24</v>
      </c>
      <c r="AF31" s="150">
        <v>94496</v>
      </c>
      <c r="AG31" s="150">
        <v>96183</v>
      </c>
      <c r="AH31" s="11">
        <f t="shared" si="2"/>
        <v>1687</v>
      </c>
      <c r="AI31" s="149">
        <v>24</v>
      </c>
      <c r="AJ31" s="150">
        <v>127269</v>
      </c>
      <c r="AK31" s="150">
        <v>126812</v>
      </c>
      <c r="AL31" s="11">
        <f t="shared" si="3"/>
        <v>-457</v>
      </c>
      <c r="AM31" s="149">
        <v>24</v>
      </c>
      <c r="AN31" s="150">
        <v>174216</v>
      </c>
      <c r="AO31" s="150">
        <v>173432</v>
      </c>
      <c r="AP31" s="11">
        <f t="shared" si="4"/>
        <v>-784</v>
      </c>
      <c r="AQ31" s="149">
        <v>24</v>
      </c>
      <c r="AR31" s="150">
        <v>181093</v>
      </c>
      <c r="AS31" s="150">
        <v>179131</v>
      </c>
      <c r="AT31" s="11">
        <f t="shared" si="5"/>
        <v>-1962</v>
      </c>
    </row>
    <row r="32" spans="1:46" x14ac:dyDescent="0.2">
      <c r="A32" s="149">
        <v>25</v>
      </c>
      <c r="B32" s="150"/>
      <c r="C32" s="150"/>
      <c r="D32" s="11">
        <f t="shared" si="0"/>
        <v>0</v>
      </c>
      <c r="E32" s="151"/>
      <c r="F32" s="149"/>
      <c r="G32" s="150"/>
      <c r="H32" s="150"/>
      <c r="I32" s="11"/>
      <c r="J32" s="142"/>
      <c r="K32" s="149"/>
      <c r="L32" s="150"/>
      <c r="M32" s="150"/>
      <c r="N32" s="11"/>
      <c r="O32" s="149"/>
      <c r="P32" s="150"/>
      <c r="Q32" s="150"/>
      <c r="R32" s="11"/>
      <c r="S32" s="149"/>
      <c r="T32" s="150"/>
      <c r="U32" s="150"/>
      <c r="V32" s="11"/>
      <c r="W32" s="149"/>
      <c r="X32" s="150"/>
      <c r="Y32" s="150"/>
      <c r="Z32" s="11"/>
      <c r="AA32" s="149"/>
      <c r="AB32" s="150">
        <v>103695</v>
      </c>
      <c r="AC32" s="150">
        <v>93370</v>
      </c>
      <c r="AD32" s="11">
        <f t="shared" si="1"/>
        <v>-10325</v>
      </c>
      <c r="AE32" s="149">
        <v>25</v>
      </c>
      <c r="AF32" s="150">
        <v>94209</v>
      </c>
      <c r="AG32" s="150">
        <v>96204</v>
      </c>
      <c r="AH32" s="11">
        <f t="shared" si="2"/>
        <v>1995</v>
      </c>
      <c r="AI32" s="149">
        <v>25</v>
      </c>
      <c r="AJ32" s="150">
        <v>118154</v>
      </c>
      <c r="AK32" s="150">
        <v>117446</v>
      </c>
      <c r="AL32" s="11">
        <f t="shared" si="3"/>
        <v>-708</v>
      </c>
      <c r="AM32" s="149">
        <v>25</v>
      </c>
      <c r="AN32" s="150">
        <v>150579</v>
      </c>
      <c r="AO32" s="150">
        <v>148972</v>
      </c>
      <c r="AP32" s="11">
        <f t="shared" si="4"/>
        <v>-1607</v>
      </c>
      <c r="AQ32" s="149">
        <v>25</v>
      </c>
      <c r="AR32" s="150">
        <v>163865</v>
      </c>
      <c r="AS32" s="150">
        <v>159045</v>
      </c>
      <c r="AT32" s="11">
        <f t="shared" si="5"/>
        <v>-4820</v>
      </c>
    </row>
    <row r="33" spans="1:50" x14ac:dyDescent="0.2">
      <c r="A33" s="149">
        <v>26</v>
      </c>
      <c r="B33" s="150"/>
      <c r="C33" s="150"/>
      <c r="D33" s="11">
        <f t="shared" si="0"/>
        <v>0</v>
      </c>
      <c r="E33" s="151"/>
      <c r="F33" s="149"/>
      <c r="G33" s="150"/>
      <c r="H33" s="150"/>
      <c r="I33" s="11"/>
      <c r="J33" s="142"/>
      <c r="K33" s="149"/>
      <c r="L33" s="150"/>
      <c r="M33" s="150"/>
      <c r="N33" s="11"/>
      <c r="O33" s="149"/>
      <c r="P33" s="150"/>
      <c r="Q33" s="150"/>
      <c r="R33" s="11"/>
      <c r="S33" s="149"/>
      <c r="T33" s="150"/>
      <c r="U33" s="150"/>
      <c r="V33" s="11"/>
      <c r="W33" s="149"/>
      <c r="X33" s="150"/>
      <c r="Y33" s="150"/>
      <c r="Z33" s="11"/>
      <c r="AA33" s="149"/>
      <c r="AB33" s="150">
        <v>90853</v>
      </c>
      <c r="AC33" s="150">
        <v>90587</v>
      </c>
      <c r="AD33" s="11">
        <f t="shared" si="1"/>
        <v>-266</v>
      </c>
      <c r="AE33" s="149">
        <v>26</v>
      </c>
      <c r="AF33" s="150">
        <v>96535</v>
      </c>
      <c r="AG33" s="150">
        <v>96204</v>
      </c>
      <c r="AH33" s="11">
        <f t="shared" si="2"/>
        <v>-331</v>
      </c>
      <c r="AI33" s="149">
        <v>26</v>
      </c>
      <c r="AJ33" s="150">
        <v>112452</v>
      </c>
      <c r="AK33" s="150">
        <v>112088</v>
      </c>
      <c r="AL33" s="11">
        <f t="shared" si="3"/>
        <v>-364</v>
      </c>
      <c r="AM33" s="149">
        <v>26</v>
      </c>
      <c r="AN33" s="150">
        <v>149071</v>
      </c>
      <c r="AO33" s="150">
        <v>148972</v>
      </c>
      <c r="AP33" s="11">
        <f t="shared" si="4"/>
        <v>-99</v>
      </c>
      <c r="AQ33" s="149">
        <v>26</v>
      </c>
      <c r="AR33" s="150">
        <v>169162</v>
      </c>
      <c r="AS33" s="150">
        <v>168888</v>
      </c>
      <c r="AT33" s="11">
        <f t="shared" si="5"/>
        <v>-274</v>
      </c>
    </row>
    <row r="34" spans="1:50" x14ac:dyDescent="0.2">
      <c r="A34" s="149">
        <v>27</v>
      </c>
      <c r="B34" s="150"/>
      <c r="C34" s="150"/>
      <c r="D34" s="11">
        <f t="shared" si="0"/>
        <v>0</v>
      </c>
      <c r="E34" s="151"/>
      <c r="F34" s="149"/>
      <c r="G34" s="150"/>
      <c r="H34" s="150"/>
      <c r="I34" s="11"/>
      <c r="J34" s="142"/>
      <c r="K34" s="149"/>
      <c r="L34" s="150"/>
      <c r="M34" s="150"/>
      <c r="N34" s="11"/>
      <c r="O34" s="149"/>
      <c r="P34" s="150"/>
      <c r="Q34" s="150"/>
      <c r="R34" s="11"/>
      <c r="S34" s="149"/>
      <c r="T34" s="150"/>
      <c r="U34" s="150"/>
      <c r="V34" s="11"/>
      <c r="W34" s="149"/>
      <c r="X34" s="150"/>
      <c r="Y34" s="150"/>
      <c r="Z34" s="11"/>
      <c r="AA34" s="149"/>
      <c r="AB34" s="150">
        <v>88917</v>
      </c>
      <c r="AC34" s="150">
        <v>89704</v>
      </c>
      <c r="AD34" s="11">
        <f t="shared" si="1"/>
        <v>787</v>
      </c>
      <c r="AE34" s="149">
        <v>27</v>
      </c>
      <c r="AF34" s="150">
        <v>95775</v>
      </c>
      <c r="AG34" s="150">
        <v>96204</v>
      </c>
      <c r="AH34" s="11">
        <f t="shared" si="2"/>
        <v>429</v>
      </c>
      <c r="AI34" s="149">
        <v>27</v>
      </c>
      <c r="AJ34" s="150">
        <v>114295</v>
      </c>
      <c r="AK34" s="150">
        <v>118780</v>
      </c>
      <c r="AL34" s="11">
        <f t="shared" si="3"/>
        <v>4485</v>
      </c>
      <c r="AM34" s="149">
        <v>27</v>
      </c>
      <c r="AN34" s="150">
        <v>131684</v>
      </c>
      <c r="AO34" s="150">
        <v>148972</v>
      </c>
      <c r="AP34" s="11">
        <f t="shared" si="4"/>
        <v>17288</v>
      </c>
      <c r="AQ34" s="149">
        <v>27</v>
      </c>
      <c r="AR34" s="150">
        <v>163558</v>
      </c>
      <c r="AS34" s="150">
        <v>161498</v>
      </c>
      <c r="AT34" s="11">
        <f t="shared" si="5"/>
        <v>-2060</v>
      </c>
    </row>
    <row r="35" spans="1:50" x14ac:dyDescent="0.2">
      <c r="A35" s="149">
        <v>28</v>
      </c>
      <c r="B35" s="150"/>
      <c r="C35" s="150"/>
      <c r="D35" s="11">
        <f t="shared" si="0"/>
        <v>0</v>
      </c>
      <c r="E35" s="151"/>
      <c r="F35" s="149"/>
      <c r="G35" s="150"/>
      <c r="H35" s="150"/>
      <c r="I35" s="11"/>
      <c r="J35" s="142"/>
      <c r="K35" s="149"/>
      <c r="L35" s="150"/>
      <c r="M35" s="150"/>
      <c r="N35" s="11"/>
      <c r="O35" s="149"/>
      <c r="P35" s="150"/>
      <c r="Q35" s="150"/>
      <c r="R35" s="11"/>
      <c r="S35" s="149"/>
      <c r="T35" s="150"/>
      <c r="U35" s="150"/>
      <c r="V35" s="11"/>
      <c r="W35" s="149"/>
      <c r="X35" s="150"/>
      <c r="Y35" s="150"/>
      <c r="Z35" s="11"/>
      <c r="AA35" s="149"/>
      <c r="AB35" s="150">
        <v>90830</v>
      </c>
      <c r="AC35" s="150">
        <v>89704</v>
      </c>
      <c r="AD35" s="11">
        <f t="shared" si="1"/>
        <v>-1126</v>
      </c>
      <c r="AE35" s="149">
        <v>28</v>
      </c>
      <c r="AF35" s="150">
        <v>83640</v>
      </c>
      <c r="AG35" s="150">
        <v>84420</v>
      </c>
      <c r="AH35" s="11">
        <f t="shared" si="2"/>
        <v>780</v>
      </c>
      <c r="AI35" s="149">
        <v>28</v>
      </c>
      <c r="AJ35" s="150">
        <v>117326</v>
      </c>
      <c r="AK35" s="150">
        <v>116198</v>
      </c>
      <c r="AL35" s="11">
        <f t="shared" si="3"/>
        <v>-1128</v>
      </c>
      <c r="AM35" s="149">
        <v>28</v>
      </c>
      <c r="AN35" s="150">
        <v>151053</v>
      </c>
      <c r="AO35" s="150">
        <v>148972</v>
      </c>
      <c r="AP35" s="11">
        <f t="shared" si="4"/>
        <v>-2081</v>
      </c>
      <c r="AQ35" s="149">
        <v>28</v>
      </c>
      <c r="AR35" s="150">
        <v>159141</v>
      </c>
      <c r="AS35" s="150">
        <f>158436+50</f>
        <v>158486</v>
      </c>
      <c r="AT35" s="11">
        <f t="shared" si="5"/>
        <v>-655</v>
      </c>
    </row>
    <row r="36" spans="1:50" x14ac:dyDescent="0.2">
      <c r="A36" s="149">
        <v>29</v>
      </c>
      <c r="B36" s="150"/>
      <c r="C36" s="150"/>
      <c r="D36" s="11">
        <f t="shared" si="0"/>
        <v>0</v>
      </c>
      <c r="E36" s="151"/>
      <c r="F36" s="149"/>
      <c r="G36" s="150"/>
      <c r="H36" s="150"/>
      <c r="I36" s="11"/>
      <c r="J36" s="142"/>
      <c r="K36" s="149"/>
      <c r="L36" s="150"/>
      <c r="M36" s="150"/>
      <c r="N36" s="11"/>
      <c r="O36" s="149"/>
      <c r="P36" s="150"/>
      <c r="Q36" s="150"/>
      <c r="R36" s="11"/>
      <c r="S36" s="149"/>
      <c r="T36" s="150"/>
      <c r="U36" s="150"/>
      <c r="V36" s="11"/>
      <c r="W36" s="149"/>
      <c r="X36" s="150"/>
      <c r="Y36" s="150"/>
      <c r="Z36" s="11"/>
      <c r="AA36" s="149"/>
      <c r="AB36" s="150">
        <v>98826</v>
      </c>
      <c r="AC36" s="150">
        <v>98044</v>
      </c>
      <c r="AD36" s="11">
        <f t="shared" si="1"/>
        <v>-782</v>
      </c>
      <c r="AE36" s="149">
        <v>29</v>
      </c>
      <c r="AF36" s="150">
        <v>72972</v>
      </c>
      <c r="AG36" s="150">
        <v>84163</v>
      </c>
      <c r="AH36" s="11">
        <f t="shared" si="2"/>
        <v>11191</v>
      </c>
      <c r="AI36" s="149">
        <v>29</v>
      </c>
      <c r="AJ36" s="150">
        <v>113125</v>
      </c>
      <c r="AK36" s="150">
        <v>111409</v>
      </c>
      <c r="AL36" s="11">
        <f t="shared" si="3"/>
        <v>-1716</v>
      </c>
      <c r="AM36" s="149">
        <v>29</v>
      </c>
      <c r="AN36" s="150">
        <v>149288</v>
      </c>
      <c r="AO36" s="150">
        <v>148880</v>
      </c>
      <c r="AP36" s="11">
        <f t="shared" si="4"/>
        <v>-408</v>
      </c>
      <c r="AQ36" s="149">
        <v>29</v>
      </c>
      <c r="AR36" s="150">
        <v>160416</v>
      </c>
      <c r="AS36" s="150">
        <v>159760</v>
      </c>
      <c r="AT36" s="11">
        <f t="shared" si="5"/>
        <v>-656</v>
      </c>
    </row>
    <row r="37" spans="1:50" x14ac:dyDescent="0.2">
      <c r="A37" s="149">
        <v>30</v>
      </c>
      <c r="B37" s="150"/>
      <c r="C37" s="150"/>
      <c r="D37" s="11">
        <f t="shared" si="0"/>
        <v>0</v>
      </c>
      <c r="E37" s="151"/>
      <c r="F37" s="149"/>
      <c r="G37" s="150"/>
      <c r="H37" s="150"/>
      <c r="I37" s="11"/>
      <c r="J37" s="142"/>
      <c r="K37" s="149"/>
      <c r="L37" s="150"/>
      <c r="M37" s="150"/>
      <c r="N37" s="11"/>
      <c r="O37" s="149"/>
      <c r="P37" s="150"/>
      <c r="Q37" s="150"/>
      <c r="R37" s="11"/>
      <c r="S37" s="149"/>
      <c r="T37" s="150"/>
      <c r="U37" s="150"/>
      <c r="V37" s="11"/>
      <c r="W37" s="149"/>
      <c r="X37" s="150"/>
      <c r="Y37" s="150"/>
      <c r="Z37" s="11"/>
      <c r="AA37" s="149"/>
      <c r="AB37" s="150">
        <v>82028</v>
      </c>
      <c r="AC37" s="150">
        <v>86837</v>
      </c>
      <c r="AD37" s="11">
        <f t="shared" si="1"/>
        <v>4809</v>
      </c>
      <c r="AE37" s="149">
        <v>30</v>
      </c>
      <c r="AF37" s="150">
        <v>98006</v>
      </c>
      <c r="AG37" s="150">
        <v>99181</v>
      </c>
      <c r="AH37" s="11">
        <f t="shared" si="2"/>
        <v>1175</v>
      </c>
      <c r="AI37" s="149">
        <v>30</v>
      </c>
      <c r="AJ37" s="150">
        <v>123719</v>
      </c>
      <c r="AK37" s="150">
        <v>122461</v>
      </c>
      <c r="AL37" s="11">
        <f t="shared" si="3"/>
        <v>-1258</v>
      </c>
      <c r="AM37" s="149">
        <v>30</v>
      </c>
      <c r="AN37" s="150"/>
      <c r="AO37" s="150"/>
      <c r="AP37" s="11">
        <f t="shared" si="4"/>
        <v>0</v>
      </c>
      <c r="AQ37" s="149">
        <v>30</v>
      </c>
      <c r="AR37" s="150">
        <v>170363</v>
      </c>
      <c r="AS37" s="150">
        <v>171856</v>
      </c>
      <c r="AT37" s="11">
        <f t="shared" si="5"/>
        <v>1493</v>
      </c>
    </row>
    <row r="38" spans="1:50" x14ac:dyDescent="0.2">
      <c r="A38" s="149">
        <v>31</v>
      </c>
      <c r="B38" s="150"/>
      <c r="C38" s="150"/>
      <c r="D38" s="11">
        <f t="shared" si="0"/>
        <v>0</v>
      </c>
      <c r="E38" s="151"/>
      <c r="F38" s="149"/>
      <c r="G38" s="150"/>
      <c r="H38" s="150"/>
      <c r="I38" s="11"/>
      <c r="J38" s="142"/>
      <c r="K38" s="149"/>
      <c r="L38" s="150"/>
      <c r="M38" s="150"/>
      <c r="N38" s="11"/>
      <c r="O38" s="149"/>
      <c r="P38" s="150"/>
      <c r="Q38" s="150"/>
      <c r="R38" s="11"/>
      <c r="S38" s="149"/>
      <c r="T38" s="150"/>
      <c r="U38" s="150"/>
      <c r="V38" s="11"/>
      <c r="W38" s="149"/>
      <c r="X38" s="150"/>
      <c r="Y38" s="150"/>
      <c r="Z38" s="11"/>
      <c r="AA38" s="149"/>
      <c r="AB38" s="150"/>
      <c r="AC38" s="150"/>
      <c r="AD38" s="11">
        <f t="shared" si="1"/>
        <v>0</v>
      </c>
      <c r="AE38" s="149">
        <v>31</v>
      </c>
      <c r="AF38" s="150">
        <v>96276</v>
      </c>
      <c r="AG38" s="150">
        <v>98230</v>
      </c>
      <c r="AH38" s="11">
        <f t="shared" si="2"/>
        <v>1954</v>
      </c>
      <c r="AI38" s="149">
        <v>31</v>
      </c>
      <c r="AJ38" s="150">
        <v>113775</v>
      </c>
      <c r="AK38" s="150">
        <v>112657</v>
      </c>
      <c r="AL38" s="11">
        <f t="shared" si="3"/>
        <v>-1118</v>
      </c>
      <c r="AM38" s="149">
        <v>31</v>
      </c>
      <c r="AN38" s="150"/>
      <c r="AO38" s="150"/>
      <c r="AP38" s="11">
        <f t="shared" si="4"/>
        <v>0</v>
      </c>
      <c r="AQ38" s="149">
        <v>31</v>
      </c>
      <c r="AR38" s="150">
        <v>170527</v>
      </c>
      <c r="AS38" s="150">
        <v>171013</v>
      </c>
      <c r="AT38" s="11">
        <f t="shared" si="5"/>
        <v>486</v>
      </c>
    </row>
    <row r="39" spans="1:50" x14ac:dyDescent="0.2">
      <c r="A39" s="149"/>
      <c r="B39" s="150">
        <f>SUM(B8:B38)</f>
        <v>1701202</v>
      </c>
      <c r="C39" s="150">
        <f>SUM(C8:C38)</f>
        <v>1693187</v>
      </c>
      <c r="D39" s="152">
        <f>SUM(D8:D38)</f>
        <v>-8015</v>
      </c>
      <c r="E39" s="151"/>
      <c r="F39" s="149"/>
      <c r="G39" s="150"/>
      <c r="H39" s="150"/>
      <c r="I39" s="152"/>
      <c r="J39" s="142"/>
      <c r="K39" s="149"/>
      <c r="L39" s="150"/>
      <c r="M39" s="150"/>
      <c r="N39" s="152"/>
      <c r="O39" s="149"/>
      <c r="P39" s="150"/>
      <c r="Q39" s="150"/>
      <c r="R39" s="152"/>
      <c r="S39" s="149"/>
      <c r="T39" s="150"/>
      <c r="U39" s="150"/>
      <c r="V39" s="152"/>
      <c r="W39" s="149"/>
      <c r="X39" s="150"/>
      <c r="Y39" s="150"/>
      <c r="Z39" s="152"/>
      <c r="AA39" s="149"/>
      <c r="AB39" s="150">
        <f>SUM(AB8:AB38)</f>
        <v>2716386</v>
      </c>
      <c r="AC39" s="150">
        <f>SUM(AC8:AC38)</f>
        <v>2762202</v>
      </c>
      <c r="AD39" s="152">
        <f>SUM(AD8:AD38)</f>
        <v>45816</v>
      </c>
      <c r="AE39" s="149"/>
      <c r="AF39" s="150">
        <f>SUM(AF8:AF38)</f>
        <v>2967543</v>
      </c>
      <c r="AG39" s="150">
        <f>SUM(AG8:AG38)</f>
        <v>3032179</v>
      </c>
      <c r="AH39" s="152">
        <f>SUM(AH8:AH38)</f>
        <v>64636</v>
      </c>
      <c r="AI39" s="149"/>
      <c r="AJ39" s="150">
        <f>SUM(AJ8:AJ38)</f>
        <v>3649337</v>
      </c>
      <c r="AK39" s="150">
        <f>SUM(AK8:AK38)</f>
        <v>3723428</v>
      </c>
      <c r="AL39" s="152">
        <f>SUM(AL8:AL38)</f>
        <v>74091</v>
      </c>
      <c r="AM39" s="149"/>
      <c r="AN39" s="150">
        <f>SUM(AN8:AN38)</f>
        <v>4829953</v>
      </c>
      <c r="AO39" s="150">
        <f>SUM(AO8:AO38)</f>
        <v>4834638</v>
      </c>
      <c r="AP39" s="152">
        <f>SUM(AP8:AP38)</f>
        <v>4685</v>
      </c>
      <c r="AQ39" s="149"/>
      <c r="AR39" s="150">
        <f>SUM(AR8:AR38)</f>
        <v>5254669</v>
      </c>
      <c r="AS39" s="150">
        <f>SUM(AS8:AS38)</f>
        <v>5299130</v>
      </c>
      <c r="AT39" s="152">
        <f>SUM(AT8:AT38)</f>
        <v>44461</v>
      </c>
    </row>
    <row r="40" spans="1:50" x14ac:dyDescent="0.2">
      <c r="A40" s="144"/>
      <c r="B40" s="142"/>
      <c r="C40" s="142"/>
      <c r="D40" s="151">
        <f>+summary!P12</f>
        <v>7.61</v>
      </c>
      <c r="E40" s="151"/>
      <c r="F40" s="144"/>
      <c r="G40" s="142"/>
      <c r="H40" s="142"/>
      <c r="I40" s="142"/>
      <c r="J40" s="142"/>
      <c r="K40" s="144"/>
      <c r="L40" s="142"/>
      <c r="M40" s="142"/>
      <c r="N40" s="142"/>
      <c r="O40" s="144"/>
      <c r="P40" s="142"/>
      <c r="Q40" s="142"/>
      <c r="R40" s="142"/>
      <c r="S40" s="144"/>
      <c r="T40" s="142"/>
      <c r="U40" s="142"/>
      <c r="V40" s="142"/>
      <c r="W40" s="144"/>
      <c r="X40" s="142"/>
      <c r="Y40" s="142"/>
      <c r="Z40" s="142"/>
      <c r="AA40" s="144"/>
      <c r="AB40" s="142"/>
      <c r="AC40" s="142"/>
      <c r="AD40" s="142"/>
      <c r="AE40" s="144"/>
      <c r="AF40" s="142"/>
      <c r="AG40" s="142"/>
      <c r="AH40" s="142"/>
      <c r="AI40" s="144"/>
      <c r="AJ40" s="142"/>
      <c r="AK40" s="142"/>
      <c r="AL40" s="142"/>
      <c r="AM40" s="144"/>
      <c r="AN40" s="142"/>
      <c r="AO40" s="142"/>
      <c r="AP40" s="142"/>
      <c r="AQ40" s="144"/>
      <c r="AR40" s="142"/>
      <c r="AS40" s="142"/>
      <c r="AT40" s="142"/>
    </row>
    <row r="41" spans="1:50" x14ac:dyDescent="0.2">
      <c r="A41" s="144"/>
      <c r="B41" s="151"/>
      <c r="C41" s="153"/>
      <c r="D41" s="253">
        <f>+D40*D39</f>
        <v>-60994.15</v>
      </c>
      <c r="E41" s="151"/>
      <c r="F41" s="144"/>
      <c r="G41" s="151"/>
      <c r="H41" s="153"/>
      <c r="I41" s="142"/>
      <c r="J41" s="142"/>
      <c r="K41" s="144"/>
      <c r="L41" s="151"/>
      <c r="M41" s="153"/>
      <c r="N41" s="142"/>
      <c r="O41" s="144"/>
      <c r="P41" s="151"/>
      <c r="Q41" s="153"/>
      <c r="R41" s="142"/>
      <c r="S41" s="144"/>
      <c r="T41" s="151"/>
      <c r="U41" s="153"/>
      <c r="V41" s="142"/>
      <c r="W41" s="144"/>
      <c r="X41" s="151"/>
      <c r="Y41" s="153"/>
      <c r="Z41" s="142"/>
      <c r="AA41" s="144"/>
      <c r="AB41" s="151"/>
      <c r="AC41" s="153"/>
      <c r="AD41" s="142"/>
      <c r="AE41" s="144"/>
      <c r="AF41" s="151"/>
      <c r="AG41" s="153"/>
      <c r="AH41" s="142"/>
      <c r="AI41" s="144"/>
      <c r="AJ41" s="151"/>
      <c r="AK41" s="153"/>
      <c r="AL41" s="142"/>
      <c r="AM41" s="144"/>
      <c r="AN41" s="151"/>
      <c r="AO41" s="153"/>
      <c r="AP41" s="142"/>
      <c r="AQ41" s="144"/>
      <c r="AR41" s="151"/>
      <c r="AS41" s="153"/>
      <c r="AT41" s="142"/>
    </row>
    <row r="42" spans="1:50" x14ac:dyDescent="0.2">
      <c r="A42" s="113"/>
      <c r="B42" s="156">
        <v>36860</v>
      </c>
      <c r="C42" s="153"/>
      <c r="D42" s="343">
        <v>-19466.22</v>
      </c>
      <c r="E42" s="144"/>
      <c r="G42" s="151"/>
      <c r="H42" s="153"/>
      <c r="I42" s="155"/>
      <c r="J42" s="142"/>
      <c r="K42" s="113"/>
      <c r="L42" s="151"/>
      <c r="M42" s="153"/>
      <c r="N42" s="155"/>
      <c r="O42" s="113"/>
      <c r="P42" s="151"/>
      <c r="Q42" s="153"/>
      <c r="R42" s="155"/>
      <c r="S42" s="113"/>
      <c r="T42" s="151"/>
      <c r="U42" s="153"/>
      <c r="V42" s="155"/>
      <c r="W42" s="113"/>
      <c r="X42" s="156"/>
      <c r="Y42" s="153"/>
      <c r="Z42" s="155"/>
      <c r="AA42" s="113"/>
      <c r="AB42" s="156">
        <v>36464</v>
      </c>
      <c r="AC42" s="153"/>
      <c r="AD42" s="155">
        <v>44054</v>
      </c>
      <c r="AE42" s="113"/>
      <c r="AF42" s="156">
        <v>36494</v>
      </c>
      <c r="AG42" s="153"/>
      <c r="AH42" s="155">
        <v>80035</v>
      </c>
      <c r="AI42" s="113"/>
      <c r="AJ42" s="156">
        <v>36525</v>
      </c>
      <c r="AK42" s="153"/>
      <c r="AL42" s="155">
        <v>144671</v>
      </c>
      <c r="AM42" s="113"/>
      <c r="AN42" s="156">
        <v>36556</v>
      </c>
      <c r="AO42" s="153"/>
      <c r="AP42" s="155">
        <v>218762</v>
      </c>
      <c r="AQ42" s="113"/>
      <c r="AR42" s="156"/>
      <c r="AS42" s="153"/>
      <c r="AT42" s="150"/>
    </row>
    <row r="43" spans="1:50" x14ac:dyDescent="0.2">
      <c r="A43" s="113"/>
      <c r="B43" s="156">
        <v>36871</v>
      </c>
      <c r="C43" s="142"/>
      <c r="D43" s="253">
        <f>+D42+D41</f>
        <v>-80460.37</v>
      </c>
      <c r="E43" s="144"/>
      <c r="I43" s="142"/>
      <c r="J43" s="142"/>
      <c r="K43" s="113"/>
      <c r="N43" s="142"/>
      <c r="O43" s="113"/>
      <c r="R43" s="142"/>
      <c r="S43" s="113"/>
      <c r="V43" s="142"/>
      <c r="W43" s="113"/>
      <c r="Z43" s="142"/>
      <c r="AA43" s="113"/>
      <c r="AD43" s="142"/>
      <c r="AE43" s="113"/>
      <c r="AH43" s="142"/>
      <c r="AI43" s="113"/>
      <c r="AL43" s="142"/>
      <c r="AM43" s="113"/>
      <c r="AP43" s="142"/>
      <c r="AQ43" s="113"/>
      <c r="AR43" s="142"/>
      <c r="AS43" s="142"/>
      <c r="AT43" s="142"/>
    </row>
    <row r="44" spans="1:50" x14ac:dyDescent="0.2">
      <c r="A44" s="144"/>
      <c r="B44" s="142"/>
      <c r="C44" s="142"/>
      <c r="D44" s="158"/>
      <c r="E44" s="144"/>
      <c r="F44" s="144"/>
      <c r="G44" s="142"/>
      <c r="H44" s="142"/>
      <c r="I44" s="142"/>
      <c r="J44" s="142"/>
      <c r="K44" s="144"/>
      <c r="L44" s="142"/>
      <c r="M44" s="142"/>
      <c r="N44" s="142"/>
      <c r="O44" s="144"/>
      <c r="P44" s="142"/>
      <c r="Q44" s="142"/>
      <c r="R44" s="142"/>
      <c r="S44" s="144"/>
      <c r="T44" s="142"/>
      <c r="U44" s="142"/>
      <c r="V44" s="142"/>
      <c r="W44" s="144"/>
      <c r="X44" s="142"/>
      <c r="Y44" s="142"/>
      <c r="Z44" s="142"/>
      <c r="AA44" s="144"/>
      <c r="AB44" s="142"/>
      <c r="AC44" s="142"/>
      <c r="AD44" s="142"/>
      <c r="AE44" s="144"/>
      <c r="AF44" s="142"/>
      <c r="AG44" s="142"/>
      <c r="AH44" s="142"/>
      <c r="AI44" s="144"/>
      <c r="AJ44" s="142"/>
      <c r="AK44" s="142"/>
      <c r="AL44" s="142"/>
      <c r="AM44" s="144"/>
      <c r="AN44" s="142"/>
      <c r="AO44" s="142"/>
      <c r="AP44" s="142"/>
      <c r="AQ44" s="144"/>
      <c r="AR44" s="142"/>
      <c r="AS44" s="142"/>
      <c r="AT44" s="158"/>
    </row>
    <row r="45" spans="1:50" x14ac:dyDescent="0.2">
      <c r="A45" s="145"/>
      <c r="B45" s="157"/>
      <c r="C45" s="154"/>
      <c r="D45" s="142"/>
      <c r="E45" s="144"/>
      <c r="F45" s="144"/>
      <c r="G45" s="153"/>
      <c r="H45" s="142"/>
      <c r="I45" s="152"/>
      <c r="J45" s="142"/>
      <c r="K45" s="144"/>
      <c r="L45" s="153"/>
      <c r="M45" s="142"/>
      <c r="N45" s="152"/>
      <c r="O45" s="144"/>
      <c r="P45" s="153"/>
      <c r="Q45" s="142"/>
      <c r="R45" s="152"/>
      <c r="S45" s="144"/>
      <c r="T45" s="153"/>
      <c r="U45" s="142"/>
      <c r="V45" s="152"/>
      <c r="W45" s="144"/>
      <c r="X45" s="153"/>
      <c r="Y45" s="142"/>
      <c r="Z45" s="152"/>
      <c r="AA45" s="144"/>
      <c r="AB45" s="153" t="s">
        <v>56</v>
      </c>
      <c r="AC45" s="142"/>
      <c r="AD45" s="152">
        <f>+AD42+AD39</f>
        <v>89870</v>
      </c>
      <c r="AE45" s="144"/>
      <c r="AF45" s="153" t="s">
        <v>57</v>
      </c>
      <c r="AG45" s="142"/>
      <c r="AH45" s="152">
        <f>+AH42+AH39</f>
        <v>144671</v>
      </c>
      <c r="AI45" s="144"/>
      <c r="AJ45" s="153" t="s">
        <v>58</v>
      </c>
      <c r="AK45" s="142"/>
      <c r="AL45" s="159">
        <f>+AL42+AL39</f>
        <v>218762</v>
      </c>
      <c r="AM45" s="144"/>
      <c r="AN45" s="153" t="s">
        <v>59</v>
      </c>
      <c r="AO45" s="142"/>
      <c r="AP45" s="159">
        <f>+AP42+AP39</f>
        <v>223447</v>
      </c>
      <c r="AQ45" s="144"/>
      <c r="AR45" s="153"/>
      <c r="AS45" s="142"/>
      <c r="AT45" s="160"/>
      <c r="AU45" s="144"/>
      <c r="AV45" s="153"/>
      <c r="AW45" s="142"/>
      <c r="AX45" s="160"/>
    </row>
    <row r="46" spans="1:50" x14ac:dyDescent="0.2">
      <c r="A46" s="145"/>
      <c r="B46" s="157"/>
      <c r="C46" s="154"/>
      <c r="D46" s="390"/>
      <c r="E46" s="144"/>
      <c r="F46" s="144"/>
      <c r="G46" s="142"/>
      <c r="H46" s="142"/>
      <c r="I46" s="142"/>
      <c r="J46" s="142"/>
      <c r="K46" s="144"/>
      <c r="L46" s="142"/>
      <c r="M46" s="142"/>
      <c r="N46" s="142"/>
      <c r="O46" s="144"/>
      <c r="P46" s="142"/>
      <c r="Q46" s="142"/>
      <c r="R46" s="142"/>
      <c r="S46" s="142"/>
      <c r="T46" s="142"/>
      <c r="U46" s="142"/>
      <c r="AR46" s="142"/>
      <c r="AS46" s="142"/>
      <c r="AT46" s="158"/>
    </row>
    <row r="47" spans="1:50" x14ac:dyDescent="0.2">
      <c r="F47" s="144"/>
      <c r="G47" s="142"/>
      <c r="H47" s="142"/>
      <c r="I47" s="142"/>
      <c r="J47" s="142"/>
      <c r="K47" s="144"/>
      <c r="L47" s="142"/>
      <c r="M47" s="142"/>
      <c r="N47" s="142"/>
      <c r="O47" s="144"/>
      <c r="P47" s="142"/>
      <c r="Q47" s="142"/>
      <c r="R47" s="142"/>
      <c r="S47" s="142"/>
      <c r="T47" s="142"/>
      <c r="U47" s="142"/>
      <c r="AP47" s="162">
        <v>2.21</v>
      </c>
      <c r="AR47" s="142"/>
      <c r="AS47" s="142"/>
      <c r="AT47" s="163"/>
    </row>
    <row r="48" spans="1:50" ht="13.5" thickBot="1" x14ac:dyDescent="0.25">
      <c r="F48" s="144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AP48" s="164">
        <f>+AP47*AP45</f>
        <v>493817.87</v>
      </c>
      <c r="AR48" s="142"/>
      <c r="AS48" s="142"/>
      <c r="AT48" s="165"/>
    </row>
    <row r="49" spans="6:46" ht="13.5" thickTop="1" x14ac:dyDescent="0.2">
      <c r="F49" s="144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AR49" s="142"/>
      <c r="AS49" s="142"/>
      <c r="AT49" s="142"/>
    </row>
    <row r="50" spans="6:46" x14ac:dyDescent="0.2">
      <c r="F50" s="144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AF50" s="34">
        <v>48.75</v>
      </c>
    </row>
    <row r="51" spans="6:46" x14ac:dyDescent="0.2">
      <c r="F51" s="144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AF51" s="34">
        <v>15.25</v>
      </c>
      <c r="AP51" s="104">
        <f>+AP45*1.88</f>
        <v>420080.36</v>
      </c>
    </row>
    <row r="52" spans="6:46" x14ac:dyDescent="0.2">
      <c r="F52" s="144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AF52" s="34">
        <f>+AF50-AF51</f>
        <v>33.5</v>
      </c>
    </row>
    <row r="53" spans="6:46" x14ac:dyDescent="0.2"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AF53" s="34">
        <v>720</v>
      </c>
    </row>
    <row r="54" spans="6:46" x14ac:dyDescent="0.2"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AF54" s="34">
        <f>+AF53*AF52</f>
        <v>24120</v>
      </c>
    </row>
    <row r="55" spans="6:46" x14ac:dyDescent="0.2"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AF55" s="34">
        <v>0.35</v>
      </c>
    </row>
    <row r="56" spans="6:46" x14ac:dyDescent="0.2"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AF56" s="34">
        <f>+AF55*AF54</f>
        <v>8442</v>
      </c>
    </row>
    <row r="57" spans="6:46" x14ac:dyDescent="0.2"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AF57" s="34">
        <f>+AF54-AF56</f>
        <v>15678</v>
      </c>
    </row>
    <row r="58" spans="6:46" x14ac:dyDescent="0.2"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</row>
    <row r="59" spans="6:46" x14ac:dyDescent="0.2"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</row>
    <row r="60" spans="6:46" x14ac:dyDescent="0.2"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</row>
    <row r="61" spans="6:46" x14ac:dyDescent="0.2"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</row>
    <row r="62" spans="6:46" ht="20.100000000000001" customHeight="1" x14ac:dyDescent="0.2"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</row>
    <row r="63" spans="6:46" ht="20.100000000000001" customHeight="1" x14ac:dyDescent="0.2"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</row>
    <row r="64" spans="6:46" ht="20.100000000000001" customHeight="1" x14ac:dyDescent="0.2"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</row>
    <row r="65" spans="1:21" ht="20.100000000000001" customHeight="1" x14ac:dyDescent="0.2"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</row>
    <row r="66" spans="1:21" ht="20.100000000000001" customHeight="1" x14ac:dyDescent="0.2"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</row>
    <row r="67" spans="1:21" ht="20.100000000000001" customHeight="1" x14ac:dyDescent="0.2"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</row>
    <row r="68" spans="1:21" ht="20.100000000000001" customHeight="1" x14ac:dyDescent="0.2"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</row>
    <row r="69" spans="1:21" ht="20.100000000000001" customHeight="1" x14ac:dyDescent="0.2">
      <c r="F69" s="144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</row>
    <row r="70" spans="1:21" ht="20.100000000000001" customHeight="1" x14ac:dyDescent="0.2">
      <c r="F70" s="144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</row>
    <row r="71" spans="1:21" ht="20.100000000000001" customHeight="1" x14ac:dyDescent="0.2"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</row>
    <row r="72" spans="1:21" ht="21" customHeight="1" x14ac:dyDescent="0.2"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</row>
    <row r="73" spans="1:21" x14ac:dyDescent="0.2">
      <c r="F73" s="144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</row>
    <row r="74" spans="1:21" x14ac:dyDescent="0.2">
      <c r="F74" s="144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</row>
    <row r="75" spans="1:21" x14ac:dyDescent="0.2">
      <c r="F75" s="144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</row>
    <row r="76" spans="1:21" x14ac:dyDescent="0.2">
      <c r="F76" s="144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</row>
    <row r="77" spans="1:21" x14ac:dyDescent="0.2">
      <c r="F77" s="144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</row>
    <row r="78" spans="1:21" x14ac:dyDescent="0.2">
      <c r="F78" s="144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</row>
    <row r="79" spans="1:21" x14ac:dyDescent="0.2">
      <c r="A79" s="161" t="s">
        <v>25</v>
      </c>
      <c r="B79" s="157"/>
      <c r="C79" s="154"/>
      <c r="D79" s="142"/>
      <c r="E79" s="144"/>
      <c r="F79" s="144"/>
    </row>
    <row r="80" spans="1:21" x14ac:dyDescent="0.2">
      <c r="A80" s="161" t="s">
        <v>60</v>
      </c>
      <c r="B80" s="157"/>
      <c r="C80" s="154"/>
      <c r="D80" s="142"/>
      <c r="E80" s="144"/>
      <c r="F80" s="144"/>
    </row>
    <row r="81" spans="1:9" x14ac:dyDescent="0.2">
      <c r="A81" s="161" t="s">
        <v>61</v>
      </c>
      <c r="B81" s="157"/>
      <c r="C81" s="154"/>
      <c r="D81" s="142"/>
      <c r="E81" s="144"/>
    </row>
    <row r="84" spans="1:9" x14ac:dyDescent="0.2">
      <c r="A84" s="146"/>
      <c r="B84" s="166" t="s">
        <v>15</v>
      </c>
      <c r="C84" s="166" t="s">
        <v>62</v>
      </c>
      <c r="D84" s="146"/>
      <c r="F84" s="146"/>
      <c r="G84" s="166" t="s">
        <v>15</v>
      </c>
      <c r="H84" s="166" t="s">
        <v>62</v>
      </c>
      <c r="I84" s="146"/>
    </row>
    <row r="85" spans="1:9" x14ac:dyDescent="0.2">
      <c r="A85" s="146"/>
      <c r="B85" s="116" t="s">
        <v>54</v>
      </c>
      <c r="C85" s="116" t="s">
        <v>17</v>
      </c>
      <c r="D85" s="167" t="s">
        <v>29</v>
      </c>
      <c r="F85" s="146"/>
      <c r="G85" s="116" t="s">
        <v>54</v>
      </c>
      <c r="H85" s="116" t="s">
        <v>17</v>
      </c>
      <c r="I85" s="167" t="s">
        <v>29</v>
      </c>
    </row>
    <row r="86" spans="1:9" x14ac:dyDescent="0.2">
      <c r="A86" s="168">
        <v>36100</v>
      </c>
      <c r="B86" s="169">
        <v>11369</v>
      </c>
      <c r="C86" s="170">
        <v>2.02</v>
      </c>
      <c r="D86" s="144">
        <f>+C86*B86</f>
        <v>22965.38</v>
      </c>
      <c r="F86" s="168">
        <v>35735</v>
      </c>
      <c r="G86" s="169">
        <v>19437</v>
      </c>
      <c r="H86" s="170">
        <v>2.7</v>
      </c>
      <c r="I86" s="144">
        <f>+H86*G86</f>
        <v>52479.9</v>
      </c>
    </row>
    <row r="87" spans="1:9" x14ac:dyDescent="0.2">
      <c r="A87" s="168">
        <v>36130</v>
      </c>
      <c r="B87" s="169">
        <v>88047</v>
      </c>
      <c r="C87" s="170">
        <v>1.79</v>
      </c>
      <c r="D87" s="144">
        <f t="shared" ref="D87:D92" si="6">+C87*B87</f>
        <v>157604.13</v>
      </c>
      <c r="F87" s="168">
        <v>35765</v>
      </c>
      <c r="G87" s="169">
        <v>11409</v>
      </c>
      <c r="H87" s="170">
        <v>2.16</v>
      </c>
      <c r="I87" s="144">
        <f t="shared" ref="I87:I97" si="7">+H87*G87</f>
        <v>24643.440000000002</v>
      </c>
    </row>
    <row r="88" spans="1:9" x14ac:dyDescent="0.2">
      <c r="A88" s="168">
        <v>36161</v>
      </c>
      <c r="B88" s="169">
        <v>22026</v>
      </c>
      <c r="C88" s="170">
        <v>1.7</v>
      </c>
      <c r="D88" s="144">
        <f t="shared" si="6"/>
        <v>37444.199999999997</v>
      </c>
      <c r="F88" s="168">
        <v>35796</v>
      </c>
      <c r="G88" s="169">
        <v>13417</v>
      </c>
      <c r="H88" s="170">
        <v>1.96</v>
      </c>
      <c r="I88" s="144">
        <f t="shared" si="7"/>
        <v>26297.32</v>
      </c>
    </row>
    <row r="89" spans="1:9" x14ac:dyDescent="0.2">
      <c r="A89" s="168">
        <v>36192</v>
      </c>
      <c r="B89" s="169">
        <v>12888</v>
      </c>
      <c r="C89" s="170">
        <v>1.61</v>
      </c>
      <c r="D89" s="144">
        <f t="shared" si="6"/>
        <v>20749.68</v>
      </c>
      <c r="F89" s="168">
        <v>35827</v>
      </c>
      <c r="G89" s="169">
        <v>21244</v>
      </c>
      <c r="H89" s="170">
        <v>2.0299999999999998</v>
      </c>
      <c r="I89" s="144">
        <f t="shared" si="7"/>
        <v>43125.319999999992</v>
      </c>
    </row>
    <row r="90" spans="1:9" x14ac:dyDescent="0.2">
      <c r="A90" s="168">
        <v>36220</v>
      </c>
      <c r="B90" s="169">
        <v>29</v>
      </c>
      <c r="C90" s="170">
        <v>1.56</v>
      </c>
      <c r="D90" s="144">
        <f t="shared" si="6"/>
        <v>45.24</v>
      </c>
      <c r="F90" s="168">
        <v>35855</v>
      </c>
      <c r="G90" s="169">
        <v>19170</v>
      </c>
      <c r="H90" s="170">
        <v>2.1</v>
      </c>
      <c r="I90" s="144">
        <f t="shared" si="7"/>
        <v>40257</v>
      </c>
    </row>
    <row r="91" spans="1:9" x14ac:dyDescent="0.2">
      <c r="A91" s="168">
        <v>36251</v>
      </c>
      <c r="B91" s="169">
        <v>31188</v>
      </c>
      <c r="C91" s="170">
        <v>1.9</v>
      </c>
      <c r="D91" s="144">
        <f t="shared" si="6"/>
        <v>59257.2</v>
      </c>
      <c r="F91" s="168">
        <v>35886</v>
      </c>
      <c r="G91" s="169">
        <v>26776</v>
      </c>
      <c r="H91" s="170">
        <v>2.2000000000000002</v>
      </c>
      <c r="I91" s="144">
        <f t="shared" si="7"/>
        <v>58907.200000000004</v>
      </c>
    </row>
    <row r="92" spans="1:9" x14ac:dyDescent="0.2">
      <c r="A92" s="168">
        <v>36281</v>
      </c>
      <c r="B92" s="169">
        <f>3252482-3155382</f>
        <v>97100</v>
      </c>
      <c r="C92" s="170">
        <v>2.02</v>
      </c>
      <c r="D92" s="144">
        <f t="shared" si="6"/>
        <v>196142</v>
      </c>
      <c r="F92" s="168">
        <v>35916</v>
      </c>
      <c r="G92" s="169">
        <v>30102</v>
      </c>
      <c r="H92" s="170">
        <v>1.88</v>
      </c>
      <c r="I92" s="144">
        <f t="shared" si="7"/>
        <v>56591.759999999995</v>
      </c>
    </row>
    <row r="93" spans="1:9" x14ac:dyDescent="0.2">
      <c r="A93" s="17">
        <v>36312</v>
      </c>
      <c r="B93" s="169">
        <v>48333</v>
      </c>
      <c r="C93" s="170">
        <v>1.96</v>
      </c>
      <c r="D93" s="144">
        <f t="shared" ref="D93:D99" si="8">+C93*B93</f>
        <v>94732.68</v>
      </c>
      <c r="F93" s="17">
        <v>35947</v>
      </c>
      <c r="G93" s="169">
        <v>17068</v>
      </c>
      <c r="H93" s="170">
        <v>1.64</v>
      </c>
      <c r="I93" s="144">
        <f t="shared" si="7"/>
        <v>27991.519999999997</v>
      </c>
    </row>
    <row r="94" spans="1:9" x14ac:dyDescent="0.2">
      <c r="A94" s="168">
        <v>36342</v>
      </c>
      <c r="B94" s="169">
        <v>-72504</v>
      </c>
      <c r="C94" s="170">
        <v>2.0099999999999998</v>
      </c>
      <c r="D94" s="144">
        <f t="shared" si="8"/>
        <v>-145733.03999999998</v>
      </c>
      <c r="F94" s="168">
        <v>35977</v>
      </c>
      <c r="G94" s="169">
        <v>24452</v>
      </c>
      <c r="H94" s="170">
        <v>1.87</v>
      </c>
      <c r="I94" s="144">
        <f t="shared" si="7"/>
        <v>45725.240000000005</v>
      </c>
    </row>
    <row r="95" spans="1:9" x14ac:dyDescent="0.2">
      <c r="A95" s="168">
        <v>36373</v>
      </c>
      <c r="B95" s="169">
        <v>-6559</v>
      </c>
      <c r="C95" s="170">
        <v>2.35</v>
      </c>
      <c r="D95" s="144">
        <f t="shared" si="8"/>
        <v>-15413.650000000001</v>
      </c>
      <c r="F95" s="168">
        <v>36008</v>
      </c>
      <c r="G95" s="169">
        <v>26181</v>
      </c>
      <c r="H95" s="170">
        <v>1.71</v>
      </c>
      <c r="I95" s="144">
        <f t="shared" si="7"/>
        <v>44769.51</v>
      </c>
    </row>
    <row r="96" spans="1:9" x14ac:dyDescent="0.2">
      <c r="A96" s="168">
        <v>36404</v>
      </c>
      <c r="B96" s="169">
        <v>-73056</v>
      </c>
      <c r="C96" s="170">
        <v>2.29</v>
      </c>
      <c r="D96" s="144">
        <f t="shared" si="8"/>
        <v>-167298.23999999999</v>
      </c>
      <c r="F96" s="168">
        <v>36039</v>
      </c>
      <c r="G96" s="169">
        <v>14386</v>
      </c>
      <c r="H96" s="170">
        <v>1.65</v>
      </c>
      <c r="I96" s="144">
        <f t="shared" si="7"/>
        <v>23736.899999999998</v>
      </c>
    </row>
    <row r="97" spans="1:9" x14ac:dyDescent="0.2">
      <c r="A97" s="168">
        <v>36434</v>
      </c>
      <c r="B97" s="169">
        <v>-4807</v>
      </c>
      <c r="C97" s="170">
        <v>2.59</v>
      </c>
      <c r="D97" s="144">
        <f t="shared" si="8"/>
        <v>-12450.13</v>
      </c>
      <c r="F97" s="168">
        <v>36069</v>
      </c>
      <c r="G97" s="169">
        <v>18644</v>
      </c>
      <c r="H97" s="170">
        <v>1.73</v>
      </c>
      <c r="I97" s="144">
        <f t="shared" si="7"/>
        <v>32254.12</v>
      </c>
    </row>
    <row r="98" spans="1:9" x14ac:dyDescent="0.2">
      <c r="A98" s="168">
        <v>36465</v>
      </c>
      <c r="B98" s="169">
        <v>35981</v>
      </c>
      <c r="C98" s="170">
        <v>2.14</v>
      </c>
      <c r="D98" s="144">
        <f t="shared" si="8"/>
        <v>76999.340000000011</v>
      </c>
      <c r="F98" s="168">
        <v>36100</v>
      </c>
      <c r="G98" s="169">
        <v>21859</v>
      </c>
      <c r="H98" s="170">
        <v>2.02</v>
      </c>
      <c r="I98" s="144">
        <f>+H98*G98</f>
        <v>44155.18</v>
      </c>
    </row>
    <row r="99" spans="1:9" x14ac:dyDescent="0.2">
      <c r="A99" s="17">
        <v>36495</v>
      </c>
      <c r="B99" s="169">
        <v>64636</v>
      </c>
      <c r="C99" s="170">
        <v>2.21</v>
      </c>
      <c r="D99" s="144">
        <f t="shared" si="8"/>
        <v>142845.56</v>
      </c>
      <c r="F99" s="168">
        <v>36130</v>
      </c>
      <c r="G99" s="169">
        <v>20077</v>
      </c>
      <c r="H99" s="170">
        <v>1.79</v>
      </c>
      <c r="I99" s="144">
        <f t="shared" ref="I99:I111" si="9">+H99*G99</f>
        <v>35937.83</v>
      </c>
    </row>
    <row r="100" spans="1:9" x14ac:dyDescent="0.2">
      <c r="A100" s="168" t="s">
        <v>63</v>
      </c>
      <c r="B100" s="169">
        <v>-110000</v>
      </c>
      <c r="C100" s="170">
        <f>+D100/B100</f>
        <v>2.02</v>
      </c>
      <c r="D100" s="144">
        <v>-222200</v>
      </c>
      <c r="F100" s="168">
        <v>36161</v>
      </c>
      <c r="G100" s="169">
        <v>3591</v>
      </c>
      <c r="H100" s="170">
        <v>1.7</v>
      </c>
      <c r="I100" s="144">
        <f t="shared" si="9"/>
        <v>6104.7</v>
      </c>
    </row>
    <row r="101" spans="1:9" x14ac:dyDescent="0.2">
      <c r="A101" s="146" t="s">
        <v>64</v>
      </c>
      <c r="B101" s="171">
        <f>SUM(B86:B100)</f>
        <v>144671</v>
      </c>
      <c r="C101" s="172">
        <f>+D101/B101</f>
        <v>1.6982695218806811</v>
      </c>
      <c r="D101" s="173">
        <f>SUM(D86:D100)</f>
        <v>245690.35000000003</v>
      </c>
      <c r="E101" s="144"/>
      <c r="F101" s="168">
        <v>36192</v>
      </c>
      <c r="G101" s="169">
        <v>6701</v>
      </c>
      <c r="H101" s="170">
        <v>1.61</v>
      </c>
      <c r="I101" s="144">
        <f t="shared" si="9"/>
        <v>10788.61</v>
      </c>
    </row>
    <row r="102" spans="1:9" x14ac:dyDescent="0.2">
      <c r="A102" s="146" t="s">
        <v>65</v>
      </c>
      <c r="B102" s="116">
        <f>+AL39</f>
        <v>74091</v>
      </c>
      <c r="C102" s="174">
        <v>2.2000000000000002</v>
      </c>
      <c r="D102" s="175">
        <f>+C102*B102</f>
        <v>163000.20000000001</v>
      </c>
      <c r="E102" s="144"/>
      <c r="F102" s="168">
        <v>36220</v>
      </c>
      <c r="G102" s="169">
        <v>5383</v>
      </c>
      <c r="H102" s="170">
        <v>1.56</v>
      </c>
      <c r="I102" s="144">
        <f t="shared" si="9"/>
        <v>8397.48</v>
      </c>
    </row>
    <row r="103" spans="1:9" x14ac:dyDescent="0.2">
      <c r="A103" s="115" t="s">
        <v>66</v>
      </c>
      <c r="B103" s="169">
        <f>+B102+B101</f>
        <v>218762</v>
      </c>
      <c r="C103" s="176">
        <f>+D103/B103</f>
        <v>1.8681971731836426</v>
      </c>
      <c r="D103" s="144">
        <f>+D102+D101</f>
        <v>408690.55000000005</v>
      </c>
      <c r="F103" s="168">
        <v>36251</v>
      </c>
      <c r="G103" s="169">
        <v>17558</v>
      </c>
      <c r="H103" s="170">
        <v>1.9</v>
      </c>
      <c r="I103" s="144">
        <f t="shared" si="9"/>
        <v>33360.199999999997</v>
      </c>
    </row>
    <row r="104" spans="1:9" x14ac:dyDescent="0.2">
      <c r="A104" s="17"/>
      <c r="B104" s="112"/>
      <c r="C104" s="177"/>
      <c r="D104" s="3"/>
      <c r="F104" s="168">
        <v>36281</v>
      </c>
      <c r="G104" s="169">
        <v>16888</v>
      </c>
      <c r="H104" s="170">
        <v>2</v>
      </c>
      <c r="I104" s="144">
        <f t="shared" si="9"/>
        <v>33776</v>
      </c>
    </row>
    <row r="105" spans="1:9" x14ac:dyDescent="0.2">
      <c r="A105" s="168" t="s">
        <v>67</v>
      </c>
      <c r="B105" s="169">
        <f>+B103</f>
        <v>218762</v>
      </c>
      <c r="C105" s="170">
        <v>2.2000000000000002</v>
      </c>
      <c r="D105" s="144">
        <f>+C105*B105</f>
        <v>481276.4</v>
      </c>
      <c r="F105" s="17">
        <v>36312</v>
      </c>
      <c r="G105" s="169">
        <v>24801</v>
      </c>
      <c r="H105" s="170">
        <v>1.96</v>
      </c>
      <c r="I105" s="144">
        <f t="shared" si="9"/>
        <v>48609.96</v>
      </c>
    </row>
    <row r="106" spans="1:9" x14ac:dyDescent="0.2">
      <c r="A106" s="168"/>
      <c r="B106" s="169"/>
      <c r="C106" s="170"/>
      <c r="D106" s="144"/>
      <c r="E106" s="144"/>
      <c r="F106" s="168">
        <v>36342</v>
      </c>
      <c r="G106" s="169">
        <v>23747</v>
      </c>
      <c r="H106" s="170">
        <v>2.0099999999999998</v>
      </c>
      <c r="I106" s="144">
        <f t="shared" si="9"/>
        <v>47731.469999999994</v>
      </c>
    </row>
    <row r="107" spans="1:9" x14ac:dyDescent="0.2">
      <c r="A107" s="168"/>
      <c r="B107" s="169"/>
      <c r="C107" s="170"/>
      <c r="D107" s="144"/>
      <c r="E107" s="144"/>
      <c r="F107" s="168">
        <v>36373</v>
      </c>
      <c r="G107" s="169">
        <v>21597</v>
      </c>
      <c r="H107" s="170">
        <v>2.35</v>
      </c>
      <c r="I107" s="144">
        <f t="shared" si="9"/>
        <v>50752.950000000004</v>
      </c>
    </row>
    <row r="108" spans="1:9" x14ac:dyDescent="0.2">
      <c r="A108" s="168"/>
      <c r="B108" s="169">
        <v>100000</v>
      </c>
      <c r="C108" s="170">
        <v>2</v>
      </c>
      <c r="D108" s="144">
        <f>+C108*B108</f>
        <v>200000</v>
      </c>
      <c r="E108" s="144"/>
      <c r="F108" s="168">
        <v>36404</v>
      </c>
      <c r="G108" s="169">
        <v>16984</v>
      </c>
      <c r="H108" s="170">
        <v>2.29</v>
      </c>
      <c r="I108" s="144">
        <f t="shared" si="9"/>
        <v>38893.360000000001</v>
      </c>
    </row>
    <row r="109" spans="1:9" x14ac:dyDescent="0.2">
      <c r="A109" s="168"/>
      <c r="B109" s="169"/>
      <c r="C109" s="170"/>
      <c r="D109" s="144"/>
      <c r="E109" s="144"/>
      <c r="F109" s="168">
        <v>36434</v>
      </c>
      <c r="G109" s="169">
        <v>11019</v>
      </c>
      <c r="H109" s="170">
        <v>2.59</v>
      </c>
      <c r="I109" s="144">
        <f t="shared" si="9"/>
        <v>28539.21</v>
      </c>
    </row>
    <row r="110" spans="1:9" x14ac:dyDescent="0.2">
      <c r="A110" s="168"/>
      <c r="B110" s="169"/>
      <c r="C110" s="170"/>
      <c r="D110" s="144"/>
      <c r="E110" s="144"/>
      <c r="F110" s="168">
        <v>36465</v>
      </c>
      <c r="G110" s="169">
        <v>14611</v>
      </c>
      <c r="H110" s="170">
        <v>2.14</v>
      </c>
      <c r="I110" s="144">
        <f t="shared" si="9"/>
        <v>31267.54</v>
      </c>
    </row>
    <row r="111" spans="1:9" x14ac:dyDescent="0.2">
      <c r="A111" s="168"/>
      <c r="B111" s="117"/>
      <c r="C111" s="174"/>
      <c r="D111" s="175"/>
      <c r="E111" s="144"/>
      <c r="F111" s="17">
        <v>36495</v>
      </c>
      <c r="G111" s="169">
        <v>31761</v>
      </c>
      <c r="H111" s="170">
        <v>2.21</v>
      </c>
      <c r="I111" s="144">
        <f t="shared" si="9"/>
        <v>70191.81</v>
      </c>
    </row>
    <row r="112" spans="1:9" ht="13.5" thickBot="1" x14ac:dyDescent="0.25">
      <c r="A112" s="146"/>
      <c r="B112" s="178"/>
      <c r="C112" s="179"/>
      <c r="D112" s="180"/>
      <c r="E112" s="144"/>
      <c r="F112" s="17">
        <v>36526</v>
      </c>
      <c r="G112" s="169">
        <v>28865</v>
      </c>
      <c r="H112" s="170">
        <v>2.23</v>
      </c>
      <c r="I112" s="144">
        <f>+H112*G112</f>
        <v>64368.95</v>
      </c>
    </row>
    <row r="113" spans="1:9" ht="13.5" thickTop="1" x14ac:dyDescent="0.2">
      <c r="F113" s="17">
        <v>36557</v>
      </c>
      <c r="G113" s="169">
        <f>11102+3</f>
        <v>11105</v>
      </c>
      <c r="H113" s="170">
        <v>2.4</v>
      </c>
      <c r="I113" s="144">
        <f>+H113*G113</f>
        <v>26652</v>
      </c>
    </row>
    <row r="114" spans="1:9" x14ac:dyDescent="0.2">
      <c r="F114" s="112"/>
      <c r="G114" s="350">
        <f>SUM(G86:G113)</f>
        <v>518833</v>
      </c>
      <c r="I114" s="189">
        <f>SUM(I86:I113)</f>
        <v>1056306.4799999997</v>
      </c>
    </row>
    <row r="115" spans="1:9" x14ac:dyDescent="0.2">
      <c r="F115" s="112"/>
    </row>
    <row r="116" spans="1:9" x14ac:dyDescent="0.2">
      <c r="F116" s="112"/>
    </row>
    <row r="117" spans="1:9" x14ac:dyDescent="0.2">
      <c r="F117" s="112"/>
    </row>
    <row r="118" spans="1:9" x14ac:dyDescent="0.2">
      <c r="A118" s="161" t="s">
        <v>25</v>
      </c>
      <c r="B118" s="157"/>
      <c r="C118" s="154"/>
      <c r="D118" s="142"/>
      <c r="E118" s="144"/>
      <c r="F118" s="112"/>
    </row>
    <row r="119" spans="1:9" x14ac:dyDescent="0.2">
      <c r="A119" s="161" t="s">
        <v>60</v>
      </c>
      <c r="B119" s="157"/>
      <c r="C119" s="154"/>
      <c r="D119" s="142"/>
      <c r="E119" s="144"/>
      <c r="F119" s="112"/>
    </row>
    <row r="120" spans="1:9" x14ac:dyDescent="0.2">
      <c r="A120" s="161" t="s">
        <v>61</v>
      </c>
      <c r="B120" s="157"/>
      <c r="C120" s="154"/>
      <c r="D120" s="142"/>
      <c r="E120" s="144"/>
      <c r="F120" s="112"/>
    </row>
    <row r="121" spans="1:9" x14ac:dyDescent="0.2">
      <c r="F121" s="112"/>
    </row>
    <row r="122" spans="1:9" x14ac:dyDescent="0.2">
      <c r="F122" s="112"/>
    </row>
    <row r="123" spans="1:9" x14ac:dyDescent="0.2">
      <c r="F123" s="112"/>
    </row>
    <row r="124" spans="1:9" x14ac:dyDescent="0.2">
      <c r="A124" s="145"/>
      <c r="B124" s="154" t="s">
        <v>15</v>
      </c>
      <c r="C124" s="154" t="s">
        <v>62</v>
      </c>
      <c r="D124" s="145"/>
      <c r="E124" s="144"/>
      <c r="F124" s="112"/>
    </row>
    <row r="125" spans="1:9" x14ac:dyDescent="0.2">
      <c r="A125" s="145"/>
      <c r="B125" s="181" t="s">
        <v>54</v>
      </c>
      <c r="C125" s="181" t="s">
        <v>17</v>
      </c>
      <c r="D125" s="182" t="s">
        <v>29</v>
      </c>
      <c r="E125" s="144"/>
      <c r="F125" s="112"/>
    </row>
    <row r="126" spans="1:9" x14ac:dyDescent="0.2">
      <c r="A126" s="168">
        <v>36100</v>
      </c>
      <c r="B126" s="169">
        <v>11369</v>
      </c>
      <c r="C126" s="170">
        <v>2.02</v>
      </c>
      <c r="D126" s="144">
        <f>+C126*B126</f>
        <v>22965.38</v>
      </c>
      <c r="F126" s="112"/>
    </row>
    <row r="127" spans="1:9" x14ac:dyDescent="0.2">
      <c r="A127" s="168">
        <v>36130</v>
      </c>
      <c r="B127" s="169">
        <v>88047</v>
      </c>
      <c r="C127" s="170">
        <v>1.79</v>
      </c>
      <c r="D127" s="144">
        <f t="shared" ref="D127:D132" si="10">+C127*B127</f>
        <v>157604.13</v>
      </c>
      <c r="E127" s="144"/>
      <c r="F127" s="112"/>
    </row>
    <row r="128" spans="1:9" x14ac:dyDescent="0.2">
      <c r="A128" s="168">
        <v>36161</v>
      </c>
      <c r="B128" s="169">
        <v>22026</v>
      </c>
      <c r="C128" s="170">
        <v>1.7</v>
      </c>
      <c r="D128" s="144">
        <f t="shared" si="10"/>
        <v>37444.199999999997</v>
      </c>
      <c r="E128" s="144"/>
      <c r="F128" s="112"/>
    </row>
    <row r="129" spans="1:7" x14ac:dyDescent="0.2">
      <c r="A129" s="168">
        <v>36192</v>
      </c>
      <c r="B129" s="169">
        <v>12888</v>
      </c>
      <c r="C129" s="170">
        <v>1.61</v>
      </c>
      <c r="D129" s="144">
        <f t="shared" si="10"/>
        <v>20749.68</v>
      </c>
      <c r="E129" s="144"/>
      <c r="F129" s="112"/>
    </row>
    <row r="130" spans="1:7" x14ac:dyDescent="0.2">
      <c r="A130" s="168">
        <v>36220</v>
      </c>
      <c r="B130" s="169">
        <v>29</v>
      </c>
      <c r="C130" s="170">
        <v>1.56</v>
      </c>
      <c r="D130" s="144">
        <f t="shared" si="10"/>
        <v>45.24</v>
      </c>
      <c r="E130" s="144"/>
      <c r="F130" s="112"/>
    </row>
    <row r="131" spans="1:7" x14ac:dyDescent="0.2">
      <c r="A131" s="168">
        <v>36251</v>
      </c>
      <c r="B131" s="169">
        <v>31188</v>
      </c>
      <c r="C131" s="170">
        <v>1.9</v>
      </c>
      <c r="D131" s="144">
        <f t="shared" si="10"/>
        <v>59257.2</v>
      </c>
      <c r="E131" s="144"/>
      <c r="F131" s="112"/>
    </row>
    <row r="132" spans="1:7" x14ac:dyDescent="0.2">
      <c r="A132" s="168">
        <v>36281</v>
      </c>
      <c r="B132" s="117">
        <f>3252482-3155382</f>
        <v>97100</v>
      </c>
      <c r="C132" s="174">
        <v>2.02</v>
      </c>
      <c r="D132" s="175">
        <f t="shared" si="10"/>
        <v>196142</v>
      </c>
      <c r="E132" s="144"/>
      <c r="F132" s="112"/>
    </row>
    <row r="133" spans="1:7" ht="13.5" thickBot="1" x14ac:dyDescent="0.25">
      <c r="A133" s="146"/>
      <c r="B133" s="178">
        <f>SUM(B126:B132)</f>
        <v>262647</v>
      </c>
      <c r="C133" s="179">
        <f>+D133/B133</f>
        <v>1.8816427752839362</v>
      </c>
      <c r="D133" s="180">
        <f>SUM(D126:D132)</f>
        <v>494207.83</v>
      </c>
      <c r="E133" s="144"/>
    </row>
    <row r="134" spans="1:7" ht="13.5" thickTop="1" x14ac:dyDescent="0.2">
      <c r="A134" s="145"/>
      <c r="B134" s="157"/>
      <c r="C134" s="154"/>
      <c r="D134" s="142"/>
      <c r="E134" s="144"/>
    </row>
    <row r="135" spans="1:7" x14ac:dyDescent="0.2">
      <c r="A135" s="145"/>
      <c r="B135" s="157">
        <v>110000</v>
      </c>
      <c r="C135" s="154"/>
      <c r="D135" s="142"/>
      <c r="E135" s="144"/>
    </row>
    <row r="136" spans="1:7" x14ac:dyDescent="0.2">
      <c r="A136" s="145"/>
      <c r="B136" s="157">
        <f>+B133-B135</f>
        <v>152647</v>
      </c>
      <c r="C136" s="154"/>
      <c r="D136" s="183"/>
      <c r="E136" s="144"/>
      <c r="G136" s="188"/>
    </row>
    <row r="137" spans="1:7" x14ac:dyDescent="0.2">
      <c r="A137" s="145"/>
      <c r="B137" s="157"/>
      <c r="C137" s="154"/>
      <c r="D137" s="183"/>
      <c r="E137" s="144"/>
    </row>
    <row r="138" spans="1:7" x14ac:dyDescent="0.2">
      <c r="A138" s="184">
        <v>35309</v>
      </c>
      <c r="B138" s="157">
        <v>49118</v>
      </c>
      <c r="C138" s="154">
        <v>77606.44</v>
      </c>
      <c r="D138" s="185">
        <f>+C138/B138</f>
        <v>1.58</v>
      </c>
      <c r="E138" s="144"/>
    </row>
    <row r="139" spans="1:7" x14ac:dyDescent="0.2">
      <c r="A139" s="184">
        <v>35339</v>
      </c>
      <c r="B139" s="157">
        <v>214553</v>
      </c>
      <c r="C139" s="154">
        <v>454852.36</v>
      </c>
      <c r="D139" s="185">
        <f t="shared" ref="D139:D164" si="11">+C139/B139</f>
        <v>2.12</v>
      </c>
      <c r="E139" s="144"/>
    </row>
    <row r="140" spans="1:7" x14ac:dyDescent="0.2">
      <c r="A140" s="118">
        <v>35370</v>
      </c>
      <c r="B140" s="119">
        <v>43514</v>
      </c>
      <c r="C140" s="140">
        <v>119663.5</v>
      </c>
      <c r="D140" s="185">
        <f t="shared" si="11"/>
        <v>2.75</v>
      </c>
    </row>
    <row r="141" spans="1:7" x14ac:dyDescent="0.2">
      <c r="A141" s="118">
        <v>35400</v>
      </c>
      <c r="B141" s="119">
        <v>-216419</v>
      </c>
      <c r="C141" s="140">
        <v>-555955.78</v>
      </c>
      <c r="D141" s="185">
        <f t="shared" si="11"/>
        <v>2.5688861883660863</v>
      </c>
    </row>
    <row r="142" spans="1:7" x14ac:dyDescent="0.2">
      <c r="A142" s="118">
        <v>35400</v>
      </c>
      <c r="B142" s="119">
        <v>28947</v>
      </c>
      <c r="C142" s="140">
        <v>45736.26</v>
      </c>
      <c r="D142" s="185">
        <f t="shared" si="11"/>
        <v>1.58</v>
      </c>
    </row>
    <row r="143" spans="1:7" x14ac:dyDescent="0.2">
      <c r="A143" s="118">
        <v>35431</v>
      </c>
      <c r="B143" s="119">
        <v>1433</v>
      </c>
      <c r="C143" s="140">
        <v>4585.6000000000004</v>
      </c>
      <c r="D143" s="185">
        <f t="shared" si="11"/>
        <v>3.2</v>
      </c>
    </row>
    <row r="144" spans="1:7" x14ac:dyDescent="0.2">
      <c r="A144" s="118">
        <v>35462</v>
      </c>
      <c r="B144" s="119">
        <v>-39680</v>
      </c>
      <c r="C144" s="140">
        <v>-80550.399999999994</v>
      </c>
      <c r="D144" s="185">
        <f t="shared" si="11"/>
        <v>2.0299999999999998</v>
      </c>
    </row>
    <row r="145" spans="1:4" x14ac:dyDescent="0.2">
      <c r="A145" s="118">
        <v>35490</v>
      </c>
      <c r="B145" s="119">
        <v>11061</v>
      </c>
      <c r="C145" s="140">
        <v>18914.310000000001</v>
      </c>
      <c r="D145" s="185">
        <f t="shared" si="11"/>
        <v>1.7100000000000002</v>
      </c>
    </row>
    <row r="146" spans="1:4" x14ac:dyDescent="0.2">
      <c r="A146" s="118">
        <v>35521</v>
      </c>
      <c r="B146" s="119">
        <v>5079</v>
      </c>
      <c r="C146" s="140">
        <v>9294.57</v>
      </c>
      <c r="D146" s="185">
        <f t="shared" si="11"/>
        <v>1.8299999999999998</v>
      </c>
    </row>
    <row r="147" spans="1:4" x14ac:dyDescent="0.2">
      <c r="A147" s="118">
        <v>35551</v>
      </c>
      <c r="B147" s="119">
        <v>-27163</v>
      </c>
      <c r="C147" s="140">
        <v>-53239.48</v>
      </c>
      <c r="D147" s="185">
        <f t="shared" si="11"/>
        <v>1.9600000000000002</v>
      </c>
    </row>
    <row r="148" spans="1:4" x14ac:dyDescent="0.2">
      <c r="A148" s="118">
        <v>35582</v>
      </c>
      <c r="B148" s="119">
        <v>696</v>
      </c>
      <c r="C148" s="140">
        <v>1392</v>
      </c>
      <c r="D148" s="185">
        <f t="shared" si="11"/>
        <v>2</v>
      </c>
    </row>
    <row r="149" spans="1:4" x14ac:dyDescent="0.2">
      <c r="A149" s="118">
        <v>35612</v>
      </c>
      <c r="B149" s="119">
        <v>54951</v>
      </c>
      <c r="C149" s="140">
        <v>111550.53</v>
      </c>
      <c r="D149" s="185">
        <f t="shared" si="11"/>
        <v>2.0299999999999998</v>
      </c>
    </row>
    <row r="150" spans="1:4" x14ac:dyDescent="0.2">
      <c r="A150" s="118">
        <v>35643</v>
      </c>
      <c r="B150" s="119">
        <v>80810</v>
      </c>
      <c r="C150" s="140">
        <v>180206.3</v>
      </c>
      <c r="D150" s="185">
        <f t="shared" si="11"/>
        <v>2.23</v>
      </c>
    </row>
    <row r="151" spans="1:4" x14ac:dyDescent="0.2">
      <c r="A151" s="118">
        <v>35674</v>
      </c>
      <c r="B151" s="119">
        <v>79912</v>
      </c>
      <c r="C151" s="140">
        <v>215762.4</v>
      </c>
      <c r="D151" s="185">
        <f t="shared" si="11"/>
        <v>2.6999999999999997</v>
      </c>
    </row>
    <row r="152" spans="1:4" x14ac:dyDescent="0.2">
      <c r="A152" s="118">
        <v>35704</v>
      </c>
      <c r="B152" s="119">
        <v>-197519</v>
      </c>
      <c r="C152" s="140">
        <v>-557003.57999999996</v>
      </c>
      <c r="D152" s="185">
        <f t="shared" si="11"/>
        <v>2.82</v>
      </c>
    </row>
    <row r="153" spans="1:4" x14ac:dyDescent="0.2">
      <c r="A153" s="118">
        <v>35735</v>
      </c>
      <c r="B153" s="119">
        <v>-60757</v>
      </c>
      <c r="C153" s="140">
        <v>-163436.32999999999</v>
      </c>
      <c r="D153" s="185">
        <f t="shared" si="11"/>
        <v>2.69</v>
      </c>
    </row>
    <row r="154" spans="1:4" x14ac:dyDescent="0.2">
      <c r="A154" s="118">
        <v>35765</v>
      </c>
      <c r="B154" s="119">
        <v>91837</v>
      </c>
      <c r="C154" s="140">
        <v>198367.92</v>
      </c>
      <c r="D154" s="185">
        <f t="shared" si="11"/>
        <v>2.16</v>
      </c>
    </row>
    <row r="155" spans="1:4" x14ac:dyDescent="0.2">
      <c r="A155" s="118">
        <v>35796</v>
      </c>
      <c r="B155" s="119">
        <v>12478</v>
      </c>
      <c r="C155" s="140">
        <v>24831.22</v>
      </c>
      <c r="D155" s="185">
        <f t="shared" si="11"/>
        <v>1.99</v>
      </c>
    </row>
    <row r="156" spans="1:4" x14ac:dyDescent="0.2">
      <c r="A156" s="118">
        <v>35827</v>
      </c>
      <c r="B156" s="119">
        <v>41686</v>
      </c>
      <c r="C156" s="140">
        <v>85456.3</v>
      </c>
      <c r="D156" s="185">
        <f t="shared" si="11"/>
        <v>2.0500000000000003</v>
      </c>
    </row>
    <row r="157" spans="1:4" x14ac:dyDescent="0.2">
      <c r="A157" s="118">
        <v>35855</v>
      </c>
      <c r="B157" s="119">
        <v>10912</v>
      </c>
      <c r="C157" s="140">
        <v>23242.560000000001</v>
      </c>
      <c r="D157" s="185">
        <f t="shared" si="11"/>
        <v>2.1300000000000003</v>
      </c>
    </row>
    <row r="158" spans="1:4" x14ac:dyDescent="0.2">
      <c r="A158" s="118">
        <v>35886</v>
      </c>
      <c r="B158" s="119">
        <v>-14809</v>
      </c>
      <c r="C158" s="140">
        <v>-33468.339999999997</v>
      </c>
      <c r="D158" s="185">
        <f t="shared" si="11"/>
        <v>2.2599999999999998</v>
      </c>
    </row>
    <row r="159" spans="1:4" x14ac:dyDescent="0.2">
      <c r="A159" s="118">
        <v>35916</v>
      </c>
      <c r="B159" s="119">
        <v>-68266</v>
      </c>
      <c r="C159" s="140">
        <v>-131753.38</v>
      </c>
      <c r="D159" s="185">
        <f t="shared" si="11"/>
        <v>1.9300000000000002</v>
      </c>
    </row>
    <row r="160" spans="1:4" x14ac:dyDescent="0.2">
      <c r="A160" s="118">
        <v>35947</v>
      </c>
      <c r="B160" s="119">
        <v>-120267</v>
      </c>
      <c r="C160" s="140">
        <v>-221291.28</v>
      </c>
      <c r="D160" s="185">
        <f t="shared" si="11"/>
        <v>1.84</v>
      </c>
    </row>
    <row r="161" spans="1:5" x14ac:dyDescent="0.2">
      <c r="A161" s="118">
        <v>35977</v>
      </c>
      <c r="B161" s="119">
        <v>67572</v>
      </c>
      <c r="C161" s="140">
        <v>136495.44</v>
      </c>
      <c r="D161" s="185">
        <f t="shared" si="11"/>
        <v>2.02</v>
      </c>
      <c r="E161" s="186"/>
    </row>
    <row r="162" spans="1:5" x14ac:dyDescent="0.2">
      <c r="A162" s="118">
        <v>36008</v>
      </c>
      <c r="B162" s="119">
        <v>76339</v>
      </c>
      <c r="C162" s="140">
        <v>133593.25</v>
      </c>
      <c r="D162" s="185">
        <f t="shared" si="11"/>
        <v>1.75</v>
      </c>
    </row>
    <row r="163" spans="1:5" x14ac:dyDescent="0.2">
      <c r="A163" s="118">
        <v>36039</v>
      </c>
      <c r="B163" s="119">
        <v>4528</v>
      </c>
      <c r="C163" s="140">
        <v>7969.28</v>
      </c>
      <c r="D163" s="185">
        <f t="shared" si="11"/>
        <v>1.76</v>
      </c>
    </row>
    <row r="164" spans="1:5" x14ac:dyDescent="0.2">
      <c r="A164" s="118">
        <v>36069</v>
      </c>
      <c r="B164" s="119">
        <v>26871</v>
      </c>
      <c r="C164" s="140">
        <v>47561.67</v>
      </c>
      <c r="D164" s="185">
        <f t="shared" si="11"/>
        <v>1.77</v>
      </c>
    </row>
    <row r="165" spans="1:5" x14ac:dyDescent="0.2">
      <c r="A165" s="118">
        <v>36100</v>
      </c>
      <c r="B165" s="187">
        <v>153952</v>
      </c>
      <c r="C165" s="181">
        <v>288096.78000000003</v>
      </c>
      <c r="D165" s="188">
        <f>+C165/B165</f>
        <v>1.8713415869881522</v>
      </c>
    </row>
    <row r="166" spans="1:5" x14ac:dyDescent="0.2">
      <c r="B166" s="119">
        <f>SUM(B138:B165)</f>
        <v>311369</v>
      </c>
      <c r="C166" s="140">
        <f>SUM(C138:C165)</f>
        <v>388480.12000000011</v>
      </c>
      <c r="D166" s="34" t="s">
        <v>68</v>
      </c>
    </row>
    <row r="167" spans="1:5" x14ac:dyDescent="0.2">
      <c r="B167" s="187">
        <v>-300000</v>
      </c>
      <c r="C167" s="181">
        <v>-450000</v>
      </c>
      <c r="D167" s="34" t="s">
        <v>69</v>
      </c>
    </row>
    <row r="168" spans="1:5" x14ac:dyDescent="0.2">
      <c r="B168" s="119">
        <f>+B167+B166</f>
        <v>11369</v>
      </c>
      <c r="C168" s="140">
        <f>+C167+C166</f>
        <v>-61519.879999999888</v>
      </c>
      <c r="D168" s="34" t="s">
        <v>70</v>
      </c>
    </row>
    <row r="169" spans="1:5" x14ac:dyDescent="0.2">
      <c r="A169" s="118">
        <v>36130</v>
      </c>
      <c r="B169" s="119">
        <v>88047</v>
      </c>
      <c r="C169" s="140">
        <v>153201.78</v>
      </c>
      <c r="D169" s="188">
        <f>+C169/B169</f>
        <v>1.74</v>
      </c>
    </row>
    <row r="170" spans="1:5" x14ac:dyDescent="0.2">
      <c r="A170" s="118">
        <v>36161</v>
      </c>
      <c r="B170" s="119">
        <v>22026</v>
      </c>
      <c r="C170" s="140">
        <v>38104.980000000003</v>
      </c>
      <c r="D170" s="188">
        <f>+C170/B170</f>
        <v>1.7300000000000002</v>
      </c>
    </row>
    <row r="171" spans="1:5" x14ac:dyDescent="0.2">
      <c r="A171" s="118">
        <v>36192</v>
      </c>
      <c r="B171" s="119">
        <v>12888</v>
      </c>
      <c r="C171" s="140">
        <v>21007.439999999999</v>
      </c>
      <c r="D171" s="188">
        <f>+C171/B171</f>
        <v>1.63</v>
      </c>
    </row>
    <row r="172" spans="1:5" x14ac:dyDescent="0.2">
      <c r="A172" s="118">
        <v>36220</v>
      </c>
      <c r="B172" s="119">
        <v>29</v>
      </c>
      <c r="C172" s="140">
        <v>46.11</v>
      </c>
      <c r="D172" s="189">
        <f>+C172/B172</f>
        <v>1.59</v>
      </c>
    </row>
    <row r="173" spans="1:5" x14ac:dyDescent="0.2">
      <c r="A173" s="118">
        <v>36251</v>
      </c>
      <c r="B173" s="187">
        <v>31188</v>
      </c>
      <c r="C173" s="181">
        <v>60504.72</v>
      </c>
      <c r="D173" s="188">
        <f>+C173/B173</f>
        <v>1.94</v>
      </c>
    </row>
    <row r="174" spans="1:5" x14ac:dyDescent="0.2">
      <c r="B174" s="119">
        <f>SUM(B168:B173)</f>
        <v>165547</v>
      </c>
      <c r="C174" s="140">
        <f>SUM(C168:C173)</f>
        <v>211345.15000000011</v>
      </c>
    </row>
    <row r="175" spans="1:5" x14ac:dyDescent="0.2">
      <c r="A175" s="139" t="s">
        <v>71</v>
      </c>
      <c r="B175" s="187">
        <v>98603</v>
      </c>
      <c r="C175" s="181">
        <f>+B175*2.02</f>
        <v>199178.06</v>
      </c>
      <c r="D175" s="190">
        <v>2.02</v>
      </c>
    </row>
    <row r="176" spans="1:5" x14ac:dyDescent="0.2">
      <c r="B176" s="119">
        <f>+B175+B174</f>
        <v>264150</v>
      </c>
      <c r="C176" s="140">
        <f>+C175+C174</f>
        <v>410523.21000000008</v>
      </c>
      <c r="D176" s="188">
        <f>+C176/B176</f>
        <v>1.5541291311754688</v>
      </c>
    </row>
    <row r="178" spans="1:3" x14ac:dyDescent="0.2">
      <c r="A178" s="139" t="s">
        <v>72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73</v>
      </c>
      <c r="B180" s="119">
        <f>+B169+B170+B171+B172+B173+B175</f>
        <v>252781</v>
      </c>
      <c r="C180" s="140">
        <f>+C169+C170+C171+C172+C173+C175</f>
        <v>472043.09</v>
      </c>
    </row>
    <row r="306" spans="5:6" x14ac:dyDescent="0.2">
      <c r="E306" s="34"/>
      <c r="F306" s="34"/>
    </row>
    <row r="307" spans="5:6" x14ac:dyDescent="0.2">
      <c r="E307" s="34"/>
      <c r="F307" s="34"/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19</vt:i4>
      </vt:variant>
    </vt:vector>
  </HeadingPairs>
  <TitlesOfParts>
    <vt:vector size="44" baseType="lpstr"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Conoco</vt:lpstr>
      <vt:lpstr>Agave</vt:lpstr>
      <vt:lpstr>NW</vt:lpstr>
      <vt:lpstr>transcol</vt:lpstr>
      <vt:lpstr>Duke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burlington</vt:lpstr>
      <vt:lpstr>imb8289</vt:lpstr>
      <vt:lpstr>Agave!Print_Area</vt:lpstr>
      <vt:lpstr>Amoco!Print_Area</vt:lpstr>
      <vt:lpstr>'Amoco Abo'!Print_Area</vt:lpstr>
      <vt:lpstr>Conoco!Print_Area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NNG!Print_Area</vt:lpstr>
      <vt:lpstr>NW!Print_Area</vt:lpstr>
      <vt:lpstr>Oasis!Print_Area</vt:lpstr>
      <vt:lpstr>'PG&amp;E'!Print_Area</vt:lpstr>
      <vt:lpstr>PGETX!Print_Area</vt:lpstr>
      <vt:lpstr>'Red C'!Print_Area</vt:lpstr>
      <vt:lpstr>SoCal!Print_Area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2000-12-11T18:09:51Z</cp:lastPrinted>
  <dcterms:created xsi:type="dcterms:W3CDTF">2000-03-28T16:52:23Z</dcterms:created>
  <dcterms:modified xsi:type="dcterms:W3CDTF">2014-09-05T10:01:10Z</dcterms:modified>
</cp:coreProperties>
</file>