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599"/>
    <workbookView xWindow="360" yWindow="90" windowWidth="11340" windowHeight="6795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burlington" sheetId="69" r:id="rId26"/>
  </sheets>
  <externalReferences>
    <externalReference r:id="rId27"/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B7" i="8"/>
  <c r="D7" i="8" s="1"/>
  <c r="D18" i="8" s="1"/>
  <c r="D8" i="8"/>
  <c r="D9" i="8"/>
  <c r="D10" i="8"/>
  <c r="D11" i="8"/>
  <c r="D12" i="8"/>
  <c r="D13" i="8"/>
  <c r="D14" i="8"/>
  <c r="D15" i="8"/>
  <c r="D16" i="8"/>
  <c r="D17" i="8"/>
  <c r="D19" i="8"/>
  <c r="D20" i="8" s="1"/>
  <c r="D24" i="8" s="1"/>
  <c r="B40" i="63" s="1"/>
  <c r="C40" i="63" s="1"/>
  <c r="D6" i="12"/>
  <c r="D37" i="12" s="1"/>
  <c r="D40" i="12" s="1"/>
  <c r="C35" i="63" s="1"/>
  <c r="B35" i="63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9" i="18"/>
  <c r="D10" i="18"/>
  <c r="D39" i="18" s="1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40" i="18"/>
  <c r="D7" i="69"/>
  <c r="D38" i="69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8" i="72"/>
  <c r="D39" i="72" s="1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F35" i="13" s="1"/>
  <c r="F40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B10" i="20"/>
  <c r="B11" i="20"/>
  <c r="B16" i="20" s="1"/>
  <c r="B12" i="20"/>
  <c r="B13" i="20"/>
  <c r="B14" i="20"/>
  <c r="B15" i="20"/>
  <c r="B29" i="20"/>
  <c r="B30" i="20"/>
  <c r="B17" i="20" s="1"/>
  <c r="C30" i="20"/>
  <c r="C31" i="20" s="1"/>
  <c r="B44" i="20"/>
  <c r="H5" i="11"/>
  <c r="H6" i="11"/>
  <c r="E7" i="11"/>
  <c r="H7" i="11"/>
  <c r="E8" i="11"/>
  <c r="H8" i="11" s="1"/>
  <c r="AB8" i="11"/>
  <c r="AN8" i="11" s="1"/>
  <c r="AC8" i="11"/>
  <c r="AF8" i="11"/>
  <c r="AI8" i="11"/>
  <c r="AL8" i="11"/>
  <c r="AM8" i="11"/>
  <c r="AO8" i="11"/>
  <c r="AP8" i="11"/>
  <c r="E9" i="11"/>
  <c r="E36" i="11" s="1"/>
  <c r="E38" i="11" s="1"/>
  <c r="H9" i="11"/>
  <c r="AC9" i="11"/>
  <c r="AF9" i="11"/>
  <c r="AI9" i="11"/>
  <c r="AL9" i="11"/>
  <c r="AM9" i="11"/>
  <c r="AN9" i="11"/>
  <c r="AO9" i="11"/>
  <c r="AP9" i="11"/>
  <c r="E10" i="11"/>
  <c r="H10" i="11" s="1"/>
  <c r="AC10" i="11"/>
  <c r="AF10" i="11"/>
  <c r="AI10" i="11"/>
  <c r="AL10" i="11"/>
  <c r="AL48" i="11" s="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 s="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8" i="11" s="1"/>
  <c r="D36" i="11"/>
  <c r="F36" i="11"/>
  <c r="G36" i="11"/>
  <c r="AC36" i="11"/>
  <c r="AE36" i="11"/>
  <c r="AP36" i="11" s="1"/>
  <c r="AI36" i="11"/>
  <c r="AL36" i="11"/>
  <c r="AM36" i="11"/>
  <c r="AN36" i="11"/>
  <c r="AO36" i="11"/>
  <c r="H37" i="11"/>
  <c r="AA37" i="11"/>
  <c r="AC37" i="11" s="1"/>
  <c r="AF37" i="11"/>
  <c r="AI37" i="11"/>
  <c r="AL37" i="11"/>
  <c r="AM37" i="11"/>
  <c r="AN37" i="11"/>
  <c r="AO37" i="11"/>
  <c r="AP37" i="11"/>
  <c r="AC38" i="11"/>
  <c r="AE38" i="11"/>
  <c r="AF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35" i="70" s="1"/>
  <c r="J37" i="70" s="1"/>
  <c r="J41" i="70" s="1"/>
  <c r="B33" i="63" s="1"/>
  <c r="C33" i="63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D66" i="70"/>
  <c r="D67" i="70"/>
  <c r="D68" i="70" s="1"/>
  <c r="D69" i="70" s="1"/>
  <c r="D75" i="70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F5" i="5"/>
  <c r="F6" i="5"/>
  <c r="F7" i="5"/>
  <c r="F8" i="5"/>
  <c r="F9" i="5"/>
  <c r="F36" i="5" s="1"/>
  <c r="F42" i="5" s="1"/>
  <c r="C25" i="63" s="1"/>
  <c r="B25" i="63" s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7" i="5" s="1"/>
  <c r="E36" i="5"/>
  <c r="C37" i="5"/>
  <c r="J8" i="17"/>
  <c r="J9" i="17"/>
  <c r="J10" i="17"/>
  <c r="J39" i="17" s="1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 s="1"/>
  <c r="D12" i="68"/>
  <c r="B13" i="68"/>
  <c r="D13" i="68"/>
  <c r="B14" i="68"/>
  <c r="D14" i="68" s="1"/>
  <c r="B15" i="68"/>
  <c r="D15" i="68" s="1"/>
  <c r="B16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34" i="67" s="1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F38" i="67" s="1"/>
  <c r="C14" i="63" s="1"/>
  <c r="B14" i="63" s="1"/>
  <c r="D6" i="65"/>
  <c r="D18" i="65" s="1"/>
  <c r="D7" i="65"/>
  <c r="D8" i="65"/>
  <c r="D9" i="65"/>
  <c r="D10" i="65"/>
  <c r="D11" i="65"/>
  <c r="D12" i="65"/>
  <c r="D13" i="65"/>
  <c r="D14" i="65"/>
  <c r="C5" i="7"/>
  <c r="F5" i="7"/>
  <c r="Z5" i="7"/>
  <c r="AD5" i="7"/>
  <c r="AF5" i="7" s="1"/>
  <c r="AH5" i="7" s="1"/>
  <c r="C6" i="7"/>
  <c r="F6" i="7"/>
  <c r="Z6" i="7"/>
  <c r="AD6" i="7"/>
  <c r="AF6" i="7" s="1"/>
  <c r="F7" i="7"/>
  <c r="Z7" i="7"/>
  <c r="AD7" i="7" s="1"/>
  <c r="AF7" i="7" s="1"/>
  <c r="F8" i="7"/>
  <c r="Z8" i="7"/>
  <c r="AD8" i="7"/>
  <c r="AF8" i="7" s="1"/>
  <c r="F9" i="7"/>
  <c r="Z9" i="7"/>
  <c r="AD9" i="7"/>
  <c r="AF9" i="7"/>
  <c r="C10" i="7"/>
  <c r="F10" i="7"/>
  <c r="Z10" i="7"/>
  <c r="AD10" i="7"/>
  <c r="AF10" i="7"/>
  <c r="C11" i="7"/>
  <c r="F11" i="7"/>
  <c r="Z11" i="7"/>
  <c r="AD11" i="7"/>
  <c r="AF11" i="7"/>
  <c r="C12" i="7"/>
  <c r="F12" i="7"/>
  <c r="Z12" i="7"/>
  <c r="AD12" i="7"/>
  <c r="AF12" i="7"/>
  <c r="C13" i="7"/>
  <c r="F13" i="7"/>
  <c r="Z13" i="7"/>
  <c r="AD13" i="7"/>
  <c r="AF13" i="7"/>
  <c r="C14" i="7"/>
  <c r="F14" i="7"/>
  <c r="Z14" i="7"/>
  <c r="AD14" i="7"/>
  <c r="AF14" i="7"/>
  <c r="F15" i="7"/>
  <c r="Z15" i="7"/>
  <c r="AD15" i="7"/>
  <c r="AF15" i="7"/>
  <c r="F16" i="7"/>
  <c r="Z16" i="7"/>
  <c r="AD16" i="7"/>
  <c r="AF16" i="7"/>
  <c r="C17" i="7"/>
  <c r="F17" i="7" s="1"/>
  <c r="Z17" i="7"/>
  <c r="AD17" i="7"/>
  <c r="AF17" i="7"/>
  <c r="F18" i="7"/>
  <c r="AI18" i="7"/>
  <c r="F19" i="7"/>
  <c r="Z19" i="7"/>
  <c r="AD19" i="7"/>
  <c r="AF19" i="7"/>
  <c r="AH19" i="7" s="1"/>
  <c r="AG19" i="7"/>
  <c r="AG20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 s="1"/>
  <c r="C13" i="63" s="1"/>
  <c r="B13" i="63" s="1"/>
  <c r="H4" i="9"/>
  <c r="H5" i="9"/>
  <c r="H6" i="9"/>
  <c r="H7" i="9"/>
  <c r="H8" i="9"/>
  <c r="H9" i="9"/>
  <c r="H10" i="9"/>
  <c r="H35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H37" i="9" s="1"/>
  <c r="H39" i="9" s="1"/>
  <c r="B26" i="63" s="1"/>
  <c r="C26" i="63" s="1"/>
  <c r="D5" i="64"/>
  <c r="D17" i="64" s="1"/>
  <c r="D19" i="64" s="1"/>
  <c r="D23" i="64" s="1"/>
  <c r="B16" i="63" s="1"/>
  <c r="C16" i="63" s="1"/>
  <c r="D6" i="64"/>
  <c r="D7" i="64"/>
  <c r="D8" i="64"/>
  <c r="D9" i="64"/>
  <c r="D10" i="64"/>
  <c r="D11" i="64"/>
  <c r="D12" i="64"/>
  <c r="D13" i="64"/>
  <c r="D18" i="64"/>
  <c r="E40" i="64"/>
  <c r="E43" i="64" s="1"/>
  <c r="D43" i="64" s="1"/>
  <c r="E41" i="64"/>
  <c r="E42" i="64"/>
  <c r="C43" i="64"/>
  <c r="E44" i="64"/>
  <c r="D8" i="15"/>
  <c r="D39" i="15" s="1"/>
  <c r="AD8" i="15"/>
  <c r="AD39" i="15" s="1"/>
  <c r="AD45" i="15" s="1"/>
  <c r="AH8" i="15"/>
  <c r="AL8" i="15"/>
  <c r="AP8" i="15"/>
  <c r="AT8" i="15"/>
  <c r="D9" i="15"/>
  <c r="AD9" i="15"/>
  <c r="AH9" i="15"/>
  <c r="AH39" i="15" s="1"/>
  <c r="AH45" i="15" s="1"/>
  <c r="AL9" i="15"/>
  <c r="AL39" i="15" s="1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 s="1"/>
  <c r="AS16" i="15"/>
  <c r="AS39" i="15" s="1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 s="1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 s="1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 s="1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G39" i="15"/>
  <c r="AJ39" i="15"/>
  <c r="AK39" i="15"/>
  <c r="AN39" i="15"/>
  <c r="AR39" i="15"/>
  <c r="AF52" i="15"/>
  <c r="AF54" i="15"/>
  <c r="AF56" i="15" s="1"/>
  <c r="D86" i="15"/>
  <c r="D101" i="15" s="1"/>
  <c r="C101" i="15" s="1"/>
  <c r="I86" i="15"/>
  <c r="D87" i="15"/>
  <c r="I87" i="15"/>
  <c r="I114" i="15" s="1"/>
  <c r="D88" i="15"/>
  <c r="I88" i="15"/>
  <c r="D89" i="15"/>
  <c r="I89" i="15"/>
  <c r="D90" i="15"/>
  <c r="I90" i="15"/>
  <c r="D91" i="15"/>
  <c r="I91" i="15"/>
  <c r="B92" i="15"/>
  <c r="B101" i="15" s="1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D126" i="15"/>
  <c r="D127" i="15"/>
  <c r="D128" i="15"/>
  <c r="D129" i="15"/>
  <c r="D133" i="15" s="1"/>
  <c r="C133" i="15" s="1"/>
  <c r="D130" i="15"/>
  <c r="D131" i="15"/>
  <c r="B132" i="15"/>
  <c r="D132" i="15" s="1"/>
  <c r="B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B174" i="15" s="1"/>
  <c r="B176" i="15" s="1"/>
  <c r="C168" i="15"/>
  <c r="C174" i="15" s="1"/>
  <c r="D169" i="15"/>
  <c r="D170" i="15"/>
  <c r="D171" i="15"/>
  <c r="D172" i="15"/>
  <c r="D173" i="15"/>
  <c r="C175" i="15"/>
  <c r="B178" i="15"/>
  <c r="C178" i="15"/>
  <c r="B180" i="15"/>
  <c r="D4" i="6"/>
  <c r="D35" i="6" s="1"/>
  <c r="D40" i="6" s="1"/>
  <c r="C22" i="63" s="1"/>
  <c r="B22" i="63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12" i="63"/>
  <c r="P12" i="63"/>
  <c r="D39" i="69" s="1"/>
  <c r="D40" i="69" s="1"/>
  <c r="D42" i="69" s="1"/>
  <c r="B19" i="63" s="1"/>
  <c r="C19" i="63" s="1"/>
  <c r="D13" i="63"/>
  <c r="P13" i="63"/>
  <c r="F40" i="71" s="1"/>
  <c r="F41" i="71" s="1"/>
  <c r="F43" i="71" s="1"/>
  <c r="B38" i="63" s="1"/>
  <c r="C38" i="63" s="1"/>
  <c r="D14" i="63"/>
  <c r="D15" i="63"/>
  <c r="D16" i="63"/>
  <c r="D17" i="63"/>
  <c r="C18" i="63"/>
  <c r="B18" i="63" s="1"/>
  <c r="D18" i="63"/>
  <c r="D19" i="63"/>
  <c r="D20" i="63"/>
  <c r="D21" i="63"/>
  <c r="D22" i="63"/>
  <c r="D23" i="63"/>
  <c r="D24" i="63"/>
  <c r="D25" i="63"/>
  <c r="D26" i="63"/>
  <c r="D27" i="63"/>
  <c r="D32" i="63"/>
  <c r="D33" i="63"/>
  <c r="D34" i="63"/>
  <c r="D35" i="63"/>
  <c r="D36" i="63"/>
  <c r="B37" i="63"/>
  <c r="C37" i="63"/>
  <c r="D38" i="63"/>
  <c r="D39" i="63"/>
  <c r="D40" i="63"/>
  <c r="D41" i="63"/>
  <c r="D8" i="19"/>
  <c r="D39" i="19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35" i="2" s="1"/>
  <c r="J40" i="2" s="1"/>
  <c r="C36" i="63" s="1"/>
  <c r="B36" i="63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66" i="2"/>
  <c r="D67" i="2"/>
  <c r="D68" i="2"/>
  <c r="D69" i="2" s="1"/>
  <c r="D75" i="2"/>
  <c r="AH6" i="7" l="1"/>
  <c r="F36" i="7"/>
  <c r="F41" i="7" s="1"/>
  <c r="C32" i="63" s="1"/>
  <c r="C176" i="15"/>
  <c r="D176" i="15" s="1"/>
  <c r="AT39" i="15"/>
  <c r="B102" i="15"/>
  <c r="AL45" i="15"/>
  <c r="C17" i="20"/>
  <c r="C18" i="20" s="1"/>
  <c r="C62" i="20" s="1"/>
  <c r="B20" i="63" s="1"/>
  <c r="C20" i="63" s="1"/>
  <c r="H36" i="11"/>
  <c r="H38" i="11" s="1"/>
  <c r="C12" i="63" s="1"/>
  <c r="AP39" i="15"/>
  <c r="AP45" i="15" s="1"/>
  <c r="AI19" i="7"/>
  <c r="AH20" i="7"/>
  <c r="D41" i="19"/>
  <c r="D43" i="19" s="1"/>
  <c r="B24" i="63" s="1"/>
  <c r="C24" i="63" s="1"/>
  <c r="AG21" i="7"/>
  <c r="D35" i="68"/>
  <c r="D40" i="68" s="1"/>
  <c r="C15" i="63" s="1"/>
  <c r="B15" i="63" s="1"/>
  <c r="D41" i="18"/>
  <c r="D43" i="18" s="1"/>
  <c r="B27" i="63" s="1"/>
  <c r="C27" i="63" s="1"/>
  <c r="D40" i="15"/>
  <c r="D41" i="15" s="1"/>
  <c r="D43" i="15" s="1"/>
  <c r="B41" i="63" s="1"/>
  <c r="C41" i="63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19" i="65"/>
  <c r="D20" i="65" s="1"/>
  <c r="D24" i="65" s="1"/>
  <c r="B21" i="63" s="1"/>
  <c r="C21" i="63" s="1"/>
  <c r="J40" i="17"/>
  <c r="J41" i="17" s="1"/>
  <c r="J43" i="17" s="1"/>
  <c r="B17" i="63" s="1"/>
  <c r="C17" i="63" s="1"/>
  <c r="C37" i="13"/>
  <c r="C180" i="15"/>
  <c r="AP38" i="11"/>
  <c r="AF36" i="11"/>
  <c r="B45" i="20"/>
  <c r="C45" i="20" s="1"/>
  <c r="C46" i="20" s="1"/>
  <c r="E36" i="13"/>
  <c r="D40" i="72"/>
  <c r="D41" i="72" s="1"/>
  <c r="D43" i="72" s="1"/>
  <c r="B39" i="63" s="1"/>
  <c r="C39" i="63" s="1"/>
  <c r="AF57" i="15"/>
  <c r="AO39" i="15"/>
  <c r="D38" i="22"/>
  <c r="D39" i="22" s="1"/>
  <c r="D41" i="22" s="1"/>
  <c r="B23" i="63" s="1"/>
  <c r="C23" i="63" s="1"/>
  <c r="B103" i="15" l="1"/>
  <c r="B105" i="15" s="1"/>
  <c r="D105" i="15" s="1"/>
  <c r="D102" i="15"/>
  <c r="D103" i="15" s="1"/>
  <c r="C103" i="15" s="1"/>
  <c r="C38" i="13"/>
  <c r="C41" i="13" s="1"/>
  <c r="E37" i="13"/>
  <c r="E38" i="13" s="1"/>
  <c r="AI20" i="7"/>
  <c r="AH21" i="7"/>
  <c r="AI21" i="7" s="1"/>
  <c r="B32" i="63"/>
  <c r="AP51" i="15"/>
  <c r="AP48" i="15"/>
  <c r="AI5" i="7"/>
  <c r="C28" i="63"/>
  <c r="B12" i="63"/>
  <c r="B28" i="63" s="1"/>
  <c r="AI6" i="7"/>
  <c r="AH7" i="7"/>
  <c r="AH8" i="7" l="1"/>
  <c r="AI7" i="7"/>
  <c r="E41" i="13"/>
  <c r="F41" i="13" s="1"/>
  <c r="B34" i="63" s="1"/>
  <c r="C34" i="63" s="1"/>
  <c r="C42" i="63" s="1"/>
  <c r="C45" i="63" s="1"/>
  <c r="F38" i="13"/>
  <c r="AH9" i="7" l="1"/>
  <c r="AI8" i="7"/>
  <c r="B42" i="63"/>
  <c r="B45" i="63" s="1"/>
  <c r="AH10" i="7" l="1"/>
  <c r="AI9" i="7"/>
  <c r="AH11" i="7" l="1"/>
  <c r="AI10" i="7"/>
  <c r="AH12" i="7" l="1"/>
  <c r="AI11" i="7"/>
  <c r="AH13" i="7" l="1"/>
  <c r="AI12" i="7"/>
  <c r="AH14" i="7" l="1"/>
  <c r="AI13" i="7"/>
  <c r="AH15" i="7" l="1"/>
  <c r="AI14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<sst xmlns="http://schemas.openxmlformats.org/spreadsheetml/2006/main" count="361" uniqueCount="131">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</sst>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  <font>
      <sz val="8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3" fillId="0" borderId="0" xfId="1" applyNumberFormat="1" applyFont="1"/>
    <xf numFmtId="166" fontId="34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5" fillId="0" borderId="0" xfId="1" applyNumberFormat="1" applyFont="1" applyFill="1"/>
    <xf numFmtId="7" fontId="22" fillId="0" borderId="0" xfId="0" applyNumberFormat="1" applyFont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5" fontId="14" fillId="0" borderId="1" xfId="0" applyNumberFormat="1" applyFont="1" applyBorder="1"/>
    <xf numFmtId="37" fontId="14" fillId="0" borderId="1" xfId="1" applyNumberFormat="1" applyFont="1" applyBorder="1"/>
    <xf numFmtId="37" fontId="36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</sheetNames>
    <sheetDataSet>
      <sheetData sheetId="0">
        <row r="39">
          <cell r="K39">
            <v>7.4</v>
          </cell>
          <cell r="M39">
            <v>7.61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tabSelected="1" topLeftCell="A10" workbookViewId="0">
      <selection activeCell="B15" sqref="B15"/>
    </sheetView>
    <sheetView tabSelected="1" workbookViewId="1">
      <selection activeCell="C29" sqref="C29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1879236.23</v>
      </c>
      <c r="C12" s="321">
        <f>+'El Paso'!H38</f>
        <v>246943</v>
      </c>
      <c r="D12" s="65">
        <f>+'El Paso'!A38</f>
        <v>36876</v>
      </c>
      <c r="E12" t="s">
        <v>91</v>
      </c>
      <c r="F12" t="s">
        <v>113</v>
      </c>
      <c r="O12" s="314" t="s">
        <v>31</v>
      </c>
      <c r="P12" s="316">
        <f>+'[2]1200'!$K$39</f>
        <v>7.4</v>
      </c>
    </row>
    <row r="13" spans="1:16" ht="18" customHeight="1" x14ac:dyDescent="0.2">
      <c r="A13" s="302" t="s">
        <v>34</v>
      </c>
      <c r="B13" s="254">
        <f>+C13*$P$13</f>
        <v>1348096.28</v>
      </c>
      <c r="C13" s="303">
        <f>+'PG&amp;E'!D40</f>
        <v>177148</v>
      </c>
      <c r="D13" s="65">
        <f>+'PG&amp;E'!A40</f>
        <v>36876</v>
      </c>
      <c r="E13" t="s">
        <v>91</v>
      </c>
      <c r="F13" t="s">
        <v>117</v>
      </c>
      <c r="O13" s="315" t="s">
        <v>32</v>
      </c>
      <c r="P13" s="317">
        <f>+'[2]1200'!$M$39</f>
        <v>7.61</v>
      </c>
    </row>
    <row r="14" spans="1:16" ht="18" customHeight="1" x14ac:dyDescent="0.2">
      <c r="A14" s="302" t="s">
        <v>99</v>
      </c>
      <c r="B14" s="320">
        <f>+C14*$P$13</f>
        <v>1163599.44</v>
      </c>
      <c r="C14" s="321">
        <f>+NGPL!F38</f>
        <v>152904</v>
      </c>
      <c r="D14" s="65">
        <f>+NGPL!A38</f>
        <v>36876</v>
      </c>
      <c r="E14" t="s">
        <v>91</v>
      </c>
      <c r="F14" t="s">
        <v>114</v>
      </c>
    </row>
    <row r="15" spans="1:16" ht="18" customHeight="1" x14ac:dyDescent="0.2">
      <c r="A15" s="302" t="s">
        <v>105</v>
      </c>
      <c r="B15" s="254">
        <f>+C15*$P$13</f>
        <v>703141.17</v>
      </c>
      <c r="C15" s="303">
        <f>+Mojave!D40</f>
        <v>92397</v>
      </c>
      <c r="D15" s="65">
        <f>+Mojave!A40</f>
        <v>36876</v>
      </c>
      <c r="E15" t="s">
        <v>91</v>
      </c>
      <c r="F15" t="s">
        <v>113</v>
      </c>
    </row>
    <row r="16" spans="1:16" ht="18" customHeight="1" x14ac:dyDescent="0.2">
      <c r="A16" s="302" t="s">
        <v>89</v>
      </c>
      <c r="B16" s="320">
        <f>+PNM!$D$23</f>
        <v>689427.86</v>
      </c>
      <c r="C16" s="321">
        <f>+B16/$P$13</f>
        <v>90594.988173455975</v>
      </c>
      <c r="D16" s="65">
        <f>+PNM!A23</f>
        <v>36876</v>
      </c>
      <c r="E16" t="s">
        <v>92</v>
      </c>
      <c r="F16" t="s">
        <v>113</v>
      </c>
    </row>
    <row r="17" spans="1:7" ht="18" customHeight="1" x14ac:dyDescent="0.2">
      <c r="A17" s="302" t="s">
        <v>2</v>
      </c>
      <c r="B17" s="320">
        <f>+mewborne!$J$43</f>
        <v>574218.81000000006</v>
      </c>
      <c r="C17" s="321">
        <f>+B17/$P$13</f>
        <v>75455.822601839682</v>
      </c>
      <c r="D17" s="65">
        <f>+mewborne!A43</f>
        <v>36876</v>
      </c>
      <c r="E17" t="s">
        <v>92</v>
      </c>
      <c r="F17" t="s">
        <v>114</v>
      </c>
    </row>
    <row r="18" spans="1:7" ht="18" customHeight="1" x14ac:dyDescent="0.2">
      <c r="A18" s="302" t="s">
        <v>8</v>
      </c>
      <c r="B18" s="320">
        <f>+C18*$P$13</f>
        <v>498493.05000000005</v>
      </c>
      <c r="C18" s="321">
        <f>+Oasis!D40</f>
        <v>65505</v>
      </c>
      <c r="D18" s="65">
        <f>+Oasis!B40</f>
        <v>36876</v>
      </c>
      <c r="E18" t="s">
        <v>91</v>
      </c>
      <c r="F18" t="s">
        <v>117</v>
      </c>
    </row>
    <row r="19" spans="1:7" ht="18" customHeight="1" x14ac:dyDescent="0.2">
      <c r="A19" s="352" t="s">
        <v>106</v>
      </c>
      <c r="B19" s="320">
        <f>+burlington!D42</f>
        <v>438516.60000000003</v>
      </c>
      <c r="C19" s="321">
        <f>+B19/$P$12</f>
        <v>59259</v>
      </c>
      <c r="D19" s="328">
        <f>+burlington!A42</f>
        <v>36876</v>
      </c>
      <c r="E19" s="325" t="s">
        <v>92</v>
      </c>
      <c r="F19" t="s">
        <v>114</v>
      </c>
      <c r="G19" t="s">
        <v>130</v>
      </c>
    </row>
    <row r="20" spans="1:7" ht="18" customHeight="1" x14ac:dyDescent="0.2">
      <c r="A20" s="302" t="s">
        <v>119</v>
      </c>
      <c r="B20" s="254">
        <f>+Duke!C62</f>
        <v>341008.24</v>
      </c>
      <c r="C20" s="303">
        <f>+B20/$P$13</f>
        <v>44810.544021024965</v>
      </c>
      <c r="D20" s="65">
        <f>+Duke!A40</f>
        <v>36876</v>
      </c>
      <c r="E20" t="s">
        <v>92</v>
      </c>
      <c r="F20" t="s">
        <v>112</v>
      </c>
    </row>
    <row r="21" spans="1:7" ht="18" customHeight="1" x14ac:dyDescent="0.2">
      <c r="A21" s="302" t="s">
        <v>97</v>
      </c>
      <c r="B21" s="320">
        <f>+NNG!$D$24</f>
        <v>200927.08000000002</v>
      </c>
      <c r="C21" s="321">
        <f>+B21/$P$13</f>
        <v>26403.032851511172</v>
      </c>
      <c r="D21" s="65">
        <f>+NNG!A24</f>
        <v>36876</v>
      </c>
      <c r="E21" t="s">
        <v>92</v>
      </c>
      <c r="F21" t="s">
        <v>115</v>
      </c>
    </row>
    <row r="22" spans="1:7" ht="18" customHeight="1" x14ac:dyDescent="0.2">
      <c r="A22" s="302" t="s">
        <v>35</v>
      </c>
      <c r="B22" s="320">
        <f>+C22*$P$13</f>
        <v>198902.57</v>
      </c>
      <c r="C22" s="321">
        <f>+SoCal!D40</f>
        <v>26137</v>
      </c>
      <c r="D22" s="65">
        <f>+SoCal!A40</f>
        <v>36876</v>
      </c>
      <c r="E22" t="s">
        <v>91</v>
      </c>
      <c r="F22" t="s">
        <v>113</v>
      </c>
    </row>
    <row r="23" spans="1:7" ht="18" customHeight="1" x14ac:dyDescent="0.2">
      <c r="A23" s="302" t="s">
        <v>124</v>
      </c>
      <c r="B23" s="320">
        <f>+KN_Westar!D41</f>
        <v>158765.93000000002</v>
      </c>
      <c r="C23" s="321">
        <f>+B23/$P$13</f>
        <v>20862.802890932984</v>
      </c>
      <c r="D23" s="65">
        <f>+KN_Westar!A41</f>
        <v>36876</v>
      </c>
      <c r="E23" t="s">
        <v>92</v>
      </c>
      <c r="F23" t="s">
        <v>115</v>
      </c>
    </row>
    <row r="24" spans="1:7" ht="18" customHeight="1" x14ac:dyDescent="0.2">
      <c r="A24" s="302" t="s">
        <v>77</v>
      </c>
      <c r="B24" s="360">
        <f>+transcol!$D$43</f>
        <v>100350.31999999999</v>
      </c>
      <c r="C24" s="321">
        <f>+B24/$P$13</f>
        <v>13186.638633377133</v>
      </c>
      <c r="D24" s="65">
        <f>+transcol!A43</f>
        <v>36876</v>
      </c>
      <c r="E24" t="s">
        <v>92</v>
      </c>
      <c r="F24" t="s">
        <v>114</v>
      </c>
    </row>
    <row r="25" spans="1:7" ht="18" customHeight="1" x14ac:dyDescent="0.2">
      <c r="A25" s="302" t="s">
        <v>33</v>
      </c>
      <c r="B25" s="320">
        <f>+C25*$P$13</f>
        <v>68946.600000000006</v>
      </c>
      <c r="C25" s="321">
        <f>+Lonestar!F42</f>
        <v>9060</v>
      </c>
      <c r="D25" s="328">
        <f>+Lonestar!B42</f>
        <v>36876</v>
      </c>
      <c r="E25" t="s">
        <v>91</v>
      </c>
      <c r="F25" t="s">
        <v>117</v>
      </c>
    </row>
    <row r="26" spans="1:7" ht="18" customHeight="1" x14ac:dyDescent="0.2">
      <c r="A26" s="302" t="s">
        <v>36</v>
      </c>
      <c r="B26" s="320">
        <f>+PGETX!$H$39</f>
        <v>53264.240000000005</v>
      </c>
      <c r="C26" s="321">
        <f>+B26/$P$13</f>
        <v>6999.2431011826548</v>
      </c>
      <c r="D26" s="65">
        <f>+PGETX!E39</f>
        <v>36876</v>
      </c>
      <c r="E26" t="s">
        <v>92</v>
      </c>
      <c r="F26" t="s">
        <v>117</v>
      </c>
      <c r="G26" t="s">
        <v>111</v>
      </c>
    </row>
    <row r="27" spans="1:7" ht="18" customHeight="1" x14ac:dyDescent="0.2">
      <c r="A27" s="302" t="s">
        <v>3</v>
      </c>
      <c r="B27" s="359">
        <f>+'Amoco Abo'!$D$43</f>
        <v>33903.570000000007</v>
      </c>
      <c r="C27" s="345">
        <f>+B27/$P$13</f>
        <v>4455.1340341655723</v>
      </c>
      <c r="D27" s="65">
        <f>+'Amoco Abo'!A43</f>
        <v>36876</v>
      </c>
      <c r="E27" t="s">
        <v>92</v>
      </c>
      <c r="F27" t="s">
        <v>112</v>
      </c>
    </row>
    <row r="28" spans="1:7" ht="18" customHeight="1" x14ac:dyDescent="0.2">
      <c r="A28" s="302" t="s">
        <v>107</v>
      </c>
      <c r="B28" s="254">
        <f>SUM(B12:B27)</f>
        <v>8450797.9899999984</v>
      </c>
      <c r="C28" s="303">
        <f>SUM(C12:C27)</f>
        <v>1112121.2063074901</v>
      </c>
    </row>
    <row r="29" spans="1:7" ht="18" customHeight="1" x14ac:dyDescent="0.2"/>
    <row r="30" spans="1:7" ht="18" customHeight="1" x14ac:dyDescent="0.2"/>
    <row r="31" spans="1:7" ht="18" customHeight="1" x14ac:dyDescent="0.2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">
      <c r="A32" s="302" t="s">
        <v>1</v>
      </c>
      <c r="B32" s="320">
        <f>+C32*$P$12</f>
        <v>-890360.60000000009</v>
      </c>
      <c r="C32" s="321">
        <f>+NW!$F$41</f>
        <v>-120319</v>
      </c>
      <c r="D32" s="328">
        <f>+NW!B41</f>
        <v>36876</v>
      </c>
      <c r="E32" t="s">
        <v>91</v>
      </c>
      <c r="F32" t="s">
        <v>113</v>
      </c>
    </row>
    <row r="33" spans="1:7" ht="18" customHeight="1" x14ac:dyDescent="0.2">
      <c r="A33" s="302" t="s">
        <v>120</v>
      </c>
      <c r="B33" s="320">
        <f>+EOG!J41</f>
        <v>-494280.67</v>
      </c>
      <c r="C33" s="321">
        <f>+B33/$P$13</f>
        <v>-64951.467805519052</v>
      </c>
      <c r="D33" s="328">
        <f>+EOG!A41</f>
        <v>36876</v>
      </c>
      <c r="E33" t="s">
        <v>92</v>
      </c>
      <c r="F33" t="s">
        <v>117</v>
      </c>
    </row>
    <row r="34" spans="1:7" ht="18" customHeight="1" x14ac:dyDescent="0.2">
      <c r="A34" s="302" t="s">
        <v>86</v>
      </c>
      <c r="B34" s="320">
        <f>+Conoco!$F$41</f>
        <v>-423209.74999999977</v>
      </c>
      <c r="C34" s="321">
        <f>+B34/$P$12</f>
        <v>-57190.506756756724</v>
      </c>
      <c r="D34" s="65">
        <f>+Conoco!A41</f>
        <v>36876</v>
      </c>
      <c r="E34" t="s">
        <v>92</v>
      </c>
      <c r="F34" t="s">
        <v>114</v>
      </c>
    </row>
    <row r="35" spans="1:7" ht="18" customHeight="1" x14ac:dyDescent="0.2">
      <c r="A35" s="302" t="s">
        <v>7</v>
      </c>
      <c r="B35" s="320">
        <f>+C35*$P$12</f>
        <v>-321382</v>
      </c>
      <c r="C35" s="321">
        <f>+Amoco!D40</f>
        <v>-43430</v>
      </c>
      <c r="D35" s="65">
        <f>+Amoco!A40</f>
        <v>36876</v>
      </c>
      <c r="E35" t="s">
        <v>91</v>
      </c>
      <c r="F35" t="s">
        <v>114</v>
      </c>
    </row>
    <row r="36" spans="1:7" ht="18" customHeight="1" x14ac:dyDescent="0.2">
      <c r="A36" s="302" t="s">
        <v>30</v>
      </c>
      <c r="B36" s="320">
        <f>+C36*$P$12</f>
        <v>-253842.2</v>
      </c>
      <c r="C36" s="321">
        <f>+williams!J40</f>
        <v>-34303</v>
      </c>
      <c r="D36" s="65">
        <f>+williams!A40</f>
        <v>36876</v>
      </c>
      <c r="E36" t="s">
        <v>91</v>
      </c>
      <c r="F36" t="s">
        <v>118</v>
      </c>
    </row>
    <row r="37" spans="1:7" ht="18" customHeight="1" x14ac:dyDescent="0.2">
      <c r="A37" s="34" t="s">
        <v>125</v>
      </c>
      <c r="B37" s="320">
        <f>+[1]summary!$C$42+[1]summary!$C$43+55549*7.66</f>
        <v>-228084.46000000002</v>
      </c>
      <c r="C37" s="321">
        <f>+B37/$P$13</f>
        <v>-29971.676741130093</v>
      </c>
      <c r="D37" s="65">
        <v>36874</v>
      </c>
      <c r="E37" t="s">
        <v>92</v>
      </c>
      <c r="F37" t="s">
        <v>112</v>
      </c>
      <c r="G37" s="34"/>
    </row>
    <row r="38" spans="1:7" ht="18" customHeight="1" x14ac:dyDescent="0.2">
      <c r="A38" s="302" t="s">
        <v>127</v>
      </c>
      <c r="B38" s="320">
        <f>+Continental!F43</f>
        <v>-197455.83999999997</v>
      </c>
      <c r="C38" s="321">
        <f>+B38/$P$13</f>
        <v>-25946.890932982911</v>
      </c>
      <c r="D38" s="65">
        <f>+Continental!A43</f>
        <v>36876</v>
      </c>
      <c r="E38" t="s">
        <v>92</v>
      </c>
      <c r="F38" t="s">
        <v>114</v>
      </c>
    </row>
    <row r="39" spans="1:7" ht="18" customHeight="1" x14ac:dyDescent="0.2">
      <c r="A39" s="302" t="s">
        <v>128</v>
      </c>
      <c r="B39" s="320">
        <f>+CIG!D43</f>
        <v>-191686.37</v>
      </c>
      <c r="C39" s="321">
        <f>+B39/$P$13</f>
        <v>-25188.747700394215</v>
      </c>
      <c r="D39" s="65">
        <f>+CIG!A43</f>
        <v>36876</v>
      </c>
      <c r="E39" t="s">
        <v>92</v>
      </c>
      <c r="F39" t="s">
        <v>114</v>
      </c>
    </row>
    <row r="40" spans="1:7" ht="18" customHeight="1" x14ac:dyDescent="0.2">
      <c r="A40" s="352" t="s">
        <v>85</v>
      </c>
      <c r="B40" s="320">
        <f>+Agave!$D$24</f>
        <v>-162268.70000000001</v>
      </c>
      <c r="C40" s="321">
        <f>+B40/$P$13</f>
        <v>-21323.088042049934</v>
      </c>
      <c r="D40" s="328">
        <f>+Agave!A24</f>
        <v>36876</v>
      </c>
      <c r="E40" s="325" t="s">
        <v>92</v>
      </c>
      <c r="F40" t="s">
        <v>117</v>
      </c>
    </row>
    <row r="41" spans="1:7" ht="18" customHeight="1" x14ac:dyDescent="0.2">
      <c r="A41" s="302" t="s">
        <v>25</v>
      </c>
      <c r="B41" s="393">
        <f>+'Red C'!$D$43</f>
        <v>-95271.82</v>
      </c>
      <c r="C41" s="394">
        <f>+B41/$P$12</f>
        <v>-12874.570270270271</v>
      </c>
      <c r="D41" s="328">
        <f>+'Red C'!B43</f>
        <v>36876</v>
      </c>
      <c r="E41" t="s">
        <v>92</v>
      </c>
      <c r="F41" t="s">
        <v>114</v>
      </c>
    </row>
    <row r="42" spans="1:7" ht="18" customHeight="1" x14ac:dyDescent="0.2">
      <c r="A42" s="302" t="s">
        <v>108</v>
      </c>
      <c r="B42" s="320">
        <f>SUM(B32:B41)</f>
        <v>-3257842.4099999997</v>
      </c>
      <c r="C42" s="321">
        <f>SUM(C32:C41)</f>
        <v>-435498.94824910321</v>
      </c>
      <c r="D42" s="325"/>
    </row>
    <row r="43" spans="1:7" ht="18" customHeight="1" x14ac:dyDescent="0.2">
      <c r="B43" s="320"/>
      <c r="C43" s="321"/>
    </row>
    <row r="44" spans="1:7" ht="18" customHeight="1" x14ac:dyDescent="0.2"/>
    <row r="45" spans="1:7" ht="18" customHeight="1" thickBot="1" x14ac:dyDescent="0.25">
      <c r="A45" s="34" t="s">
        <v>102</v>
      </c>
      <c r="B45" s="318">
        <f>+B42+B28</f>
        <v>5192955.5799999982</v>
      </c>
      <c r="C45" s="319">
        <f>+C42+C28</f>
        <v>676622.25805838685</v>
      </c>
    </row>
    <row r="46" spans="1:7" ht="18" customHeight="1" thickTop="1" x14ac:dyDescent="0.2"/>
    <row r="47" spans="1:7" x14ac:dyDescent="0.2">
      <c r="C47" s="367"/>
    </row>
    <row r="53" spans="1:5" x14ac:dyDescent="0.2">
      <c r="C53" s="261"/>
      <c r="E53" s="364"/>
    </row>
    <row r="57" spans="1:5" x14ac:dyDescent="0.2">
      <c r="A57" s="34" t="s">
        <v>103</v>
      </c>
    </row>
    <row r="60" spans="1:5" x14ac:dyDescent="0.2">
      <c r="B60" s="322"/>
      <c r="C60" s="344"/>
    </row>
    <row r="61" spans="1:5" x14ac:dyDescent="0.2">
      <c r="B61" s="261"/>
    </row>
    <row r="62" spans="1:5" x14ac:dyDescent="0.2">
      <c r="B62" s="261"/>
    </row>
    <row r="63" spans="1:5" x14ac:dyDescent="0.2">
      <c r="B63" s="261"/>
    </row>
    <row r="64" spans="1:5" x14ac:dyDescent="0.2">
      <c r="B64" s="261"/>
      <c r="D64" s="64"/>
    </row>
    <row r="65" spans="2:5" x14ac:dyDescent="0.2">
      <c r="B65" s="261"/>
      <c r="C65" s="367"/>
    </row>
    <row r="66" spans="2:5" x14ac:dyDescent="0.2">
      <c r="B66" s="261"/>
      <c r="C66" s="367"/>
      <c r="D66" s="357"/>
      <c r="E66" s="369"/>
    </row>
    <row r="67" spans="2:5" x14ac:dyDescent="0.2">
      <c r="B67" s="261"/>
      <c r="C67" s="367"/>
      <c r="D67" s="272"/>
    </row>
    <row r="68" spans="2:5" x14ac:dyDescent="0.2">
      <c r="B68" s="261"/>
      <c r="C68" s="367"/>
      <c r="D68" s="272"/>
    </row>
    <row r="69" spans="2:5" x14ac:dyDescent="0.2">
      <c r="B69" s="261"/>
      <c r="C69" s="367"/>
      <c r="D69" s="31"/>
    </row>
    <row r="70" spans="2:5" x14ac:dyDescent="0.2">
      <c r="B70" s="261"/>
      <c r="C70" s="367"/>
      <c r="D70" s="370"/>
    </row>
    <row r="71" spans="2:5" x14ac:dyDescent="0.2">
      <c r="B71" s="358"/>
    </row>
    <row r="72" spans="2:5" x14ac:dyDescent="0.2">
      <c r="B72" s="358"/>
      <c r="D72" s="64"/>
    </row>
    <row r="73" spans="2:5" x14ac:dyDescent="0.2">
      <c r="B73" s="357"/>
      <c r="C73" s="261"/>
    </row>
    <row r="74" spans="2:5" x14ac:dyDescent="0.2">
      <c r="B74" s="357"/>
      <c r="C74" s="261"/>
    </row>
    <row r="75" spans="2:5" x14ac:dyDescent="0.2">
      <c r="B75" s="358"/>
      <c r="C75" s="261"/>
      <c r="D75" s="64"/>
    </row>
    <row r="76" spans="2:5" x14ac:dyDescent="0.2">
      <c r="B76" s="358"/>
      <c r="D76" s="64"/>
    </row>
    <row r="77" spans="2:5" x14ac:dyDescent="0.2">
      <c r="B77" s="358"/>
    </row>
    <row r="78" spans="2:5" x14ac:dyDescent="0.2">
      <c r="B78" s="322"/>
      <c r="C78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11" workbookViewId="1">
      <selection activeCell="C21" sqref="C2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27885</v>
      </c>
      <c r="C16" s="24">
        <v>21519</v>
      </c>
      <c r="D16" s="24">
        <f t="shared" si="0"/>
        <v>-6366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35582</v>
      </c>
      <c r="C17" s="24">
        <v>39019</v>
      </c>
      <c r="D17" s="24">
        <f t="shared" si="0"/>
        <v>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23869</v>
      </c>
      <c r="C18" s="24">
        <v>23120</v>
      </c>
      <c r="D18" s="24">
        <f t="shared" si="0"/>
        <v>-749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25582</v>
      </c>
      <c r="C19" s="24">
        <v>25415</v>
      </c>
      <c r="D19" s="24">
        <f t="shared" si="0"/>
        <v>-167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15648</v>
      </c>
      <c r="C20" s="24">
        <v>16519</v>
      </c>
      <c r="D20" s="24">
        <f t="shared" si="0"/>
        <v>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288790</v>
      </c>
      <c r="C36" s="24">
        <f>SUM(C5:C35)</f>
        <v>284236</v>
      </c>
      <c r="D36" s="24">
        <f t="shared" si="0"/>
        <v>-4554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76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36876</v>
      </c>
      <c r="C40" s="24"/>
      <c r="D40" s="195">
        <f>+D36+D38</f>
        <v>65505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workbookViewId="1">
      <selection activeCell="D6" sqref="D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36668</v>
      </c>
      <c r="E10" s="11">
        <v>25000</v>
      </c>
      <c r="F10" s="25">
        <f t="shared" si="0"/>
        <v>-8430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37663</v>
      </c>
      <c r="E11" s="11">
        <v>32222</v>
      </c>
      <c r="F11" s="25">
        <f t="shared" si="0"/>
        <v>-4885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34971</v>
      </c>
      <c r="E12" s="11">
        <v>25000</v>
      </c>
      <c r="F12" s="25">
        <f t="shared" si="0"/>
        <v>-9373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33463</v>
      </c>
      <c r="E13" s="11">
        <v>25000</v>
      </c>
      <c r="F13" s="25">
        <f t="shared" si="0"/>
        <v>-7737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27303</v>
      </c>
      <c r="E15" s="11">
        <v>31000</v>
      </c>
      <c r="F15" s="25">
        <f t="shared" si="0"/>
        <v>8997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34403</v>
      </c>
      <c r="E19" s="11">
        <v>28000</v>
      </c>
      <c r="F19" s="25">
        <f t="shared" si="0"/>
        <v>-6077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434349</v>
      </c>
      <c r="C35" s="11">
        <f>SUM(C4:C34)</f>
        <v>479652</v>
      </c>
      <c r="D35" s="11">
        <f>SUM(D4:D34)</f>
        <v>469792</v>
      </c>
      <c r="E35" s="11">
        <f>SUM(E4:E34)</f>
        <v>425188</v>
      </c>
      <c r="F35" s="11">
        <f>+E35-D35+C35-B35</f>
        <v>699</v>
      </c>
    </row>
    <row r="36" spans="1:7" x14ac:dyDescent="0.2">
      <c r="A36" s="45"/>
      <c r="C36" s="14">
        <f>+C35-B35</f>
        <v>45303</v>
      </c>
      <c r="D36" s="14"/>
      <c r="E36" s="14">
        <f>+E35-D35</f>
        <v>-44604</v>
      </c>
      <c r="F36" s="47"/>
    </row>
    <row r="37" spans="1:7" x14ac:dyDescent="0.2">
      <c r="C37" s="15">
        <f>+summary!P13</f>
        <v>7.61</v>
      </c>
      <c r="D37" s="15"/>
      <c r="E37" s="15">
        <f>+C37</f>
        <v>7.61</v>
      </c>
      <c r="F37" s="24"/>
    </row>
    <row r="38" spans="1:7" x14ac:dyDescent="0.2">
      <c r="C38" s="48">
        <f>+C37*C36</f>
        <v>344755.83</v>
      </c>
      <c r="D38" s="47"/>
      <c r="E38" s="48">
        <f>+E37*E36</f>
        <v>-339436.44</v>
      </c>
      <c r="F38" s="46">
        <f>+E38+C38</f>
        <v>5319.390000000014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3">
        <v>622338.78</v>
      </c>
      <c r="D40" s="347"/>
      <c r="E40" s="383">
        <v>-1050867.92</v>
      </c>
      <c r="F40" s="106">
        <f>+E40+C40</f>
        <v>-428529.1399999999</v>
      </c>
      <c r="G40" s="25"/>
    </row>
    <row r="41" spans="1:7" x14ac:dyDescent="0.2">
      <c r="A41" s="57">
        <v>36876</v>
      </c>
      <c r="C41" s="50">
        <f>+C40+C38</f>
        <v>967094.6100000001</v>
      </c>
      <c r="D41" s="50"/>
      <c r="E41" s="50">
        <f>+E40+E38</f>
        <v>-1390304.3599999999</v>
      </c>
      <c r="F41" s="106">
        <f>+E41+C41</f>
        <v>-423209.74999999977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B17" sqref="B17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1">
        <v>575398</v>
      </c>
      <c r="C5" s="90">
        <v>539777</v>
      </c>
      <c r="D5" s="90">
        <f>+C5-B5</f>
        <v>-35621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1">
        <f>371930+27104+26262</f>
        <v>425296</v>
      </c>
      <c r="C7" s="90">
        <v>466513</v>
      </c>
      <c r="D7" s="90">
        <f t="shared" si="0"/>
        <v>41217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71">
        <v>566236</v>
      </c>
      <c r="C8" s="90">
        <v>581465</v>
      </c>
      <c r="D8" s="90">
        <f t="shared" si="0"/>
        <v>15229</v>
      </c>
      <c r="E8" s="292"/>
      <c r="F8" s="290"/>
    </row>
    <row r="9" spans="1:13" x14ac:dyDescent="0.2">
      <c r="A9" s="87">
        <v>500293</v>
      </c>
      <c r="B9" s="371">
        <v>315818</v>
      </c>
      <c r="C9" s="90">
        <v>390261</v>
      </c>
      <c r="D9" s="90">
        <f t="shared" si="0"/>
        <v>74443</v>
      </c>
      <c r="E9" s="292"/>
      <c r="F9" s="290"/>
    </row>
    <row r="10" spans="1:13" x14ac:dyDescent="0.2">
      <c r="A10" s="87">
        <v>500302</v>
      </c>
      <c r="B10" s="90"/>
      <c r="C10" s="90">
        <v>5088</v>
      </c>
      <c r="D10" s="90">
        <f t="shared" si="0"/>
        <v>5088</v>
      </c>
      <c r="E10" s="292"/>
      <c r="F10" s="290"/>
    </row>
    <row r="11" spans="1:13" x14ac:dyDescent="0.2">
      <c r="A11" s="87">
        <v>500303</v>
      </c>
      <c r="B11" s="371">
        <v>184700</v>
      </c>
      <c r="C11" s="90">
        <v>153748</v>
      </c>
      <c r="D11" s="90">
        <f t="shared" si="0"/>
        <v>-30952</v>
      </c>
      <c r="E11" s="292"/>
      <c r="F11" s="290"/>
    </row>
    <row r="12" spans="1:13" x14ac:dyDescent="0.2">
      <c r="A12" s="91">
        <v>500305</v>
      </c>
      <c r="B12" s="371">
        <v>866482</v>
      </c>
      <c r="C12" s="90">
        <v>854919</v>
      </c>
      <c r="D12" s="90">
        <f t="shared" si="0"/>
        <v>-11563</v>
      </c>
      <c r="E12" s="293"/>
      <c r="F12" s="290"/>
    </row>
    <row r="13" spans="1:13" x14ac:dyDescent="0.2">
      <c r="A13" s="87">
        <v>500307</v>
      </c>
      <c r="B13" s="90">
        <v>22008</v>
      </c>
      <c r="C13" s="90">
        <v>35376</v>
      </c>
      <c r="D13" s="90">
        <f t="shared" si="0"/>
        <v>13368</v>
      </c>
      <c r="E13" s="292"/>
      <c r="F13" s="290"/>
    </row>
    <row r="14" spans="1:13" x14ac:dyDescent="0.2">
      <c r="A14" s="87">
        <v>500313</v>
      </c>
      <c r="B14" s="90"/>
      <c r="C14" s="342">
        <v>1999</v>
      </c>
      <c r="D14" s="90">
        <f t="shared" si="0"/>
        <v>1999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371">
        <v>42058</v>
      </c>
      <c r="C16" s="90"/>
      <c r="D16" s="90">
        <f t="shared" si="0"/>
        <v>-42058</v>
      </c>
      <c r="E16" s="292"/>
      <c r="F16" s="290"/>
    </row>
    <row r="17" spans="1:6" x14ac:dyDescent="0.2">
      <c r="A17" s="87">
        <v>500657</v>
      </c>
      <c r="B17" s="372">
        <v>155699</v>
      </c>
      <c r="C17" s="88">
        <v>119269</v>
      </c>
      <c r="D17" s="94">
        <f t="shared" si="0"/>
        <v>-36430</v>
      </c>
      <c r="E17" s="292"/>
      <c r="F17" s="290"/>
    </row>
    <row r="18" spans="1:6" x14ac:dyDescent="0.2">
      <c r="A18" s="87"/>
      <c r="B18" s="88"/>
      <c r="C18" s="88"/>
      <c r="D18" s="88">
        <f>SUM(D5:D17)</f>
        <v>-5280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7.61</v>
      </c>
      <c r="E19" s="294"/>
      <c r="F19" s="290"/>
    </row>
    <row r="20" spans="1:6" x14ac:dyDescent="0.2">
      <c r="A20" s="87"/>
      <c r="B20" s="88"/>
      <c r="C20" s="88"/>
      <c r="D20" s="96">
        <f>+D19*D18</f>
        <v>-40180.800000000003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4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36876</v>
      </c>
      <c r="B24" s="88"/>
      <c r="C24" s="88"/>
      <c r="D24" s="98">
        <f>+D22+D20</f>
        <v>-162268.70000000001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E21" sqref="E2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2339660</v>
      </c>
      <c r="C36" s="11">
        <f>SUM(C5:C35)</f>
        <v>2738459</v>
      </c>
      <c r="D36" s="11"/>
      <c r="E36" s="11">
        <f>SUM(E5:E35)</f>
        <v>443686</v>
      </c>
      <c r="F36" s="11">
        <f>SUM(F5:F35)</f>
        <v>-44887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4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36876</v>
      </c>
      <c r="F41" s="282">
        <f>+F39+F36</f>
        <v>-120319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390097</v>
      </c>
      <c r="C39" s="11">
        <f>SUM(C8:C38)</f>
        <v>390716</v>
      </c>
      <c r="D39" s="11">
        <f>SUM(D8:D38)</f>
        <v>619</v>
      </c>
      <c r="E39" s="10"/>
      <c r="F39" s="11"/>
      <c r="G39" s="11"/>
      <c r="H39" s="11"/>
    </row>
    <row r="40" spans="1:8" x14ac:dyDescent="0.2">
      <c r="A40" s="26"/>
      <c r="D40" s="75">
        <f>+summary!P13</f>
        <v>7.61</v>
      </c>
      <c r="E40" s="26"/>
      <c r="H40" s="75"/>
    </row>
    <row r="41" spans="1:8" x14ac:dyDescent="0.2">
      <c r="D41" s="197">
        <f>+D40*D39</f>
        <v>4710.59</v>
      </c>
      <c r="F41" s="254"/>
      <c r="H41" s="197"/>
    </row>
    <row r="42" spans="1:8" x14ac:dyDescent="0.2">
      <c r="A42" s="57">
        <v>36860</v>
      </c>
      <c r="D42" s="390">
        <v>95639.73</v>
      </c>
      <c r="E42" s="57"/>
      <c r="H42" s="197"/>
    </row>
    <row r="43" spans="1:8" x14ac:dyDescent="0.2">
      <c r="A43" s="57">
        <v>36876</v>
      </c>
      <c r="D43" s="198">
        <f>+D42+D41</f>
        <v>100350.31999999999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topLeftCell="A2" workbookViewId="1">
      <selection activeCell="A2" sqref="A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91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36876</v>
      </c>
      <c r="G7" s="32"/>
      <c r="H7" s="15"/>
      <c r="I7" s="32"/>
      <c r="J7" s="32"/>
    </row>
    <row r="8" spans="1:10" x14ac:dyDescent="0.2">
      <c r="A8" s="255">
        <v>60874</v>
      </c>
      <c r="B8" s="355">
        <v>1638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73">
        <f>14365-12802</f>
        <v>1563</v>
      </c>
      <c r="G10" s="32"/>
      <c r="H10" s="15"/>
      <c r="I10" s="32"/>
      <c r="J10" s="32"/>
    </row>
    <row r="11" spans="1:10" x14ac:dyDescent="0.2">
      <c r="A11" s="255">
        <v>500251</v>
      </c>
      <c r="B11" s="355">
        <f>6473-8016</f>
        <v>-1543</v>
      </c>
      <c r="G11" s="32"/>
      <c r="H11" s="15"/>
      <c r="I11" s="32"/>
      <c r="J11" s="32"/>
    </row>
    <row r="12" spans="1:10" x14ac:dyDescent="0.2">
      <c r="A12" s="255">
        <v>500254</v>
      </c>
      <c r="B12" s="212">
        <f>1006-429</f>
        <v>577</v>
      </c>
      <c r="G12" s="32"/>
      <c r="H12" s="15"/>
      <c r="I12" s="32"/>
      <c r="J12" s="32"/>
    </row>
    <row r="13" spans="1:10" x14ac:dyDescent="0.2">
      <c r="A13" s="32">
        <v>500255</v>
      </c>
      <c r="B13" s="273">
        <f>9176-15113</f>
        <v>-5937</v>
      </c>
      <c r="G13" s="32"/>
      <c r="H13" s="15"/>
      <c r="I13" s="32"/>
      <c r="J13" s="32"/>
    </row>
    <row r="14" spans="1:10" x14ac:dyDescent="0.2">
      <c r="A14" s="32">
        <v>500262</v>
      </c>
      <c r="B14" s="355">
        <f>4708-4540</f>
        <v>168</v>
      </c>
      <c r="G14" s="32"/>
      <c r="H14" s="15"/>
      <c r="I14" s="32"/>
      <c r="J14" s="32"/>
    </row>
    <row r="15" spans="1:10" x14ac:dyDescent="0.2">
      <c r="A15" s="297">
        <v>500267</v>
      </c>
      <c r="B15" s="356">
        <f>479944-493862</f>
        <v>-13918</v>
      </c>
      <c r="G15" s="32"/>
      <c r="H15" s="15"/>
      <c r="I15" s="32"/>
      <c r="J15" s="32"/>
    </row>
    <row r="16" spans="1:10" x14ac:dyDescent="0.2">
      <c r="B16" s="14">
        <f>SUM(B8:B15)</f>
        <v>-17452</v>
      </c>
      <c r="G16" s="32"/>
      <c r="H16" s="15"/>
      <c r="I16" s="32"/>
      <c r="J16" s="32"/>
    </row>
    <row r="17" spans="1:10" x14ac:dyDescent="0.2">
      <c r="B17" s="15">
        <f>+B30</f>
        <v>7.61</v>
      </c>
      <c r="C17" s="201">
        <f>+B17*B16</f>
        <v>-132809.72</v>
      </c>
      <c r="G17" s="32"/>
      <c r="H17" s="15"/>
      <c r="I17" s="32"/>
      <c r="J17" s="32"/>
    </row>
    <row r="18" spans="1:10" x14ac:dyDescent="0.2">
      <c r="C18" s="260">
        <f>+C17+C5</f>
        <v>-341611.32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88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36876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7.61</v>
      </c>
      <c r="C30" s="201">
        <f>+B30*B29</f>
        <v>95551.16</v>
      </c>
    </row>
    <row r="31" spans="1:10" x14ac:dyDescent="0.2">
      <c r="C31" s="260">
        <f>+C30+C24</f>
        <v>262381.04000000004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7">
        <v>285553.17</v>
      </c>
      <c r="E38" s="15"/>
      <c r="F38" s="272"/>
    </row>
    <row r="40" spans="1:6" x14ac:dyDescent="0.2">
      <c r="A40" s="251">
        <v>36876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3782</v>
      </c>
    </row>
    <row r="43" spans="1:6" x14ac:dyDescent="0.2">
      <c r="A43" s="32">
        <v>500392</v>
      </c>
      <c r="B43" s="259">
        <v>1162</v>
      </c>
    </row>
    <row r="44" spans="1:6" x14ac:dyDescent="0.2">
      <c r="B44" s="14">
        <f>SUM(B41:B43)</f>
        <v>4944</v>
      </c>
    </row>
    <row r="45" spans="1:6" x14ac:dyDescent="0.2">
      <c r="B45" s="201">
        <f>+B30</f>
        <v>7.61</v>
      </c>
      <c r="C45" s="201">
        <f>+B45*B44</f>
        <v>37623.840000000004</v>
      </c>
    </row>
    <row r="46" spans="1:6" x14ac:dyDescent="0.2">
      <c r="C46" s="260">
        <f>+C45+C38</f>
        <v>323177.01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5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86">
        <v>73449.16</v>
      </c>
      <c r="E51" s="50"/>
    </row>
    <row r="52" spans="1:5" x14ac:dyDescent="0.2">
      <c r="A52" s="32">
        <v>22664</v>
      </c>
      <c r="C52" s="386">
        <v>23612.35</v>
      </c>
    </row>
    <row r="53" spans="1:5" x14ac:dyDescent="0.2">
      <c r="E53" s="15"/>
    </row>
    <row r="56" spans="1:5" x14ac:dyDescent="0.2">
      <c r="C56" s="15"/>
    </row>
    <row r="58" spans="1:5" x14ac:dyDescent="0.2">
      <c r="C58" s="15"/>
    </row>
    <row r="59" spans="1:5" x14ac:dyDescent="0.2">
      <c r="C59" s="15"/>
    </row>
    <row r="62" spans="1:5" x14ac:dyDescent="0.2">
      <c r="C62" s="15">
        <f>+C18+C31+C46+C51+C52</f>
        <v>341008.24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5" workbookViewId="1">
      <selection activeCell="C20" sqref="C20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105463</v>
      </c>
      <c r="C39" s="11">
        <f t="shared" si="1"/>
        <v>106243</v>
      </c>
      <c r="D39" s="11">
        <f t="shared" si="1"/>
        <v>2230</v>
      </c>
      <c r="E39" s="11">
        <f t="shared" si="1"/>
        <v>2864</v>
      </c>
      <c r="F39" s="11">
        <f t="shared" si="1"/>
        <v>16605</v>
      </c>
      <c r="G39" s="11">
        <f t="shared" si="1"/>
        <v>21451</v>
      </c>
      <c r="H39" s="11">
        <f t="shared" si="1"/>
        <v>2520</v>
      </c>
      <c r="I39" s="11">
        <f t="shared" si="1"/>
        <v>4768</v>
      </c>
      <c r="J39" s="25">
        <f t="shared" si="1"/>
        <v>8508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7.61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64745.880000000005</v>
      </c>
      <c r="L41"/>
      <c r="R41" s="138"/>
      <c r="X41" s="138"/>
    </row>
    <row r="42" spans="1:24" x14ac:dyDescent="0.2">
      <c r="A42" s="57">
        <v>36860</v>
      </c>
      <c r="C42" s="15"/>
      <c r="J42" s="378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36876</v>
      </c>
      <c r="C43" s="48"/>
      <c r="J43" s="138">
        <f>+J42+J41</f>
        <v>574218.81000000006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workbookViewId="1">
      <selection activeCell="C24" sqref="C24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263055</v>
      </c>
      <c r="C39" s="11">
        <f>SUM(C8:C38)</f>
        <v>276163</v>
      </c>
      <c r="D39" s="11">
        <f>SUM(D8:D38)</f>
        <v>13108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7.61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99751.88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2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36876</v>
      </c>
      <c r="C43" s="48"/>
      <c r="D43" s="110">
        <f>+D42+D41</f>
        <v>33903.570000000007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D27" sqref="D27:D31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95">
        <v>-375221</v>
      </c>
      <c r="C6" s="80"/>
      <c r="D6" s="80">
        <f t="shared" ref="D6:D14" si="0">+C6-B6</f>
        <v>375221</v>
      </c>
    </row>
    <row r="7" spans="1:8" x14ac:dyDescent="0.2">
      <c r="A7" s="32">
        <v>3531</v>
      </c>
      <c r="B7" s="395">
        <v>-471621</v>
      </c>
      <c r="C7" s="307">
        <v>-467642</v>
      </c>
      <c r="D7" s="80">
        <f t="shared" si="0"/>
        <v>3979</v>
      </c>
    </row>
    <row r="8" spans="1:8" x14ac:dyDescent="0.2">
      <c r="A8" s="32">
        <v>60667</v>
      </c>
      <c r="B8" s="385">
        <v>-330163</v>
      </c>
      <c r="C8" s="307">
        <v>-381139</v>
      </c>
      <c r="D8" s="80">
        <f t="shared" si="0"/>
        <v>-50976</v>
      </c>
      <c r="H8" s="256"/>
    </row>
    <row r="9" spans="1:8" x14ac:dyDescent="0.2">
      <c r="A9" s="32">
        <v>60749</v>
      </c>
      <c r="B9" s="395">
        <v>346884</v>
      </c>
      <c r="C9" s="385">
        <v>-292556</v>
      </c>
      <c r="D9" s="80">
        <f t="shared" si="0"/>
        <v>-639440</v>
      </c>
      <c r="H9" s="256"/>
    </row>
    <row r="10" spans="1:8" x14ac:dyDescent="0.2">
      <c r="A10" s="32">
        <v>61206</v>
      </c>
      <c r="B10" s="80">
        <v>-20225</v>
      </c>
      <c r="C10" s="80"/>
      <c r="D10" s="80">
        <f t="shared" si="0"/>
        <v>20225</v>
      </c>
      <c r="H10" s="256"/>
    </row>
    <row r="11" spans="1:8" x14ac:dyDescent="0.2">
      <c r="A11" s="32">
        <v>61334</v>
      </c>
      <c r="B11" s="385">
        <v>-310478</v>
      </c>
      <c r="C11" s="80"/>
      <c r="D11" s="80">
        <f t="shared" si="0"/>
        <v>310478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19487</v>
      </c>
    </row>
    <row r="19" spans="1:5" x14ac:dyDescent="0.2">
      <c r="A19" s="32" t="s">
        <v>88</v>
      </c>
      <c r="B19" s="69"/>
      <c r="C19" s="69"/>
      <c r="D19" s="73">
        <f>+summary!P13</f>
        <v>7.61</v>
      </c>
    </row>
    <row r="20" spans="1:5" x14ac:dyDescent="0.2">
      <c r="B20" s="69"/>
      <c r="C20" s="69"/>
      <c r="D20" s="75">
        <f>+D19*D18</f>
        <v>148296.07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7">
        <v>52631.01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36876</v>
      </c>
      <c r="B24" s="69"/>
      <c r="C24" s="69"/>
      <c r="D24" s="306">
        <f>+D22+D20</f>
        <v>200927.08000000002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B10" sqref="B10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90">
        <v>-42051</v>
      </c>
      <c r="C5" s="90">
        <v>-66474</v>
      </c>
      <c r="D5" s="90">
        <f t="shared" ref="D5:D13" si="0">+C5-B5</f>
        <v>-24423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90">
        <v>-1524649</v>
      </c>
      <c r="C7" s="90">
        <v>-1654374</v>
      </c>
      <c r="D7" s="90">
        <f t="shared" si="0"/>
        <v>-129725</v>
      </c>
      <c r="E7" s="292"/>
      <c r="F7" s="70"/>
    </row>
    <row r="8" spans="1:13" x14ac:dyDescent="0.2">
      <c r="A8" s="87">
        <v>58710</v>
      </c>
      <c r="B8" s="90">
        <v>-230795</v>
      </c>
      <c r="C8" s="353">
        <v>-108932</v>
      </c>
      <c r="D8" s="90">
        <f t="shared" si="0"/>
        <v>121863</v>
      </c>
      <c r="E8" s="292"/>
      <c r="F8" s="70"/>
    </row>
    <row r="9" spans="1:13" x14ac:dyDescent="0.2">
      <c r="A9" s="87">
        <v>60921</v>
      </c>
      <c r="B9" s="90">
        <v>-363325</v>
      </c>
      <c r="C9" s="90">
        <v>-267860</v>
      </c>
      <c r="D9" s="90">
        <f t="shared" si="0"/>
        <v>95465</v>
      </c>
      <c r="E9" s="292"/>
      <c r="F9" s="70"/>
    </row>
    <row r="10" spans="1:13" x14ac:dyDescent="0.2">
      <c r="A10" s="87">
        <v>78026</v>
      </c>
      <c r="B10" s="342">
        <v>42844</v>
      </c>
      <c r="C10" s="90"/>
      <c r="D10" s="90">
        <f t="shared" si="0"/>
        <v>-42844</v>
      </c>
      <c r="E10" s="292"/>
      <c r="F10" s="290"/>
    </row>
    <row r="11" spans="1:13" x14ac:dyDescent="0.2">
      <c r="A11" s="87">
        <v>500084</v>
      </c>
      <c r="B11" s="90">
        <v>-34254</v>
      </c>
      <c r="C11" s="90">
        <v>-48000</v>
      </c>
      <c r="D11" s="90">
        <f t="shared" si="0"/>
        <v>-13746</v>
      </c>
      <c r="E11" s="293"/>
      <c r="F11" s="290"/>
    </row>
    <row r="12" spans="1:13" x14ac:dyDescent="0.2">
      <c r="A12" s="91">
        <v>500085</v>
      </c>
      <c r="B12" s="90">
        <v>-103744</v>
      </c>
      <c r="C12" s="353">
        <v>-79216</v>
      </c>
      <c r="D12" s="90">
        <f t="shared" si="0"/>
        <v>24528</v>
      </c>
      <c r="E12" s="292"/>
      <c r="F12" s="290"/>
    </row>
    <row r="13" spans="1:13" x14ac:dyDescent="0.2">
      <c r="A13" s="87">
        <v>500097</v>
      </c>
      <c r="B13" s="90">
        <v>-10828</v>
      </c>
      <c r="C13" s="90"/>
      <c r="D13" s="90">
        <f t="shared" si="0"/>
        <v>10828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41946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7.61</v>
      </c>
      <c r="E18" s="294"/>
      <c r="F18" s="290"/>
    </row>
    <row r="19" spans="1:7" x14ac:dyDescent="0.2">
      <c r="A19" s="87"/>
      <c r="B19" s="88"/>
      <c r="C19" s="88"/>
      <c r="D19" s="96">
        <f>+D18*D17</f>
        <v>319209.06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4">
        <v>370218.8</v>
      </c>
      <c r="E21" s="209"/>
      <c r="F21" s="66"/>
    </row>
    <row r="22" spans="1:7" x14ac:dyDescent="0.2">
      <c r="A22" s="87"/>
      <c r="B22" s="88"/>
      <c r="C22" s="88"/>
      <c r="D22" s="351"/>
      <c r="E22" s="209"/>
      <c r="F22" s="66"/>
    </row>
    <row r="23" spans="1:7" ht="13.5" thickBot="1" x14ac:dyDescent="0.25">
      <c r="A23" s="99">
        <v>36876</v>
      </c>
      <c r="B23" s="88"/>
      <c r="C23" s="88"/>
      <c r="D23" s="98">
        <f>+D21+D19</f>
        <v>689427.86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2" workbookViewId="1">
      <selection activeCell="E46" sqref="E46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79661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3315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16894</v>
      </c>
      <c r="G15" s="11">
        <v>49634</v>
      </c>
      <c r="H15" s="11">
        <v>148358</v>
      </c>
      <c r="I15" s="11">
        <v>144322</v>
      </c>
      <c r="J15" s="11">
        <f t="shared" si="0"/>
        <v>26290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1054346</v>
      </c>
      <c r="C35" s="11">
        <f t="shared" ref="C35:I35" si="1">SUM(C4:C34)</f>
        <v>1045151</v>
      </c>
      <c r="D35" s="11">
        <f t="shared" si="1"/>
        <v>5995180</v>
      </c>
      <c r="E35" s="11">
        <f t="shared" si="1"/>
        <v>5975580</v>
      </c>
      <c r="F35" s="11">
        <f t="shared" si="1"/>
        <v>715655</v>
      </c>
      <c r="G35" s="11">
        <f t="shared" si="1"/>
        <v>792816</v>
      </c>
      <c r="H35" s="11">
        <f t="shared" si="1"/>
        <v>2430042</v>
      </c>
      <c r="I35" s="11">
        <f t="shared" si="1"/>
        <v>2381734</v>
      </c>
      <c r="J35" s="11">
        <f>SUM(J4:J34)</f>
        <v>58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36876</v>
      </c>
      <c r="J40" s="36">
        <f>+J38+J35</f>
        <v>-34303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workbookViewId="1">
      <selection activeCell="A14" sqref="A14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301833</v>
      </c>
      <c r="C34" s="304">
        <f>SUM(C3:C33)</f>
        <v>317348</v>
      </c>
      <c r="D34" s="14">
        <f>SUM(D3:D33)</f>
        <v>0</v>
      </c>
      <c r="E34" s="14">
        <f>SUM(E3:E33)</f>
        <v>0</v>
      </c>
      <c r="F34" s="14">
        <f>SUM(F3:F33)</f>
        <v>15515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36876</v>
      </c>
      <c r="B38" s="14"/>
      <c r="C38" s="14"/>
      <c r="D38" s="14"/>
      <c r="E38" s="14"/>
      <c r="F38" s="24">
        <f>+F37+F34</f>
        <v>152904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A41" sqref="A41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639038</v>
      </c>
      <c r="C35" s="11">
        <f>SUM(C4:C34)</f>
        <v>647419</v>
      </c>
      <c r="D35" s="11">
        <f>SUM(D4:D34)</f>
        <v>8381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36876</v>
      </c>
      <c r="D40" s="36">
        <f>+D38+D35</f>
        <v>92397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/>
      <c r="G16" s="11"/>
      <c r="H16" s="11"/>
      <c r="I16" s="11"/>
      <c r="J16" s="11">
        <f t="shared" si="0"/>
        <v>4191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462855</v>
      </c>
      <c r="C35" s="11">
        <f t="shared" ref="C35:I35" si="1">SUM(C4:C34)</f>
        <v>466023</v>
      </c>
      <c r="D35" s="11">
        <f t="shared" si="1"/>
        <v>164818</v>
      </c>
      <c r="E35" s="11">
        <f t="shared" si="1"/>
        <v>167335</v>
      </c>
      <c r="F35" s="11">
        <f t="shared" si="1"/>
        <v>672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5013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7.61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38148.93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1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36876</v>
      </c>
      <c r="J41" s="366">
        <f>+J39+J37</f>
        <v>-494280.67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18" workbookViewId="1">
      <selection activeCell="C19" sqref="C1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738041</v>
      </c>
      <c r="C37" s="24">
        <f>SUM(C6:C36)</f>
        <v>733732</v>
      </c>
      <c r="D37" s="24">
        <f>SUM(D6:D36)</f>
        <v>-4309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7.61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-32791.49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9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36876</v>
      </c>
      <c r="B41" s="14"/>
      <c r="C41" s="14"/>
      <c r="D41" s="104">
        <f>+D40+D39</f>
        <v>158765.93000000002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9" workbookViewId="1">
      <selection activeCell="A44" sqref="A44"/>
    </sheetView>
  </sheetViews>
  <sheetFormatPr defaultRowHeight="12.75" x14ac:dyDescent="0.2"/>
  <sheetData>
    <row r="5" spans="1:6" ht="15" x14ac:dyDescent="0.25">
      <c r="A5" s="134"/>
      <c r="B5" s="34" t="s">
        <v>126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112157</v>
      </c>
      <c r="C39" s="11">
        <f>SUM(C8:C38)</f>
        <v>115387</v>
      </c>
      <c r="D39" s="11">
        <f>SUM(D8:D38)</f>
        <v>47020</v>
      </c>
      <c r="E39" s="11">
        <f>SUM(E8:E38)</f>
        <v>54993</v>
      </c>
      <c r="F39" s="25">
        <f>SUM(F8:F38)</f>
        <v>11203</v>
      </c>
    </row>
    <row r="40" spans="1:6" x14ac:dyDescent="0.2">
      <c r="A40" s="26"/>
      <c r="C40" s="14"/>
      <c r="F40" s="264">
        <f>+summary!P13</f>
        <v>7.61</v>
      </c>
    </row>
    <row r="41" spans="1:6" x14ac:dyDescent="0.2">
      <c r="F41" s="138">
        <f>+F40*F39</f>
        <v>85254.83</v>
      </c>
    </row>
    <row r="42" spans="1:6" x14ac:dyDescent="0.2">
      <c r="A42" s="57">
        <v>36860</v>
      </c>
      <c r="C42" s="15"/>
      <c r="F42" s="378">
        <v>-282710.67</v>
      </c>
    </row>
    <row r="43" spans="1:6" x14ac:dyDescent="0.2">
      <c r="A43" s="57">
        <v>36876</v>
      </c>
      <c r="C43" s="48"/>
      <c r="F43" s="138">
        <f>+F42+F41</f>
        <v>-197455.83999999997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49" sqref="C49"/>
    </sheetView>
  </sheetViews>
  <sheetFormatPr defaultRowHeight="12.75" x14ac:dyDescent="0.2"/>
  <sheetData>
    <row r="5" spans="1:4" ht="15" x14ac:dyDescent="0.25">
      <c r="A5" s="134"/>
      <c r="B5" s="34" t="s">
        <v>129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438024</v>
      </c>
      <c r="C39" s="11">
        <f>SUM(C8:C38)</f>
        <v>486133</v>
      </c>
      <c r="D39" s="25">
        <f>SUM(D8:D38)</f>
        <v>48109</v>
      </c>
    </row>
    <row r="40" spans="1:4" x14ac:dyDescent="0.2">
      <c r="A40" s="26"/>
      <c r="C40" s="14"/>
      <c r="D40" s="264">
        <f>+summary!P13</f>
        <v>7.61</v>
      </c>
    </row>
    <row r="41" spans="1:4" x14ac:dyDescent="0.2">
      <c r="D41" s="138">
        <f>+D40*D39</f>
        <v>366109.49</v>
      </c>
    </row>
    <row r="42" spans="1:4" x14ac:dyDescent="0.2">
      <c r="A42" s="57">
        <v>36860</v>
      </c>
      <c r="C42" s="15"/>
      <c r="D42" s="378">
        <v>-557795.86</v>
      </c>
    </row>
    <row r="43" spans="1:4" x14ac:dyDescent="0.2">
      <c r="A43" s="57">
        <v>36876</v>
      </c>
      <c r="C43" s="48"/>
      <c r="D43" s="138">
        <f>+D42+D41</f>
        <v>-191686.37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">
      <c r="A16" s="10">
        <v>10</v>
      </c>
      <c r="B16" s="11">
        <v>195598</v>
      </c>
      <c r="C16" s="11">
        <v>203483</v>
      </c>
      <c r="D16" s="25">
        <f t="shared" si="0"/>
        <v>7885</v>
      </c>
    </row>
    <row r="17" spans="1:4" x14ac:dyDescent="0.2">
      <c r="A17" s="10">
        <v>11</v>
      </c>
      <c r="B17" s="11">
        <v>189560</v>
      </c>
      <c r="C17" s="11">
        <v>188209</v>
      </c>
      <c r="D17" s="25">
        <f t="shared" si="0"/>
        <v>-1351</v>
      </c>
    </row>
    <row r="18" spans="1:4" x14ac:dyDescent="0.2">
      <c r="A18" s="10">
        <v>12</v>
      </c>
      <c r="B18" s="11">
        <v>197789</v>
      </c>
      <c r="C18" s="11">
        <v>206944</v>
      </c>
      <c r="D18" s="25">
        <f t="shared" si="0"/>
        <v>9155</v>
      </c>
    </row>
    <row r="19" spans="1:4" x14ac:dyDescent="0.2">
      <c r="A19" s="10">
        <v>13</v>
      </c>
      <c r="B19" s="11">
        <v>207921</v>
      </c>
      <c r="C19" s="11">
        <v>206540</v>
      </c>
      <c r="D19" s="25">
        <f t="shared" si="0"/>
        <v>-1381</v>
      </c>
    </row>
    <row r="20" spans="1:4" x14ac:dyDescent="0.2">
      <c r="A20" s="10">
        <v>14</v>
      </c>
      <c r="B20" s="11">
        <v>227933</v>
      </c>
      <c r="C20" s="11">
        <v>227895</v>
      </c>
      <c r="D20" s="25">
        <f t="shared" si="0"/>
        <v>-38</v>
      </c>
    </row>
    <row r="21" spans="1:4" x14ac:dyDescent="0.2">
      <c r="A21" s="10">
        <v>15</v>
      </c>
      <c r="B21" s="11">
        <v>200491</v>
      </c>
      <c r="C21" s="11">
        <v>215379</v>
      </c>
      <c r="D21" s="25">
        <f t="shared" si="0"/>
        <v>14888</v>
      </c>
    </row>
    <row r="22" spans="1:4" x14ac:dyDescent="0.2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3117947</v>
      </c>
      <c r="C38" s="11">
        <f>SUM(C7:C37)</f>
        <v>3177206</v>
      </c>
      <c r="D38" s="11">
        <f>SUM(D7:D37)</f>
        <v>59259</v>
      </c>
    </row>
    <row r="39" spans="1:4" x14ac:dyDescent="0.2">
      <c r="A39" s="26"/>
      <c r="C39" s="14"/>
      <c r="D39" s="106">
        <f>+summary!P12</f>
        <v>7.4</v>
      </c>
    </row>
    <row r="40" spans="1:4" x14ac:dyDescent="0.2">
      <c r="D40" s="138">
        <f>+D39*D38</f>
        <v>438516.60000000003</v>
      </c>
    </row>
    <row r="41" spans="1:4" x14ac:dyDescent="0.2">
      <c r="A41" s="57">
        <v>36860</v>
      </c>
      <c r="C41" s="15"/>
      <c r="D41" s="362">
        <v>0</v>
      </c>
    </row>
    <row r="42" spans="1:4" x14ac:dyDescent="0.2">
      <c r="A42" s="57">
        <v>36876</v>
      </c>
      <c r="D42" s="348">
        <f>+D41+D40</f>
        <v>438516.60000000003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5" sqref="B45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102542</v>
      </c>
      <c r="C36" s="44">
        <f>SUM(C5:C35)</f>
        <v>0</v>
      </c>
      <c r="D36" s="43">
        <f>SUM(D5:D35)</f>
        <v>16956</v>
      </c>
      <c r="E36" s="44">
        <f>SUM(E5:E35)</f>
        <v>138719</v>
      </c>
      <c r="F36" s="11">
        <f>SUM(F5:F35)</f>
        <v>-19221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102542</v>
      </c>
      <c r="D37" s="24"/>
      <c r="E37" s="24">
        <f>+D36-E36</f>
        <v>-121763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36876</v>
      </c>
      <c r="C42" s="14"/>
      <c r="D42" s="50"/>
      <c r="E42" s="50"/>
      <c r="F42" s="51">
        <f>+F41+F36</f>
        <v>9060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19" workbookViewId="1">
      <selection activeCell="C43" sqref="C43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4468284</v>
      </c>
      <c r="C35" s="11">
        <f>SUM(C4:C34)</f>
        <v>4485374</v>
      </c>
      <c r="D35" s="11">
        <f>SUM(D4:D34)</f>
        <v>17090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36876</v>
      </c>
      <c r="D40" s="24">
        <f>+D38+D35</f>
        <v>177148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45" sqref="C45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12070138</v>
      </c>
      <c r="C35" s="11">
        <f>SUM(C4:C34)</f>
        <v>12010961</v>
      </c>
      <c r="D35" s="11">
        <f>SUM(D4:D34)</f>
        <v>-59177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80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36876</v>
      </c>
      <c r="D40" s="36">
        <f>+D38+D35</f>
        <v>26137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30" workbookViewId="1">
      <selection activeCell="C16" sqref="C1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338463</v>
      </c>
      <c r="C35" s="44">
        <f t="shared" si="1"/>
        <v>191796</v>
      </c>
      <c r="D35" s="11">
        <f t="shared" si="1"/>
        <v>5</v>
      </c>
      <c r="E35" s="44">
        <f t="shared" si="1"/>
        <v>142876</v>
      </c>
      <c r="F35" s="11">
        <f t="shared" si="1"/>
        <v>0</v>
      </c>
      <c r="G35" s="11">
        <f t="shared" si="1"/>
        <v>0</v>
      </c>
      <c r="H35" s="11">
        <f t="shared" si="1"/>
        <v>3796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7.61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28887.56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8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36876</v>
      </c>
      <c r="F39" s="47"/>
      <c r="G39" s="47"/>
      <c r="H39" s="137">
        <f>+H38+H37</f>
        <v>53264.240000000005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A14" sqref="A14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321780</v>
      </c>
      <c r="E7" s="368">
        <f>321777+3</f>
        <v>321780</v>
      </c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4878814</v>
      </c>
      <c r="E36" s="11">
        <f t="shared" si="15"/>
        <v>4841973</v>
      </c>
      <c r="F36" s="11">
        <f t="shared" si="15"/>
        <v>0</v>
      </c>
      <c r="G36" s="11">
        <f t="shared" si="15"/>
        <v>0</v>
      </c>
      <c r="H36" s="11">
        <f t="shared" si="15"/>
        <v>36805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5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36876</v>
      </c>
      <c r="B38" s="2" t="s">
        <v>49</v>
      </c>
      <c r="C38" s="131">
        <f>+C37+C36-B36</f>
        <v>-7121</v>
      </c>
      <c r="D38" s="262"/>
      <c r="E38" s="131">
        <f>+E37+D36-E36</f>
        <v>254064</v>
      </c>
      <c r="F38" s="262"/>
      <c r="G38" s="131"/>
      <c r="H38" s="131">
        <f>+H37+H36</f>
        <v>246943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92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9" workbookViewId="1">
      <selection activeCell="A44" sqref="A4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1557193</v>
      </c>
      <c r="C37" s="11">
        <f>SUM(C6:C36)</f>
        <v>1529654</v>
      </c>
      <c r="D37" s="11">
        <f>SUM(D6:D36)</f>
        <v>-27539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36876</v>
      </c>
      <c r="C40" s="48"/>
      <c r="D40" s="25">
        <f>+D39+D37</f>
        <v>-43430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6" workbookViewId="1">
      <selection activeCell="C49" sqref="C4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/>
      <c r="C25" s="11"/>
      <c r="D25" s="11">
        <f t="shared" si="0"/>
        <v>0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2477694</v>
      </c>
      <c r="C39" s="150">
        <f>SUM(C8:C38)</f>
        <v>2467450</v>
      </c>
      <c r="D39" s="152">
        <f>SUM(D8:D38)</f>
        <v>-10244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7.4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-75805.600000000006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36876</v>
      </c>
      <c r="C43" s="142"/>
      <c r="D43" s="253">
        <f>+D42+D41</f>
        <v>-95271.82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89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19</vt:i4>
      </vt:variant>
    </vt:vector>
  </HeadingPairs>
  <TitlesOfParts>
    <vt:vector size="45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2000-12-18T19:33:19Z</cp:lastPrinted>
  <dcterms:created xsi:type="dcterms:W3CDTF">2000-03-28T16:52:23Z</dcterms:created>
  <dcterms:modified xsi:type="dcterms:W3CDTF">2014-09-05T10:01:11Z</dcterms:modified>
</cp:coreProperties>
</file>