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8" i="8" s="1"/>
  <c r="D20" i="8" s="1"/>
  <c r="D24" i="8" s="1"/>
  <c r="B25" i="63" s="1"/>
  <c r="C25" i="63" s="1"/>
  <c r="D10" i="8"/>
  <c r="D11" i="8"/>
  <c r="D12" i="8"/>
  <c r="D13" i="8"/>
  <c r="D14" i="8"/>
  <c r="D15" i="8"/>
  <c r="D16" i="8"/>
  <c r="D17" i="8"/>
  <c r="D19" i="8"/>
  <c r="D6" i="12"/>
  <c r="D7" i="12"/>
  <c r="D8" i="12"/>
  <c r="D9" i="12"/>
  <c r="D37" i="12" s="1"/>
  <c r="D40" i="12" s="1"/>
  <c r="C38" i="63" s="1"/>
  <c r="B38" i="63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39" i="18" s="1"/>
  <c r="D41" i="18" s="1"/>
  <c r="D43" i="18" s="1"/>
  <c r="B14" i="63" s="1"/>
  <c r="C14" i="63" s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8" i="69"/>
  <c r="D9" i="69"/>
  <c r="D10" i="69"/>
  <c r="D38" i="69" s="1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C36" i="13"/>
  <c r="F40" i="13"/>
  <c r="F8" i="71"/>
  <c r="F9" i="71"/>
  <c r="F10" i="71"/>
  <c r="F39" i="71" s="1"/>
  <c r="F41" i="71" s="1"/>
  <c r="F43" i="71" s="1"/>
  <c r="B40" i="63" s="1"/>
  <c r="C40" i="63" s="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B10" i="20"/>
  <c r="B11" i="20"/>
  <c r="B12" i="20"/>
  <c r="B13" i="20"/>
  <c r="B14" i="20"/>
  <c r="B15" i="20"/>
  <c r="B16" i="20"/>
  <c r="B29" i="20"/>
  <c r="B44" i="20"/>
  <c r="H5" i="11"/>
  <c r="H6" i="11"/>
  <c r="H7" i="11"/>
  <c r="H8" i="11"/>
  <c r="H36" i="11" s="1"/>
  <c r="AB8" i="11"/>
  <c r="AC8" i="11" s="1"/>
  <c r="AF8" i="11"/>
  <c r="AI8" i="11"/>
  <c r="AL8" i="11"/>
  <c r="AL48" i="11" s="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F36" i="11" s="1"/>
  <c r="AI36" i="11"/>
  <c r="AL36" i="11"/>
  <c r="AM36" i="11"/>
  <c r="AN36" i="11"/>
  <c r="AO36" i="11"/>
  <c r="AP36" i="11"/>
  <c r="E37" i="11"/>
  <c r="H37" i="11" s="1"/>
  <c r="H38" i="11" s="1"/>
  <c r="C12" i="63" s="1"/>
  <c r="AA37" i="11"/>
  <c r="AC37" i="11"/>
  <c r="AF37" i="11"/>
  <c r="AI37" i="11"/>
  <c r="AL37" i="11"/>
  <c r="AM37" i="11"/>
  <c r="AN37" i="11"/>
  <c r="AO37" i="11"/>
  <c r="AP37" i="11"/>
  <c r="C38" i="11"/>
  <c r="E38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35" i="70" s="1"/>
  <c r="J37" i="70" s="1"/>
  <c r="J41" i="70" s="1"/>
  <c r="B39" i="63" s="1"/>
  <c r="C39" i="63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D66" i="70"/>
  <c r="D67" i="70"/>
  <c r="D68" i="70"/>
  <c r="D69" i="70" s="1"/>
  <c r="D75" i="70"/>
  <c r="F4" i="73"/>
  <c r="F35" i="73" s="1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6" i="73" s="1"/>
  <c r="F36" i="73" s="1"/>
  <c r="E35" i="73"/>
  <c r="F39" i="73"/>
  <c r="F6" i="22"/>
  <c r="F7" i="22"/>
  <c r="F8" i="22"/>
  <c r="F9" i="22"/>
  <c r="F10" i="22"/>
  <c r="F37" i="22" s="1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G37" i="22"/>
  <c r="F38" i="22"/>
  <c r="F5" i="5"/>
  <c r="F6" i="5"/>
  <c r="F7" i="5"/>
  <c r="F8" i="5"/>
  <c r="F9" i="5"/>
  <c r="F36" i="5" s="1"/>
  <c r="F42" i="5" s="1"/>
  <c r="C30" i="63" s="1"/>
  <c r="B30" i="63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E37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35" i="68" s="1"/>
  <c r="D40" i="68" s="1"/>
  <c r="C19" i="63" s="1"/>
  <c r="B19" i="63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34" i="67" s="1"/>
  <c r="F38" i="67" s="1"/>
  <c r="C17" i="63" s="1"/>
  <c r="B17" i="63" s="1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9" i="65"/>
  <c r="D10" i="65"/>
  <c r="D11" i="65"/>
  <c r="D12" i="65"/>
  <c r="D13" i="65"/>
  <c r="D14" i="65"/>
  <c r="D18" i="65"/>
  <c r="F5" i="7"/>
  <c r="Z5" i="7"/>
  <c r="AD5" i="7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F36" i="7" s="1"/>
  <c r="F41" i="7" s="1"/>
  <c r="C29" i="63" s="1"/>
  <c r="B29" i="63" s="1"/>
  <c r="Z9" i="7"/>
  <c r="AD9" i="7" s="1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/>
  <c r="AF13" i="7"/>
  <c r="F14" i="7"/>
  <c r="Z14" i="7"/>
  <c r="AD14" i="7" s="1"/>
  <c r="AF14" i="7" s="1"/>
  <c r="F15" i="7"/>
  <c r="Z15" i="7"/>
  <c r="AD15" i="7"/>
  <c r="AF15" i="7" s="1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G19" i="7" s="1"/>
  <c r="AG20" i="7" s="1"/>
  <c r="AG21" i="7" s="1"/>
  <c r="AF19" i="7"/>
  <c r="AH19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24" i="63" s="1"/>
  <c r="B24" i="63" s="1"/>
  <c r="D4" i="28"/>
  <c r="D35" i="28" s="1"/>
  <c r="D40" i="28" s="1"/>
  <c r="C23" i="63" s="1"/>
  <c r="B23" i="63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D10" i="64"/>
  <c r="D11" i="64"/>
  <c r="D12" i="64"/>
  <c r="D13" i="64"/>
  <c r="D8" i="15"/>
  <c r="AD8" i="15"/>
  <c r="AH8" i="15"/>
  <c r="AH39" i="15" s="1"/>
  <c r="AH45" i="15" s="1"/>
  <c r="AL8" i="15"/>
  <c r="AL39" i="15" s="1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D39" i="15" s="1"/>
  <c r="AD11" i="15"/>
  <c r="AD39" i="15" s="1"/>
  <c r="AD45" i="15" s="1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S39" i="15" s="1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 s="1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 s="1"/>
  <c r="AT26" i="15"/>
  <c r="D27" i="15"/>
  <c r="AD27" i="15"/>
  <c r="AH27" i="15"/>
  <c r="AL27" i="15"/>
  <c r="AO27" i="15"/>
  <c r="AP27" i="15"/>
  <c r="AT27" i="15"/>
  <c r="D28" i="15"/>
  <c r="AD28" i="15"/>
  <c r="AG28" i="15"/>
  <c r="AG39" i="15" s="1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J39" i="15"/>
  <c r="AK39" i="15"/>
  <c r="AN39" i="15"/>
  <c r="AR39" i="15"/>
  <c r="AF52" i="15"/>
  <c r="AF54" i="15"/>
  <c r="AF56" i="15"/>
  <c r="AF57" i="15"/>
  <c r="D86" i="15"/>
  <c r="D101" i="15" s="1"/>
  <c r="C101" i="15" s="1"/>
  <c r="I86" i="15"/>
  <c r="D87" i="15"/>
  <c r="I87" i="15"/>
  <c r="I114" i="15" s="1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G114" i="15" s="1"/>
  <c r="I113" i="15"/>
  <c r="D126" i="15"/>
  <c r="D127" i="15"/>
  <c r="D128" i="15"/>
  <c r="D129" i="15"/>
  <c r="D130" i="15"/>
  <c r="D131" i="15"/>
  <c r="B132" i="15"/>
  <c r="D132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B168" i="15" s="1"/>
  <c r="B174" i="15" s="1"/>
  <c r="B176" i="15" s="1"/>
  <c r="C166" i="15"/>
  <c r="C168" i="15" s="1"/>
  <c r="C174" i="15" s="1"/>
  <c r="C176" i="15" s="1"/>
  <c r="D176" i="15" s="1"/>
  <c r="D169" i="15"/>
  <c r="D170" i="15"/>
  <c r="D171" i="15"/>
  <c r="D172" i="15"/>
  <c r="D173" i="15"/>
  <c r="C175" i="15"/>
  <c r="C180" i="15" s="1"/>
  <c r="B178" i="15"/>
  <c r="C178" i="15"/>
  <c r="B180" i="15"/>
  <c r="D4" i="6"/>
  <c r="D5" i="6"/>
  <c r="D6" i="6"/>
  <c r="D35" i="6" s="1"/>
  <c r="D40" i="6" s="1"/>
  <c r="C28" i="63" s="1"/>
  <c r="B28" i="63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P10" i="63"/>
  <c r="D39" i="69" s="1"/>
  <c r="D40" i="69" s="1"/>
  <c r="D42" i="69" s="1"/>
  <c r="B37" i="63" s="1"/>
  <c r="C37" i="63" s="1"/>
  <c r="P11" i="63"/>
  <c r="D40" i="72" s="1"/>
  <c r="D41" i="72" s="1"/>
  <c r="D43" i="72" s="1"/>
  <c r="B18" i="63" s="1"/>
  <c r="C18" i="63" s="1"/>
  <c r="D12" i="63"/>
  <c r="P12" i="63"/>
  <c r="C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5" i="63"/>
  <c r="D36" i="63"/>
  <c r="D37" i="63"/>
  <c r="D38" i="63"/>
  <c r="D39" i="63"/>
  <c r="D40" i="63"/>
  <c r="D8" i="19"/>
  <c r="D9" i="19"/>
  <c r="D10" i="19"/>
  <c r="D39" i="19" s="1"/>
  <c r="D41" i="19" s="1"/>
  <c r="D43" i="19" s="1"/>
  <c r="B22" i="63" s="1"/>
  <c r="C22" i="63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35" i="2" s="1"/>
  <c r="J40" i="2" s="1"/>
  <c r="C36" i="63" s="1"/>
  <c r="B36" i="63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 s="1"/>
  <c r="D69" i="2" s="1"/>
  <c r="D75" i="2"/>
  <c r="AI5" i="7" l="1"/>
  <c r="AH6" i="7"/>
  <c r="D133" i="15"/>
  <c r="AP39" i="15"/>
  <c r="AP45" i="15" s="1"/>
  <c r="B12" i="63"/>
  <c r="C38" i="73"/>
  <c r="C40" i="73" s="1"/>
  <c r="E37" i="73"/>
  <c r="AL45" i="15"/>
  <c r="B102" i="15"/>
  <c r="F39" i="22"/>
  <c r="F41" i="22" s="1"/>
  <c r="B15" i="63" s="1"/>
  <c r="C15" i="63" s="1"/>
  <c r="AI19" i="7"/>
  <c r="AH20" i="7"/>
  <c r="H36" i="9"/>
  <c r="H37" i="9" s="1"/>
  <c r="H39" i="9" s="1"/>
  <c r="B26" i="63" s="1"/>
  <c r="C26" i="63" s="1"/>
  <c r="B30" i="20"/>
  <c r="D40" i="15"/>
  <c r="D41" i="15" s="1"/>
  <c r="D43" i="15" s="1"/>
  <c r="B21" i="63" s="1"/>
  <c r="C21" i="63" s="1"/>
  <c r="AT16" i="15"/>
  <c r="AT39" i="15" s="1"/>
  <c r="B133" i="15"/>
  <c r="B136" i="15" s="1"/>
  <c r="J40" i="17"/>
  <c r="J41" i="17" s="1"/>
  <c r="J43" i="17" s="1"/>
  <c r="B16" i="63" s="1"/>
  <c r="C16" i="63" s="1"/>
  <c r="D18" i="64"/>
  <c r="D19" i="64" s="1"/>
  <c r="D23" i="64" s="1"/>
  <c r="B13" i="63" s="1"/>
  <c r="C13" i="63" s="1"/>
  <c r="C37" i="13"/>
  <c r="AO39" i="15"/>
  <c r="AP38" i="11"/>
  <c r="AP34" i="11"/>
  <c r="AP27" i="11"/>
  <c r="AP20" i="11"/>
  <c r="D19" i="65"/>
  <c r="D20" i="65" s="1"/>
  <c r="D24" i="65" s="1"/>
  <c r="B20" i="63" s="1"/>
  <c r="C20" i="63" s="1"/>
  <c r="E38" i="73" l="1"/>
  <c r="E40" i="73" s="1"/>
  <c r="F37" i="73"/>
  <c r="F38" i="73" s="1"/>
  <c r="F40" i="73" s="1"/>
  <c r="F50" i="73" s="1"/>
  <c r="E37" i="13"/>
  <c r="E38" i="13" s="1"/>
  <c r="C38" i="13"/>
  <c r="C41" i="13" s="1"/>
  <c r="AP48" i="15"/>
  <c r="AP51" i="15"/>
  <c r="B17" i="20"/>
  <c r="C17" i="20" s="1"/>
  <c r="C18" i="20" s="1"/>
  <c r="B45" i="20"/>
  <c r="C45" i="20" s="1"/>
  <c r="C46" i="20" s="1"/>
  <c r="C30" i="20"/>
  <c r="C31" i="20" s="1"/>
  <c r="B103" i="15"/>
  <c r="B105" i="15" s="1"/>
  <c r="D105" i="15" s="1"/>
  <c r="D102" i="15"/>
  <c r="D103" i="15" s="1"/>
  <c r="C103" i="15" s="1"/>
  <c r="C133" i="15"/>
  <c r="AH21" i="7"/>
  <c r="AI21" i="7" s="1"/>
  <c r="AI20" i="7"/>
  <c r="AI6" i="7"/>
  <c r="AH7" i="7"/>
  <c r="E41" i="13" l="1"/>
  <c r="F41" i="13" s="1"/>
  <c r="B27" i="63" s="1"/>
  <c r="F38" i="13"/>
  <c r="AI7" i="7"/>
  <c r="AH8" i="7"/>
  <c r="C62" i="20"/>
  <c r="F52" i="73" s="1"/>
  <c r="F54" i="73" s="1"/>
  <c r="B35" i="63" s="1"/>
  <c r="B41" i="63" l="1"/>
  <c r="C35" i="63"/>
  <c r="C41" i="63" s="1"/>
  <c r="AI8" i="7"/>
  <c r="AH9" i="7"/>
  <c r="C27" i="63"/>
  <c r="C31" i="63" s="1"/>
  <c r="B31" i="63"/>
  <c r="C44" i="63" l="1"/>
  <c r="AH10" i="7"/>
  <c r="AI9" i="7"/>
  <c r="B44" i="63"/>
  <c r="AH11" i="7" l="1"/>
  <c r="AI10" i="7"/>
  <c r="AH12" i="7" l="1"/>
  <c r="AI11" i="7"/>
  <c r="AH13" i="7" l="1"/>
  <c r="AI12" i="7"/>
  <c r="AI13" i="7" l="1"/>
  <c r="AH14" i="7"/>
  <c r="AI14" i="7" l="1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<sst xmlns="http://schemas.openxmlformats.org/spreadsheetml/2006/main" count="381" uniqueCount="142">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</sst>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37" fontId="36" fillId="0" borderId="0" xfId="1" applyNumberFormat="1" applyFont="1" applyFill="1"/>
    <xf numFmtId="166" fontId="37" fillId="0" borderId="1" xfId="0" applyNumberFormat="1" applyFont="1" applyFill="1" applyBorder="1"/>
    <xf numFmtId="37" fontId="37" fillId="0" borderId="0" xfId="1" applyNumberFormat="1" applyFont="1" applyFill="1"/>
    <xf numFmtId="5" fontId="37" fillId="0" borderId="1" xfId="0" applyNumberFormat="1" applyFont="1" applyFill="1" applyBorder="1"/>
    <xf numFmtId="166" fontId="37" fillId="0" borderId="1" xfId="1" applyNumberFormat="1" applyFont="1" applyFill="1" applyBorder="1"/>
    <xf numFmtId="166" fontId="37" fillId="0" borderId="0" xfId="1" applyNumberFormat="1" applyFont="1" applyFill="1" applyBorder="1"/>
    <xf numFmtId="7" fontId="37" fillId="0" borderId="0" xfId="1" applyNumberFormat="1" applyFont="1" applyFill="1"/>
    <xf numFmtId="166" fontId="37" fillId="0" borderId="0" xfId="1" applyNumberFormat="1" applyFont="1" applyFill="1"/>
    <xf numFmtId="44" fontId="17" fillId="0" borderId="0" xfId="2" applyFont="1" applyFill="1"/>
    <xf numFmtId="37" fontId="22" fillId="0" borderId="0" xfId="1" applyNumberFormat="1" applyFont="1" applyFill="1"/>
    <xf numFmtId="7" fontId="37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7" fillId="0" borderId="0" xfId="0" applyNumberFormat="1" applyFont="1"/>
    <xf numFmtId="7" fontId="37" fillId="0" borderId="0" xfId="0" applyNumberFormat="1" applyFont="1"/>
    <xf numFmtId="5" fontId="37" fillId="0" borderId="0" xfId="1" applyNumberFormat="1" applyFont="1" applyFill="1"/>
    <xf numFmtId="7" fontId="19" fillId="0" borderId="1" xfId="1" applyNumberFormat="1" applyFont="1" applyFill="1" applyBorder="1"/>
    <xf numFmtId="5" fontId="37" fillId="0" borderId="0" xfId="1" applyNumberFormat="1" applyFont="1" applyFill="1" applyBorder="1"/>
    <xf numFmtId="166" fontId="38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8" fillId="0" borderId="1" xfId="0" applyNumberFormat="1" applyFont="1" applyFill="1" applyBorder="1"/>
    <xf numFmtId="7" fontId="39" fillId="0" borderId="1" xfId="1" applyNumberFormat="1" applyFont="1" applyFill="1" applyBorder="1"/>
    <xf numFmtId="5" fontId="38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5.95</v>
          </cell>
          <cell r="K39">
            <v>5.82</v>
          </cell>
          <cell r="M39">
            <v>5.91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30" workbookViewId="1">
      <selection activeCell="B41" sqref="B41"/>
    </sheetView>
  </sheetViews>
  <sheetFormatPr defaultRowHeight="12.75" x14ac:dyDescent="0.2"/>
  <cols>
    <col min="1" max="1" width="20.5703125" style="300" customWidth="1"/>
    <col min="2" max="2" width="11.85546875" style="253" customWidth="1"/>
    <col min="3" max="3" width="11.28515625" style="301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0"/>
      <c r="O9" s="309" t="s">
        <v>83</v>
      </c>
      <c r="P9" s="310"/>
    </row>
    <row r="10" spans="1:16" ht="18" customHeight="1" x14ac:dyDescent="0.2">
      <c r="O10" s="311" t="s">
        <v>31</v>
      </c>
      <c r="P10" s="313">
        <f>+'[1]0101'!$K$39</f>
        <v>5.82</v>
      </c>
    </row>
    <row r="11" spans="1:16" ht="18" customHeight="1" x14ac:dyDescent="0.2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5.91</v>
      </c>
    </row>
    <row r="12" spans="1:16" ht="18" customHeight="1" x14ac:dyDescent="0.2">
      <c r="A12" s="369" t="s">
        <v>36</v>
      </c>
      <c r="B12" s="317">
        <f>+C12*$P$11</f>
        <v>1078728.6599999999</v>
      </c>
      <c r="C12" s="318">
        <f>+'El Paso'!H38</f>
        <v>182526</v>
      </c>
      <c r="D12" s="65">
        <f>+'El Paso'!A38</f>
        <v>36936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5.95</v>
      </c>
    </row>
    <row r="13" spans="1:16" ht="15.95" customHeight="1" x14ac:dyDescent="0.2">
      <c r="A13" s="369" t="s">
        <v>88</v>
      </c>
      <c r="B13" s="317">
        <f>+PNM!$D$23</f>
        <v>1032358.7</v>
      </c>
      <c r="C13" s="318">
        <f>+B13/$P$11</f>
        <v>174679.98307952622</v>
      </c>
      <c r="D13" s="65">
        <f>+PNM!A23</f>
        <v>36936</v>
      </c>
      <c r="E13" t="s">
        <v>91</v>
      </c>
      <c r="F13" t="s">
        <v>109</v>
      </c>
      <c r="G13" t="s">
        <v>133</v>
      </c>
      <c r="H13" s="64"/>
    </row>
    <row r="14" spans="1:16" ht="15.95" customHeight="1" x14ac:dyDescent="0.2">
      <c r="A14" s="369" t="s">
        <v>3</v>
      </c>
      <c r="B14" s="317">
        <f>+'Amoco Abo'!$D$43</f>
        <v>830831.2</v>
      </c>
      <c r="C14" s="318">
        <f>+B14/$P$11</f>
        <v>140580.57529610829</v>
      </c>
      <c r="D14" s="65">
        <f>+'Amoco Abo'!A43</f>
        <v>36936</v>
      </c>
      <c r="E14" t="s">
        <v>91</v>
      </c>
      <c r="F14" t="s">
        <v>110</v>
      </c>
      <c r="G14" t="s">
        <v>133</v>
      </c>
    </row>
    <row r="15" spans="1:16" ht="15.95" customHeight="1" x14ac:dyDescent="0.2">
      <c r="A15" s="369" t="s">
        <v>118</v>
      </c>
      <c r="B15" s="317">
        <f>+KN_Westar!F41</f>
        <v>621779.31999999995</v>
      </c>
      <c r="C15" s="318">
        <f>+B15/$P$11</f>
        <v>105208.0067681895</v>
      </c>
      <c r="D15" s="65">
        <f>+KN_Westar!A41</f>
        <v>36936</v>
      </c>
      <c r="E15" t="s">
        <v>91</v>
      </c>
      <c r="F15" t="s">
        <v>111</v>
      </c>
    </row>
    <row r="16" spans="1:16" ht="15.95" customHeight="1" x14ac:dyDescent="0.2">
      <c r="A16" s="369" t="s">
        <v>2</v>
      </c>
      <c r="B16" s="317">
        <f>+mewborne!$J$43</f>
        <v>608763.71000000008</v>
      </c>
      <c r="C16" s="318">
        <f>+B16/$P$11</f>
        <v>103005.70389170898</v>
      </c>
      <c r="D16" s="65">
        <f>+mewborne!A43</f>
        <v>36936</v>
      </c>
      <c r="E16" t="s">
        <v>91</v>
      </c>
      <c r="F16" t="s">
        <v>110</v>
      </c>
    </row>
    <row r="17" spans="1:6" ht="15.95" customHeight="1" x14ac:dyDescent="0.2">
      <c r="A17" s="369" t="s">
        <v>98</v>
      </c>
      <c r="B17" s="317">
        <f>+C17*$P$11</f>
        <v>492161.16000000003</v>
      </c>
      <c r="C17" s="318">
        <f>+NGPL!F38</f>
        <v>83276</v>
      </c>
      <c r="D17" s="65">
        <f>+NGPL!A38</f>
        <v>36936</v>
      </c>
      <c r="E17" t="s">
        <v>90</v>
      </c>
      <c r="F17" t="s">
        <v>126</v>
      </c>
    </row>
    <row r="18" spans="1:6" ht="15.95" customHeight="1" x14ac:dyDescent="0.2">
      <c r="A18" s="369" t="s">
        <v>121</v>
      </c>
      <c r="B18" s="317">
        <f>+CIG!D43</f>
        <v>458220.19999999995</v>
      </c>
      <c r="C18" s="318">
        <f>+B18/$P$11</f>
        <v>77533.028764805407</v>
      </c>
      <c r="D18" s="65">
        <f>+CIG!A43</f>
        <v>36936</v>
      </c>
      <c r="E18" t="s">
        <v>91</v>
      </c>
      <c r="F18" t="s">
        <v>124</v>
      </c>
    </row>
    <row r="19" spans="1:6" ht="15.95" customHeight="1" x14ac:dyDescent="0.2">
      <c r="A19" s="369" t="s">
        <v>104</v>
      </c>
      <c r="B19" s="253">
        <f>+C19*$P$11</f>
        <v>335540.25</v>
      </c>
      <c r="C19" s="301">
        <f>+Mojave!D40</f>
        <v>56775</v>
      </c>
      <c r="D19" s="65">
        <f>+Mojave!A40</f>
        <v>36936</v>
      </c>
      <c r="E19" t="s">
        <v>90</v>
      </c>
      <c r="F19" t="s">
        <v>109</v>
      </c>
    </row>
    <row r="20" spans="1:6" ht="15.95" customHeight="1" x14ac:dyDescent="0.2">
      <c r="A20" s="370" t="s">
        <v>96</v>
      </c>
      <c r="B20" s="317">
        <f>+NNG!$D$24</f>
        <v>328129.8</v>
      </c>
      <c r="C20" s="318">
        <f>+B20/$P$11</f>
        <v>55521.11675126903</v>
      </c>
      <c r="D20" s="325">
        <f>+NNG!A24</f>
        <v>36936</v>
      </c>
      <c r="E20" s="322" t="s">
        <v>91</v>
      </c>
      <c r="F20" s="322" t="s">
        <v>111</v>
      </c>
    </row>
    <row r="21" spans="1:6" ht="15.95" customHeight="1" x14ac:dyDescent="0.2">
      <c r="A21" s="369" t="s">
        <v>25</v>
      </c>
      <c r="B21" s="351">
        <f>+'Red C'!$D$43</f>
        <v>323211.52000000002</v>
      </c>
      <c r="C21" s="378">
        <f>+B21/$P$10</f>
        <v>55534.625429553264</v>
      </c>
      <c r="D21" s="325">
        <f>+'Red C'!B43</f>
        <v>36936</v>
      </c>
      <c r="E21" t="s">
        <v>91</v>
      </c>
      <c r="F21" t="s">
        <v>113</v>
      </c>
    </row>
    <row r="22" spans="1:6" ht="15.95" customHeight="1" x14ac:dyDescent="0.2">
      <c r="A22" s="369" t="s">
        <v>76</v>
      </c>
      <c r="B22" s="351">
        <f>+transcol!$D$43</f>
        <v>245937.69</v>
      </c>
      <c r="C22" s="318">
        <f>+B22/$P$11</f>
        <v>41613.822335025383</v>
      </c>
      <c r="D22" s="65">
        <f>+transcol!A43</f>
        <v>36936</v>
      </c>
      <c r="E22" t="s">
        <v>91</v>
      </c>
      <c r="F22" t="s">
        <v>126</v>
      </c>
    </row>
    <row r="23" spans="1:6" ht="15.95" customHeight="1" x14ac:dyDescent="0.2">
      <c r="A23" s="369" t="s">
        <v>125</v>
      </c>
      <c r="B23" s="253">
        <f>+C23*$P$11</f>
        <v>189734.64</v>
      </c>
      <c r="C23" s="301">
        <f>+'PG&amp;E'!D40</f>
        <v>32104</v>
      </c>
      <c r="D23" s="65">
        <f>+'PG&amp;E'!A40</f>
        <v>36936</v>
      </c>
      <c r="E23" t="s">
        <v>90</v>
      </c>
      <c r="F23" t="s">
        <v>113</v>
      </c>
    </row>
    <row r="24" spans="1:6" ht="15.95" customHeight="1" x14ac:dyDescent="0.2">
      <c r="A24" s="369" t="s">
        <v>8</v>
      </c>
      <c r="B24" s="317">
        <f>+C24*$P$11</f>
        <v>167229.36000000002</v>
      </c>
      <c r="C24" s="318">
        <f>+Oasis!D40</f>
        <v>28296</v>
      </c>
      <c r="D24" s="65">
        <f>+Oasis!B40</f>
        <v>36936</v>
      </c>
      <c r="E24" t="s">
        <v>90</v>
      </c>
      <c r="F24" t="s">
        <v>113</v>
      </c>
    </row>
    <row r="25" spans="1:6" ht="15.95" customHeight="1" x14ac:dyDescent="0.2">
      <c r="A25" s="370" t="s">
        <v>84</v>
      </c>
      <c r="B25" s="317">
        <f>+Agave!$D$24</f>
        <v>155518.85999999999</v>
      </c>
      <c r="C25" s="318">
        <f>+B25/$P$11</f>
        <v>26314.527918781721</v>
      </c>
      <c r="D25" s="325">
        <f>+Agave!A24</f>
        <v>36936</v>
      </c>
      <c r="E25" s="322" t="s">
        <v>91</v>
      </c>
      <c r="F25" t="s">
        <v>113</v>
      </c>
    </row>
    <row r="26" spans="1:6" ht="15.95" customHeight="1" x14ac:dyDescent="0.2">
      <c r="A26" s="369" t="s">
        <v>35</v>
      </c>
      <c r="B26" s="317">
        <f>+PGETX!$H$39</f>
        <v>125792.19</v>
      </c>
      <c r="C26" s="318">
        <f>+B26/$P$11</f>
        <v>21284.634517766499</v>
      </c>
      <c r="D26" s="65">
        <f>+PGETX!E39</f>
        <v>36936</v>
      </c>
      <c r="E26" t="s">
        <v>91</v>
      </c>
      <c r="F26" t="s">
        <v>113</v>
      </c>
    </row>
    <row r="27" spans="1:6" ht="15.95" customHeight="1" x14ac:dyDescent="0.2">
      <c r="A27" s="369" t="s">
        <v>85</v>
      </c>
      <c r="B27" s="317">
        <f>+Conoco!$F$41</f>
        <v>87847.479999999981</v>
      </c>
      <c r="C27" s="318">
        <f>+B27/$P$10</f>
        <v>15094.068728522332</v>
      </c>
      <c r="D27" s="325">
        <f>+Conoco!A41</f>
        <v>36936</v>
      </c>
      <c r="E27" t="s">
        <v>91</v>
      </c>
      <c r="F27" t="s">
        <v>110</v>
      </c>
    </row>
    <row r="28" spans="1:6" ht="15.95" customHeight="1" x14ac:dyDescent="0.2">
      <c r="A28" s="369" t="s">
        <v>34</v>
      </c>
      <c r="B28" s="317">
        <f>+C28*$P$11</f>
        <v>76688.160000000003</v>
      </c>
      <c r="C28" s="318">
        <f>+SoCal!D40</f>
        <v>12976</v>
      </c>
      <c r="D28" s="65">
        <f>+SoCal!A40</f>
        <v>36936</v>
      </c>
      <c r="E28" t="s">
        <v>90</v>
      </c>
      <c r="F28" t="s">
        <v>109</v>
      </c>
    </row>
    <row r="29" spans="1:6" ht="15.95" customHeight="1" x14ac:dyDescent="0.2">
      <c r="A29" s="369" t="s">
        <v>1</v>
      </c>
      <c r="B29" s="317">
        <f>+C29*$P$10</f>
        <v>22965.72</v>
      </c>
      <c r="C29" s="318">
        <f>+NW!$F$41</f>
        <v>3946</v>
      </c>
      <c r="D29" s="325">
        <f>+NW!B41</f>
        <v>36936</v>
      </c>
      <c r="E29" t="s">
        <v>90</v>
      </c>
      <c r="F29" t="s">
        <v>110</v>
      </c>
    </row>
    <row r="30" spans="1:6" ht="15.95" customHeight="1" x14ac:dyDescent="0.2">
      <c r="A30" s="369" t="s">
        <v>33</v>
      </c>
      <c r="B30" s="350">
        <f>+C30*$P$11</f>
        <v>17369.490000000002</v>
      </c>
      <c r="C30" s="341">
        <f>+Lonestar!F42</f>
        <v>2939</v>
      </c>
      <c r="D30" s="325">
        <f>+Lonestar!B42</f>
        <v>36936</v>
      </c>
      <c r="E30" t="s">
        <v>90</v>
      </c>
      <c r="F30" t="s">
        <v>113</v>
      </c>
    </row>
    <row r="31" spans="1:6" ht="18" customHeight="1" x14ac:dyDescent="0.2">
      <c r="A31" s="300" t="s">
        <v>106</v>
      </c>
      <c r="B31" s="253">
        <f>SUM(B12:B30)</f>
        <v>7198808.1100000003</v>
      </c>
      <c r="C31" s="301">
        <f>SUM(C12:C30)</f>
        <v>1219208.0934812564</v>
      </c>
    </row>
    <row r="32" spans="1:6" ht="18" customHeight="1" x14ac:dyDescent="0.2">
      <c r="F32" s="383"/>
    </row>
    <row r="33" spans="1:7" ht="18" customHeight="1" x14ac:dyDescent="0.2"/>
    <row r="34" spans="1:7" ht="18" customHeight="1" x14ac:dyDescent="0.2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">
      <c r="A35" s="369" t="s">
        <v>130</v>
      </c>
      <c r="B35" s="351">
        <f>+GPM!F54</f>
        <v>-407060.38999999978</v>
      </c>
      <c r="C35" s="318">
        <f>+B35/$P$11</f>
        <v>-68876.54653130284</v>
      </c>
      <c r="D35" s="65">
        <f>+GPM!A40</f>
        <v>36936</v>
      </c>
      <c r="E35" t="s">
        <v>91</v>
      </c>
      <c r="F35" t="s">
        <v>111</v>
      </c>
      <c r="G35" t="s">
        <v>131</v>
      </c>
    </row>
    <row r="36" spans="1:7" ht="18" customHeight="1" x14ac:dyDescent="0.2">
      <c r="A36" s="370" t="s">
        <v>30</v>
      </c>
      <c r="B36" s="317">
        <f>+C36*$P$10</f>
        <v>-381937.5</v>
      </c>
      <c r="C36" s="318">
        <f>+williams!J40</f>
        <v>-65625</v>
      </c>
      <c r="D36" s="325">
        <f>+williams!A40</f>
        <v>36936</v>
      </c>
      <c r="E36" s="322" t="s">
        <v>90</v>
      </c>
      <c r="F36" s="322" t="s">
        <v>126</v>
      </c>
    </row>
    <row r="37" spans="1:7" ht="18" customHeight="1" x14ac:dyDescent="0.2">
      <c r="A37" s="370" t="s">
        <v>105</v>
      </c>
      <c r="B37" s="317">
        <f>+burlington!D42</f>
        <v>-332881.21999999997</v>
      </c>
      <c r="C37" s="318">
        <f>+B37/$P$10</f>
        <v>-57196.085910652917</v>
      </c>
      <c r="D37" s="325">
        <f>+burlington!A42</f>
        <v>36936</v>
      </c>
      <c r="E37" s="322" t="s">
        <v>91</v>
      </c>
      <c r="F37" t="s">
        <v>110</v>
      </c>
    </row>
    <row r="38" spans="1:7" ht="18" customHeight="1" x14ac:dyDescent="0.2">
      <c r="A38" s="369" t="s">
        <v>7</v>
      </c>
      <c r="B38" s="317">
        <f>+C38*$P$10</f>
        <v>-270618.36</v>
      </c>
      <c r="C38" s="318">
        <f>+Amoco!D40</f>
        <v>-46498</v>
      </c>
      <c r="D38" s="65">
        <f>+Amoco!A40</f>
        <v>36936</v>
      </c>
      <c r="E38" t="s">
        <v>90</v>
      </c>
      <c r="F38" t="s">
        <v>110</v>
      </c>
    </row>
    <row r="39" spans="1:7" ht="18" customHeight="1" x14ac:dyDescent="0.2">
      <c r="A39" s="369" t="s">
        <v>114</v>
      </c>
      <c r="B39" s="317">
        <f>+EOG!J41</f>
        <v>-210304.99000000002</v>
      </c>
      <c r="C39" s="318">
        <f>+B39/$P$11</f>
        <v>-35584.600676818955</v>
      </c>
      <c r="D39" s="325">
        <f>+EOG!A41</f>
        <v>36936</v>
      </c>
      <c r="E39" t="s">
        <v>91</v>
      </c>
      <c r="F39" t="s">
        <v>113</v>
      </c>
    </row>
    <row r="40" spans="1:7" ht="18" customHeight="1" x14ac:dyDescent="0.2">
      <c r="A40" s="369" t="s">
        <v>120</v>
      </c>
      <c r="B40" s="350">
        <f>+Continental!F43</f>
        <v>-33372.060000000005</v>
      </c>
      <c r="C40" s="341">
        <f>+B40/$P$11</f>
        <v>-5646.7106598984783</v>
      </c>
      <c r="D40" s="65">
        <f>+Continental!A43</f>
        <v>36936</v>
      </c>
      <c r="E40" t="s">
        <v>91</v>
      </c>
      <c r="F40" t="s">
        <v>126</v>
      </c>
    </row>
    <row r="41" spans="1:7" ht="18" customHeight="1" x14ac:dyDescent="0.2">
      <c r="A41" s="300" t="s">
        <v>107</v>
      </c>
      <c r="B41" s="317">
        <f>SUM(B35:B40)</f>
        <v>-1636174.5199999998</v>
      </c>
      <c r="C41" s="318">
        <f>SUM(C35:C40)</f>
        <v>-279426.94377867319</v>
      </c>
      <c r="D41" s="322"/>
    </row>
    <row r="42" spans="1:7" ht="18" customHeight="1" x14ac:dyDescent="0.2">
      <c r="B42" s="317"/>
      <c r="C42" s="318"/>
    </row>
    <row r="43" spans="1:7" ht="18" customHeight="1" x14ac:dyDescent="0.2">
      <c r="F43" s="383"/>
    </row>
    <row r="44" spans="1:7" ht="18" customHeight="1" thickBot="1" x14ac:dyDescent="0.25">
      <c r="A44" s="34" t="s">
        <v>101</v>
      </c>
      <c r="B44" s="315">
        <f>+B41+B31</f>
        <v>5562633.5900000008</v>
      </c>
      <c r="C44" s="316">
        <f>+C41+C31</f>
        <v>939781.14970258321</v>
      </c>
    </row>
    <row r="45" spans="1:7" ht="18" customHeight="1" thickTop="1" x14ac:dyDescent="0.2"/>
    <row r="46" spans="1:7" x14ac:dyDescent="0.2">
      <c r="C46" s="355"/>
    </row>
    <row r="47" spans="1:7" x14ac:dyDescent="0.2">
      <c r="A47" s="34" t="s">
        <v>102</v>
      </c>
    </row>
    <row r="52" spans="2:5" x14ac:dyDescent="0.2">
      <c r="C52" s="260"/>
      <c r="E52" s="353"/>
    </row>
    <row r="59" spans="2:5" x14ac:dyDescent="0.2">
      <c r="B59" s="319"/>
      <c r="C59" s="340"/>
    </row>
    <row r="60" spans="2:5" x14ac:dyDescent="0.2">
      <c r="B60" s="260"/>
    </row>
    <row r="61" spans="2:5" x14ac:dyDescent="0.2">
      <c r="B61" s="260"/>
    </row>
    <row r="62" spans="2:5" x14ac:dyDescent="0.2">
      <c r="B62" s="260"/>
    </row>
    <row r="63" spans="2:5" x14ac:dyDescent="0.2">
      <c r="B63" s="260"/>
      <c r="D63" s="64"/>
    </row>
    <row r="64" spans="2:5" x14ac:dyDescent="0.2">
      <c r="B64" s="260"/>
      <c r="C64" s="355"/>
    </row>
    <row r="65" spans="2:5" x14ac:dyDescent="0.2">
      <c r="B65" s="260"/>
      <c r="C65" s="355"/>
      <c r="D65" s="348"/>
      <c r="E65" s="356"/>
    </row>
    <row r="66" spans="2:5" x14ac:dyDescent="0.2">
      <c r="B66" s="260"/>
      <c r="C66" s="355"/>
      <c r="D66" s="271"/>
    </row>
    <row r="67" spans="2:5" x14ac:dyDescent="0.2">
      <c r="B67" s="260"/>
      <c r="C67" s="355"/>
      <c r="D67" s="271"/>
    </row>
    <row r="68" spans="2:5" x14ac:dyDescent="0.2">
      <c r="B68" s="260"/>
      <c r="C68" s="355"/>
      <c r="D68" s="31"/>
    </row>
    <row r="69" spans="2:5" x14ac:dyDescent="0.2">
      <c r="B69" s="260"/>
      <c r="C69" s="355"/>
      <c r="D69" s="357"/>
    </row>
    <row r="70" spans="2:5" x14ac:dyDescent="0.2">
      <c r="B70" s="349"/>
    </row>
    <row r="71" spans="2:5" x14ac:dyDescent="0.2">
      <c r="B71" s="349"/>
      <c r="D71" s="64"/>
    </row>
    <row r="72" spans="2:5" x14ac:dyDescent="0.2">
      <c r="B72" s="348"/>
      <c r="C72" s="260"/>
    </row>
    <row r="73" spans="2:5" x14ac:dyDescent="0.2">
      <c r="B73" s="348"/>
      <c r="C73" s="260"/>
    </row>
    <row r="74" spans="2:5" x14ac:dyDescent="0.2">
      <c r="B74" s="349"/>
      <c r="C74" s="260"/>
      <c r="D74" s="64"/>
    </row>
    <row r="75" spans="2:5" x14ac:dyDescent="0.2">
      <c r="B75" s="349"/>
      <c r="D75" s="64"/>
    </row>
    <row r="76" spans="2:5" x14ac:dyDescent="0.2">
      <c r="B76" s="349"/>
    </row>
    <row r="77" spans="2:5" x14ac:dyDescent="0.2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">
      <c r="A36" s="12"/>
      <c r="B36" s="24">
        <f>SUM(B5:B35)</f>
        <v>97272</v>
      </c>
      <c r="C36" s="24">
        <f>SUM(C5:C35)</f>
        <v>101035</v>
      </c>
      <c r="D36" s="24">
        <f t="shared" si="0"/>
        <v>3763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">
      <c r="B38" s="256">
        <v>36922</v>
      </c>
      <c r="C38" s="24"/>
      <c r="D38" s="388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5" thickBot="1" x14ac:dyDescent="0.25">
      <c r="B40" s="256">
        <v>36936</v>
      </c>
      <c r="C40" s="24"/>
      <c r="D40" s="195">
        <f>+D36+D38</f>
        <v>28296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5" thickTop="1" x14ac:dyDescent="0.2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0" sqref="E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365066</v>
      </c>
      <c r="C35" s="11">
        <f>SUM(C4:C34)</f>
        <v>354956</v>
      </c>
      <c r="D35" s="11">
        <f>SUM(D4:D34)</f>
        <v>417225</v>
      </c>
      <c r="E35" s="11">
        <f>SUM(E4:E34)</f>
        <v>407949</v>
      </c>
      <c r="F35" s="11">
        <f>+E35-D35+C35-B35</f>
        <v>-19386</v>
      </c>
    </row>
    <row r="36" spans="1:7" x14ac:dyDescent="0.2">
      <c r="A36" s="45"/>
      <c r="C36" s="14">
        <f>+C35-B35</f>
        <v>-10110</v>
      </c>
      <c r="D36" s="14"/>
      <c r="E36" s="14">
        <f>+E35-D35</f>
        <v>-9276</v>
      </c>
      <c r="F36" s="47"/>
    </row>
    <row r="37" spans="1:7" x14ac:dyDescent="0.2">
      <c r="C37" s="15">
        <f>+summary!P11</f>
        <v>5.91</v>
      </c>
      <c r="D37" s="15"/>
      <c r="E37" s="15">
        <f>+C37</f>
        <v>5.91</v>
      </c>
      <c r="F37" s="24"/>
    </row>
    <row r="38" spans="1:7" x14ac:dyDescent="0.2">
      <c r="C38" s="48">
        <f>+C37*C36</f>
        <v>-59750.1</v>
      </c>
      <c r="D38" s="47"/>
      <c r="E38" s="48">
        <f>+E37*E36</f>
        <v>-54821.16</v>
      </c>
      <c r="F38" s="46">
        <f>+E38+C38</f>
        <v>-114571.26000000001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2">
        <v>2193759.63</v>
      </c>
      <c r="D40" s="343"/>
      <c r="E40" s="392">
        <v>-1991340.89</v>
      </c>
      <c r="F40" s="106">
        <f>+E40+C40</f>
        <v>202418.74</v>
      </c>
      <c r="G40" s="25"/>
    </row>
    <row r="41" spans="1:7" x14ac:dyDescent="0.2">
      <c r="A41" s="57">
        <v>36936</v>
      </c>
      <c r="C41" s="50">
        <f>+C40+C38</f>
        <v>2134009.5299999998</v>
      </c>
      <c r="D41" s="50"/>
      <c r="E41" s="50">
        <f>+E40+E38</f>
        <v>-2046162.0499999998</v>
      </c>
      <c r="F41" s="106">
        <f>+E41+C41</f>
        <v>87847.479999999981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56339</v>
      </c>
      <c r="B5" s="92">
        <v>492293</v>
      </c>
      <c r="C5" s="90">
        <v>486185</v>
      </c>
      <c r="D5" s="90">
        <f>+C5-B5</f>
        <v>-6108</v>
      </c>
      <c r="E5" s="290"/>
      <c r="F5" s="288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361286</v>
      </c>
      <c r="C7" s="90">
        <v>377070</v>
      </c>
      <c r="D7" s="90">
        <f t="shared" si="0"/>
        <v>15784</v>
      </c>
      <c r="E7" s="290"/>
      <c r="F7" s="288"/>
      <c r="L7" t="s">
        <v>27</v>
      </c>
      <c r="M7">
        <v>7.6</v>
      </c>
    </row>
    <row r="8" spans="1:13" x14ac:dyDescent="0.2">
      <c r="A8" s="87">
        <v>500239</v>
      </c>
      <c r="B8" s="92">
        <v>533329</v>
      </c>
      <c r="C8" s="90">
        <v>537897</v>
      </c>
      <c r="D8" s="90">
        <f t="shared" si="0"/>
        <v>4568</v>
      </c>
      <c r="E8" s="290"/>
      <c r="F8" s="288"/>
    </row>
    <row r="9" spans="1:13" x14ac:dyDescent="0.2">
      <c r="A9" s="87">
        <v>500293</v>
      </c>
      <c r="B9" s="92">
        <v>262715</v>
      </c>
      <c r="C9" s="90">
        <v>342687</v>
      </c>
      <c r="D9" s="90">
        <f t="shared" si="0"/>
        <v>79972</v>
      </c>
      <c r="E9" s="290"/>
      <c r="F9" s="288"/>
    </row>
    <row r="10" spans="1:13" x14ac:dyDescent="0.2">
      <c r="A10" s="87">
        <v>500302</v>
      </c>
      <c r="B10" s="90"/>
      <c r="C10" s="339">
        <v>4416</v>
      </c>
      <c r="D10" s="90">
        <f t="shared" si="0"/>
        <v>4416</v>
      </c>
      <c r="E10" s="290"/>
      <c r="F10" s="288"/>
    </row>
    <row r="11" spans="1:13" x14ac:dyDescent="0.2">
      <c r="A11" s="87">
        <v>500303</v>
      </c>
      <c r="B11" s="339">
        <v>134987</v>
      </c>
      <c r="C11" s="90">
        <v>84644</v>
      </c>
      <c r="D11" s="90">
        <f t="shared" si="0"/>
        <v>-50343</v>
      </c>
      <c r="E11" s="290"/>
      <c r="F11" s="288"/>
    </row>
    <row r="12" spans="1:13" x14ac:dyDescent="0.2">
      <c r="A12" s="91">
        <v>500305</v>
      </c>
      <c r="B12" s="339">
        <v>706115</v>
      </c>
      <c r="C12" s="90">
        <v>765081</v>
      </c>
      <c r="D12" s="90">
        <f t="shared" si="0"/>
        <v>58966</v>
      </c>
      <c r="E12" s="291"/>
      <c r="F12" s="288"/>
    </row>
    <row r="13" spans="1:13" x14ac:dyDescent="0.2">
      <c r="A13" s="87">
        <v>500307</v>
      </c>
      <c r="B13" s="339">
        <v>31835</v>
      </c>
      <c r="C13" s="90">
        <v>30894</v>
      </c>
      <c r="D13" s="90">
        <f t="shared" si="0"/>
        <v>-941</v>
      </c>
      <c r="E13" s="290"/>
      <c r="F13" s="288"/>
    </row>
    <row r="14" spans="1:13" x14ac:dyDescent="0.2">
      <c r="A14" s="87">
        <v>500313</v>
      </c>
      <c r="B14" s="90">
        <v>1856</v>
      </c>
      <c r="C14" s="339"/>
      <c r="D14" s="90">
        <f t="shared" si="0"/>
        <v>-1856</v>
      </c>
      <c r="E14" s="290"/>
      <c r="F14" s="288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">
      <c r="A16" s="87">
        <v>500655</v>
      </c>
      <c r="B16" s="358">
        <v>69730</v>
      </c>
      <c r="C16" s="90"/>
      <c r="D16" s="90">
        <f t="shared" si="0"/>
        <v>-69730</v>
      </c>
      <c r="E16" s="290"/>
      <c r="F16" s="288"/>
    </row>
    <row r="17" spans="1:6" x14ac:dyDescent="0.2">
      <c r="A17" s="87">
        <v>500657</v>
      </c>
      <c r="B17" s="375">
        <v>115505</v>
      </c>
      <c r="C17" s="88">
        <v>110119</v>
      </c>
      <c r="D17" s="94">
        <f t="shared" si="0"/>
        <v>-5386</v>
      </c>
      <c r="E17" s="290"/>
      <c r="F17" s="288"/>
    </row>
    <row r="18" spans="1:6" x14ac:dyDescent="0.2">
      <c r="A18" s="87"/>
      <c r="B18" s="88"/>
      <c r="C18" s="88"/>
      <c r="D18" s="88">
        <f>SUM(D5:D17)</f>
        <v>29342</v>
      </c>
      <c r="E18" s="290"/>
      <c r="F18" s="288"/>
    </row>
    <row r="19" spans="1:6" x14ac:dyDescent="0.2">
      <c r="A19" s="87" t="s">
        <v>87</v>
      </c>
      <c r="B19" s="88"/>
      <c r="C19" s="88"/>
      <c r="D19" s="95">
        <f>+summary!P11</f>
        <v>5.91</v>
      </c>
      <c r="E19" s="292"/>
      <c r="F19" s="288"/>
    </row>
    <row r="20" spans="1:6" x14ac:dyDescent="0.2">
      <c r="A20" s="87"/>
      <c r="B20" s="88"/>
      <c r="C20" s="88"/>
      <c r="D20" s="96">
        <f>+D19*D18</f>
        <v>173411.22</v>
      </c>
      <c r="E20" s="209"/>
      <c r="F20" s="289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401">
        <v>-17892.36</v>
      </c>
      <c r="E22" s="209"/>
      <c r="F22" s="66"/>
    </row>
    <row r="23" spans="1:6" x14ac:dyDescent="0.2">
      <c r="A23" s="87"/>
      <c r="B23" s="88"/>
      <c r="C23" s="88"/>
      <c r="D23" s="346"/>
      <c r="E23" s="209"/>
      <c r="F23" s="66"/>
    </row>
    <row r="24" spans="1:6" ht="13.5" thickBot="1" x14ac:dyDescent="0.25">
      <c r="A24" s="99">
        <v>36936</v>
      </c>
      <c r="B24" s="88"/>
      <c r="C24" s="88"/>
      <c r="D24" s="374">
        <f>+D22+D20</f>
        <v>155518.85999999999</v>
      </c>
      <c r="E24" s="209"/>
      <c r="F24" s="66"/>
    </row>
    <row r="25" spans="1:6" ht="13.5" thickTop="1" x14ac:dyDescent="0.2">
      <c r="E25" s="293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2460328</v>
      </c>
      <c r="C36" s="11">
        <f>SUM(C5:C35)</f>
        <v>2602702</v>
      </c>
      <c r="D36" s="11"/>
      <c r="E36" s="11">
        <f>SUM(E5:E35)</f>
        <v>78241</v>
      </c>
      <c r="F36" s="11">
        <f>SUM(F5:F35)</f>
        <v>64133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85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36936</v>
      </c>
      <c r="F41" s="280">
        <f>+F39+F36</f>
        <v>3946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8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1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534307</v>
      </c>
      <c r="C39" s="11">
        <f>SUM(C8:C38)</f>
        <v>529353</v>
      </c>
      <c r="D39" s="11">
        <f>SUM(D8:D38)</f>
        <v>-4954</v>
      </c>
      <c r="E39" s="10"/>
      <c r="F39" s="11"/>
      <c r="G39" s="11"/>
      <c r="H39" s="11"/>
    </row>
    <row r="40" spans="1:8" x14ac:dyDescent="0.2">
      <c r="A40" s="26"/>
      <c r="D40" s="75">
        <f>+summary!P11</f>
        <v>5.91</v>
      </c>
      <c r="E40" s="26"/>
      <c r="H40" s="75"/>
    </row>
    <row r="41" spans="1:8" x14ac:dyDescent="0.2">
      <c r="D41" s="197">
        <f>+D40*D39</f>
        <v>-29278.14</v>
      </c>
      <c r="F41" s="253"/>
      <c r="H41" s="197"/>
    </row>
    <row r="42" spans="1:8" x14ac:dyDescent="0.2">
      <c r="A42" s="57">
        <v>36922</v>
      </c>
      <c r="D42" s="404">
        <v>275215.83</v>
      </c>
      <c r="E42" s="57"/>
      <c r="H42" s="197"/>
    </row>
    <row r="43" spans="1:8" x14ac:dyDescent="0.2">
      <c r="A43" s="57">
        <v>36936</v>
      </c>
      <c r="D43" s="198">
        <f>+D42+D41</f>
        <v>245937.69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2" workbookViewId="1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9">
        <v>36922</v>
      </c>
      <c r="C5" s="394">
        <v>26997.22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36936</v>
      </c>
      <c r="G7" s="32"/>
      <c r="H7" s="15"/>
      <c r="I7" s="32"/>
      <c r="J7" s="32"/>
    </row>
    <row r="8" spans="1:10" x14ac:dyDescent="0.2">
      <c r="A8" s="254">
        <v>60874</v>
      </c>
      <c r="B8" s="377">
        <v>2223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11908-10068-986</f>
        <v>854</v>
      </c>
      <c r="G10" s="32"/>
      <c r="H10" s="15"/>
      <c r="I10" s="32"/>
      <c r="J10" s="32"/>
    </row>
    <row r="11" spans="1:10" x14ac:dyDescent="0.2">
      <c r="A11" s="254">
        <v>500251</v>
      </c>
      <c r="B11" s="367">
        <f>4730-3311-593</f>
        <v>826</v>
      </c>
      <c r="G11" s="32"/>
      <c r="H11" s="15"/>
      <c r="I11" s="32"/>
      <c r="J11" s="32"/>
    </row>
    <row r="12" spans="1:10" x14ac:dyDescent="0.2">
      <c r="A12" s="254">
        <v>500254</v>
      </c>
      <c r="B12" s="367">
        <f>385-632</f>
        <v>-247</v>
      </c>
      <c r="G12" s="32"/>
      <c r="H12" s="15"/>
      <c r="I12" s="32"/>
      <c r="J12" s="32"/>
    </row>
    <row r="13" spans="1:10" x14ac:dyDescent="0.2">
      <c r="A13" s="32">
        <v>500255</v>
      </c>
      <c r="B13" s="367">
        <f>7480-9281-918</f>
        <v>-2719</v>
      </c>
      <c r="G13" s="32"/>
      <c r="H13" s="15"/>
      <c r="I13" s="32"/>
      <c r="J13" s="32"/>
    </row>
    <row r="14" spans="1:10" x14ac:dyDescent="0.2">
      <c r="A14" s="32">
        <v>500262</v>
      </c>
      <c r="B14" s="367">
        <f>2750-2101-364</f>
        <v>285</v>
      </c>
      <c r="G14" s="32"/>
      <c r="H14" s="15"/>
      <c r="I14" s="32"/>
      <c r="J14" s="32"/>
    </row>
    <row r="15" spans="1:10" x14ac:dyDescent="0.2">
      <c r="A15" s="295">
        <v>500267</v>
      </c>
      <c r="B15" s="368">
        <f>631765-587380-55304</f>
        <v>-10919</v>
      </c>
      <c r="G15" s="32"/>
      <c r="H15" s="15"/>
      <c r="I15" s="32"/>
      <c r="J15" s="32"/>
    </row>
    <row r="16" spans="1:10" x14ac:dyDescent="0.2">
      <c r="B16" s="14">
        <f>SUM(B8:B15)</f>
        <v>-9697</v>
      </c>
      <c r="G16" s="32"/>
      <c r="H16" s="15"/>
      <c r="I16" s="32"/>
      <c r="J16" s="32"/>
    </row>
    <row r="17" spans="1:10" x14ac:dyDescent="0.2">
      <c r="B17" s="15">
        <f>+B30</f>
        <v>5.91</v>
      </c>
      <c r="C17" s="201">
        <f>+B17*B16</f>
        <v>-57309.270000000004</v>
      </c>
      <c r="G17" s="32"/>
      <c r="H17" s="15"/>
      <c r="I17" s="32"/>
      <c r="J17" s="32"/>
    </row>
    <row r="18" spans="1:10" x14ac:dyDescent="0.2">
      <c r="C18" s="382">
        <f>+C17+C5</f>
        <v>-30312.050000000003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5">
        <v>275313.71999999997</v>
      </c>
      <c r="G24" s="32"/>
      <c r="H24" s="15"/>
      <c r="I24" s="32"/>
      <c r="J24" s="32"/>
    </row>
    <row r="25" spans="1:10" x14ac:dyDescent="0.2">
      <c r="F25" s="271"/>
      <c r="G25" s="32"/>
      <c r="H25" s="15"/>
      <c r="I25" s="32"/>
      <c r="J25" s="32"/>
    </row>
    <row r="26" spans="1:10" x14ac:dyDescent="0.2">
      <c r="A26" s="57">
        <v>36933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5.91</v>
      </c>
      <c r="C30" s="201">
        <f>+B30*B29</f>
        <v>0</v>
      </c>
    </row>
    <row r="31" spans="1:10" x14ac:dyDescent="0.2">
      <c r="C31" s="382">
        <f>+C30+C24</f>
        <v>275313.71999999997</v>
      </c>
      <c r="E31" s="15"/>
    </row>
    <row r="33" spans="1:6" x14ac:dyDescent="0.2">
      <c r="E33" s="276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395">
        <v>470803.55</v>
      </c>
      <c r="E38" s="15"/>
      <c r="F38" s="271"/>
    </row>
    <row r="40" spans="1:6" x14ac:dyDescent="0.2">
      <c r="A40" s="250">
        <v>36936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3857</v>
      </c>
    </row>
    <row r="43" spans="1:6" x14ac:dyDescent="0.2">
      <c r="A43" s="32">
        <v>500392</v>
      </c>
      <c r="B43" s="258">
        <v>1091</v>
      </c>
    </row>
    <row r="44" spans="1:6" x14ac:dyDescent="0.2">
      <c r="B44" s="14">
        <f>SUM(B41:B43)</f>
        <v>4948</v>
      </c>
    </row>
    <row r="45" spans="1:6" x14ac:dyDescent="0.2">
      <c r="B45" s="201">
        <f>+B30</f>
        <v>5.91</v>
      </c>
      <c r="C45" s="201">
        <f>+B45*B44</f>
        <v>29242.68</v>
      </c>
    </row>
    <row r="46" spans="1:6" x14ac:dyDescent="0.2">
      <c r="C46" s="259">
        <f>+C45+C38</f>
        <v>500046.23</v>
      </c>
      <c r="E46" s="206"/>
    </row>
    <row r="47" spans="1:6" x14ac:dyDescent="0.2">
      <c r="E47" s="217"/>
    </row>
    <row r="48" spans="1:6" x14ac:dyDescent="0.2">
      <c r="E48" s="206"/>
    </row>
    <row r="49" spans="1:5" x14ac:dyDescent="0.2">
      <c r="C49" s="354"/>
      <c r="E49" s="217"/>
    </row>
    <row r="50" spans="1:5" x14ac:dyDescent="0.2">
      <c r="A50" s="32" t="s">
        <v>95</v>
      </c>
    </row>
    <row r="51" spans="1:5" x14ac:dyDescent="0.2">
      <c r="A51" s="32">
        <v>21665</v>
      </c>
      <c r="C51" s="396">
        <v>73449.16</v>
      </c>
      <c r="D51" s="32" t="s">
        <v>134</v>
      </c>
      <c r="E51" s="50"/>
    </row>
    <row r="52" spans="1:5" x14ac:dyDescent="0.2">
      <c r="A52" s="32">
        <v>22664</v>
      </c>
      <c r="C52" s="397">
        <v>23612.35</v>
      </c>
      <c r="D52" s="32" t="s">
        <v>135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6">
        <v>-6425.19</v>
      </c>
      <c r="D61" s="15"/>
    </row>
    <row r="62" spans="1:5" x14ac:dyDescent="0.2">
      <c r="C62" s="365">
        <f>+C18+C31+C46+C51+C52+C53+C54+C55+C56+C57+C58+C59+C60+C61</f>
        <v>963163.36</v>
      </c>
    </row>
    <row r="63" spans="1:5" x14ac:dyDescent="0.2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3" workbookViewId="1">
      <selection activeCell="A39" sqref="A39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2">
        <v>23995</v>
      </c>
      <c r="C1" s="236"/>
      <c r="D1" s="361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371862</v>
      </c>
      <c r="C35" s="11">
        <f>SUM(C4:C34)</f>
        <v>355000</v>
      </c>
      <c r="D35" s="11">
        <f>SUM(D4:D34)</f>
        <v>341008</v>
      </c>
      <c r="E35" s="11">
        <f>SUM(E4:E34)</f>
        <v>325474</v>
      </c>
      <c r="F35" s="11">
        <f>SUM(F4:F34)</f>
        <v>-32396</v>
      </c>
      <c r="G35" s="11"/>
      <c r="H35" s="11"/>
    </row>
    <row r="36" spans="1:8" x14ac:dyDescent="0.2">
      <c r="C36" s="25">
        <f>+C35-B35</f>
        <v>-16862</v>
      </c>
      <c r="E36" s="25">
        <f>+E35-D35</f>
        <v>-15534</v>
      </c>
      <c r="F36" s="25">
        <f>+E36+C36</f>
        <v>-32396</v>
      </c>
    </row>
    <row r="37" spans="1:8" x14ac:dyDescent="0.2">
      <c r="C37" s="363">
        <f>+summary!P12</f>
        <v>5.95</v>
      </c>
      <c r="E37" s="363">
        <f>+C37</f>
        <v>5.95</v>
      </c>
      <c r="F37" s="363">
        <f>+E37</f>
        <v>5.95</v>
      </c>
    </row>
    <row r="38" spans="1:8" x14ac:dyDescent="0.2">
      <c r="C38" s="138">
        <f>+C37*C36</f>
        <v>-100328.90000000001</v>
      </c>
      <c r="E38" s="138">
        <f>+E37*E36</f>
        <v>-92427.3</v>
      </c>
      <c r="F38" s="138">
        <f>+F37*F36</f>
        <v>-192756.2</v>
      </c>
    </row>
    <row r="39" spans="1:8" x14ac:dyDescent="0.2">
      <c r="A39" s="57">
        <v>36922</v>
      </c>
      <c r="B39" s="2" t="s">
        <v>48</v>
      </c>
      <c r="C39" s="400">
        <v>-772485</v>
      </c>
      <c r="D39" s="381"/>
      <c r="E39" s="400">
        <v>-63719.29</v>
      </c>
      <c r="F39" s="137">
        <f>+E39+C39</f>
        <v>-836204.29</v>
      </c>
      <c r="G39" s="24"/>
      <c r="H39" s="24"/>
    </row>
    <row r="40" spans="1:8" x14ac:dyDescent="0.2">
      <c r="A40" s="57">
        <v>36936</v>
      </c>
      <c r="B40" s="2" t="s">
        <v>48</v>
      </c>
      <c r="C40" s="364">
        <f>+C39+C38</f>
        <v>-872813.9</v>
      </c>
      <c r="D40" s="261"/>
      <c r="E40" s="364">
        <f>+E39+E38</f>
        <v>-156146.59</v>
      </c>
      <c r="F40" s="364">
        <f>+F39+F38</f>
        <v>-1028960.49</v>
      </c>
      <c r="G40" s="131"/>
      <c r="H40" s="131"/>
    </row>
    <row r="41" spans="1:8" x14ac:dyDescent="0.2">
      <c r="C41" s="253"/>
    </row>
    <row r="42" spans="1:8" x14ac:dyDescent="0.2">
      <c r="F42" s="15"/>
    </row>
    <row r="43" spans="1:8" x14ac:dyDescent="0.2">
      <c r="B43" s="12" t="s">
        <v>123</v>
      </c>
      <c r="F43" s="15"/>
    </row>
    <row r="44" spans="1:8" x14ac:dyDescent="0.2">
      <c r="B44" s="12">
        <v>22864</v>
      </c>
      <c r="F44" s="399">
        <v>-58339.66</v>
      </c>
      <c r="G44" s="32" t="s">
        <v>51</v>
      </c>
    </row>
    <row r="45" spans="1:8" x14ac:dyDescent="0.2">
      <c r="B45" s="12">
        <v>20379</v>
      </c>
      <c r="F45" s="394">
        <v>-51695.87</v>
      </c>
      <c r="G45" s="32" t="s">
        <v>137</v>
      </c>
    </row>
    <row r="46" spans="1:8" x14ac:dyDescent="0.2">
      <c r="B46" s="12">
        <v>21459</v>
      </c>
      <c r="F46" s="373">
        <v>10570.56</v>
      </c>
    </row>
    <row r="47" spans="1:8" x14ac:dyDescent="0.2">
      <c r="B47" s="12">
        <v>26357</v>
      </c>
      <c r="F47" s="399">
        <v>44144.84</v>
      </c>
      <c r="G47" s="32" t="s">
        <v>138</v>
      </c>
    </row>
    <row r="48" spans="1:8" x14ac:dyDescent="0.2">
      <c r="B48" s="12">
        <v>21544</v>
      </c>
      <c r="F48" s="399">
        <v>61340.160000000003</v>
      </c>
      <c r="G48" s="32" t="s">
        <v>139</v>
      </c>
    </row>
    <row r="49" spans="2:7" x14ac:dyDescent="0.2">
      <c r="B49" s="12">
        <v>24532</v>
      </c>
      <c r="F49" s="398">
        <v>-347283.29</v>
      </c>
      <c r="G49" s="32" t="s">
        <v>136</v>
      </c>
    </row>
    <row r="50" spans="2:7" x14ac:dyDescent="0.2">
      <c r="F50" s="104">
        <f>SUM(F40:F49)</f>
        <v>-1370223.7499999998</v>
      </c>
    </row>
    <row r="52" spans="2:7" x14ac:dyDescent="0.2">
      <c r="B52" s="2" t="s">
        <v>127</v>
      </c>
      <c r="F52" s="138">
        <f>+Duke!C62</f>
        <v>963163.36</v>
      </c>
    </row>
    <row r="54" spans="2:7" x14ac:dyDescent="0.2">
      <c r="F54" s="104">
        <f>+F52+F50</f>
        <v>-407060.38999999978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83909</v>
      </c>
      <c r="C39" s="11">
        <f t="shared" si="1"/>
        <v>81904</v>
      </c>
      <c r="D39" s="11">
        <f t="shared" si="1"/>
        <v>1675</v>
      </c>
      <c r="E39" s="11">
        <f t="shared" si="1"/>
        <v>1263</v>
      </c>
      <c r="F39" s="11">
        <f t="shared" si="1"/>
        <v>15876</v>
      </c>
      <c r="G39" s="11">
        <f t="shared" si="1"/>
        <v>16496</v>
      </c>
      <c r="H39" s="11">
        <f t="shared" si="1"/>
        <v>25026</v>
      </c>
      <c r="I39" s="11">
        <f t="shared" si="1"/>
        <v>26181</v>
      </c>
      <c r="J39" s="25">
        <f t="shared" si="1"/>
        <v>-642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3">
        <f>+summary!P11</f>
        <v>5.91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-3794.2200000000003</v>
      </c>
      <c r="L41"/>
      <c r="R41" s="138"/>
      <c r="X41" s="138"/>
    </row>
    <row r="42" spans="1:24" x14ac:dyDescent="0.2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36936</v>
      </c>
      <c r="C43" s="48"/>
      <c r="J43" s="138">
        <f>+J42+J41</f>
        <v>608763.71000000008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47" sqref="C4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11980</v>
      </c>
      <c r="C21" s="11">
        <v>10600</v>
      </c>
      <c r="D21" s="25">
        <f t="shared" si="0"/>
        <v>-1380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177747</v>
      </c>
      <c r="C39" s="11">
        <f>SUM(C8:C38)</f>
        <v>147874</v>
      </c>
      <c r="D39" s="11">
        <f>SUM(D8:D38)</f>
        <v>-29873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5.91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-176549.43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90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36936</v>
      </c>
      <c r="C43" s="48"/>
      <c r="D43" s="110">
        <f>+D42+D41</f>
        <v>830831.2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10" sqref="C10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393">
        <v>-471107</v>
      </c>
      <c r="C7" s="80">
        <v>-385195</v>
      </c>
      <c r="D7" s="80">
        <f t="shared" si="0"/>
        <v>85912</v>
      </c>
    </row>
    <row r="8" spans="1:8" x14ac:dyDescent="0.2">
      <c r="A8" s="32">
        <v>60667</v>
      </c>
      <c r="B8" s="80">
        <v>-288183</v>
      </c>
      <c r="C8" s="80">
        <v>-491655</v>
      </c>
      <c r="D8" s="80">
        <f t="shared" si="0"/>
        <v>-203472</v>
      </c>
      <c r="H8" s="255"/>
    </row>
    <row r="9" spans="1:8" x14ac:dyDescent="0.2">
      <c r="A9" s="32">
        <v>60749</v>
      </c>
      <c r="B9" s="393">
        <v>4760</v>
      </c>
      <c r="C9" s="80">
        <v>-8978</v>
      </c>
      <c r="D9" s="80">
        <f t="shared" si="0"/>
        <v>-13738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93">
        <v>-159766</v>
      </c>
      <c r="C11" s="80">
        <v>0</v>
      </c>
      <c r="D11" s="80">
        <f t="shared" si="0"/>
        <v>159766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28516</v>
      </c>
    </row>
    <row r="19" spans="1:5" x14ac:dyDescent="0.2">
      <c r="A19" s="32" t="s">
        <v>87</v>
      </c>
      <c r="B19" s="69"/>
      <c r="C19" s="69"/>
      <c r="D19" s="73">
        <f>+summary!P11</f>
        <v>5.91</v>
      </c>
    </row>
    <row r="20" spans="1:5" x14ac:dyDescent="0.2">
      <c r="B20" s="69"/>
      <c r="C20" s="69"/>
      <c r="D20" s="75">
        <f>+D19*D18</f>
        <v>168529.56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8">
        <v>159600.24</v>
      </c>
      <c r="E22" s="255"/>
    </row>
    <row r="23" spans="1:5" x14ac:dyDescent="0.2">
      <c r="B23" s="69"/>
      <c r="C23" s="80"/>
      <c r="D23" s="303"/>
      <c r="E23" s="255"/>
    </row>
    <row r="24" spans="1:5" ht="12" thickBot="1" x14ac:dyDescent="0.25">
      <c r="A24" s="49">
        <v>36936</v>
      </c>
      <c r="B24" s="69"/>
      <c r="C24" s="69"/>
      <c r="D24" s="304">
        <f>+D22+D20</f>
        <v>328129.8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4309518</v>
      </c>
      <c r="C35" s="11">
        <f t="shared" ref="C35:I35" si="1">SUM(C4:C34)</f>
        <v>4381487</v>
      </c>
      <c r="D35" s="11">
        <f t="shared" si="1"/>
        <v>853138</v>
      </c>
      <c r="E35" s="11">
        <f t="shared" si="1"/>
        <v>751437</v>
      </c>
      <c r="F35" s="11">
        <f t="shared" si="1"/>
        <v>694145</v>
      </c>
      <c r="G35" s="11">
        <f t="shared" si="1"/>
        <v>657022</v>
      </c>
      <c r="H35" s="11">
        <f t="shared" si="1"/>
        <v>2070877</v>
      </c>
      <c r="I35" s="11">
        <f t="shared" si="1"/>
        <v>2116574</v>
      </c>
      <c r="J35" s="11">
        <f>SUM(J4:J34)</f>
        <v>-21158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403">
        <v>-44467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36936</v>
      </c>
      <c r="J40" s="51">
        <f>+J38+J35</f>
        <v>-65625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9236</v>
      </c>
      <c r="B5" s="339">
        <v>-20493</v>
      </c>
      <c r="C5" s="90">
        <v>-54026</v>
      </c>
      <c r="D5" s="90">
        <f t="shared" ref="D5:D13" si="0">+C5-B5</f>
        <v>-33533</v>
      </c>
      <c r="E5" s="69"/>
      <c r="F5" s="70"/>
    </row>
    <row r="6" spans="1:13" x14ac:dyDescent="0.2">
      <c r="A6" s="87">
        <v>9238</v>
      </c>
      <c r="B6" s="339">
        <v>-11898</v>
      </c>
      <c r="C6" s="90">
        <v>-13500</v>
      </c>
      <c r="D6" s="90">
        <f t="shared" si="0"/>
        <v>-1602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9">
        <v>-1256252</v>
      </c>
      <c r="C7" s="90">
        <v>-1440773</v>
      </c>
      <c r="D7" s="90">
        <f t="shared" si="0"/>
        <v>-184521</v>
      </c>
      <c r="E7" s="290"/>
      <c r="F7" s="70"/>
    </row>
    <row r="8" spans="1:13" x14ac:dyDescent="0.2">
      <c r="A8" s="87">
        <v>58710</v>
      </c>
      <c r="B8" s="384">
        <v>-88106</v>
      </c>
      <c r="C8" s="90">
        <v>-82460</v>
      </c>
      <c r="D8" s="90">
        <f t="shared" si="0"/>
        <v>5646</v>
      </c>
      <c r="E8" s="290"/>
      <c r="F8" s="70"/>
    </row>
    <row r="9" spans="1:13" x14ac:dyDescent="0.2">
      <c r="A9" s="87">
        <v>60921</v>
      </c>
      <c r="B9" s="90">
        <v>-646380</v>
      </c>
      <c r="C9" s="90">
        <v>-603319</v>
      </c>
      <c r="D9" s="90">
        <f t="shared" si="0"/>
        <v>43061</v>
      </c>
      <c r="E9" s="290"/>
      <c r="F9" s="70"/>
    </row>
    <row r="10" spans="1:13" x14ac:dyDescent="0.2">
      <c r="A10" s="87">
        <v>78026</v>
      </c>
      <c r="B10" s="384">
        <v>41408</v>
      </c>
      <c r="C10" s="90">
        <v>33523</v>
      </c>
      <c r="D10" s="90">
        <f t="shared" si="0"/>
        <v>-7885</v>
      </c>
      <c r="E10" s="290"/>
      <c r="F10" s="288"/>
    </row>
    <row r="11" spans="1:13" x14ac:dyDescent="0.2">
      <c r="A11" s="87">
        <v>500084</v>
      </c>
      <c r="B11" s="376">
        <v>-27902</v>
      </c>
      <c r="C11" s="90">
        <v>-41802</v>
      </c>
      <c r="D11" s="90">
        <f t="shared" si="0"/>
        <v>-13900</v>
      </c>
      <c r="E11" s="291"/>
      <c r="F11" s="288"/>
    </row>
    <row r="12" spans="1:13" x14ac:dyDescent="0.2">
      <c r="A12" s="371">
        <v>500085</v>
      </c>
      <c r="B12" s="376">
        <v>-216324</v>
      </c>
      <c r="C12" s="90">
        <v>-70000</v>
      </c>
      <c r="D12" s="90">
        <f t="shared" si="0"/>
        <v>146324</v>
      </c>
      <c r="E12" s="290"/>
      <c r="F12" s="288"/>
    </row>
    <row r="13" spans="1:13" x14ac:dyDescent="0.2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">
      <c r="A14" s="87"/>
      <c r="B14" s="90"/>
      <c r="C14" s="90"/>
      <c r="D14" s="90"/>
      <c r="E14" s="290"/>
      <c r="F14" s="288"/>
    </row>
    <row r="15" spans="1:13" x14ac:dyDescent="0.2">
      <c r="A15" s="87"/>
      <c r="B15" s="90"/>
      <c r="C15" s="90"/>
      <c r="D15" s="90"/>
      <c r="E15" s="290"/>
      <c r="F15" s="288"/>
    </row>
    <row r="16" spans="1:13" x14ac:dyDescent="0.2">
      <c r="A16" s="87"/>
      <c r="B16" s="88"/>
      <c r="C16" s="88"/>
      <c r="D16" s="94"/>
      <c r="E16" s="290"/>
      <c r="F16" s="288"/>
    </row>
    <row r="17" spans="1:7" x14ac:dyDescent="0.2">
      <c r="A17" s="87"/>
      <c r="B17" s="88"/>
      <c r="C17" s="88"/>
      <c r="D17" s="88">
        <f>SUM(D5:D16)</f>
        <v>-31652</v>
      </c>
      <c r="E17" s="290"/>
      <c r="F17" s="288"/>
    </row>
    <row r="18" spans="1:7" x14ac:dyDescent="0.2">
      <c r="A18" s="87" t="s">
        <v>87</v>
      </c>
      <c r="B18" s="88"/>
      <c r="C18" s="88"/>
      <c r="D18" s="95">
        <f>+summary!P11</f>
        <v>5.91</v>
      </c>
      <c r="E18" s="292"/>
      <c r="F18" s="288"/>
    </row>
    <row r="19" spans="1:7" x14ac:dyDescent="0.2">
      <c r="A19" s="87"/>
      <c r="B19" s="88"/>
      <c r="C19" s="88"/>
      <c r="D19" s="96">
        <f>+D18*D17</f>
        <v>-187063.32</v>
      </c>
      <c r="E19" s="209"/>
      <c r="F19" s="289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406">
        <v>1219422.02</v>
      </c>
      <c r="E21" s="209"/>
      <c r="F21" s="66"/>
    </row>
    <row r="22" spans="1:7" x14ac:dyDescent="0.2">
      <c r="A22" s="87"/>
      <c r="B22" s="88"/>
      <c r="C22" s="88"/>
      <c r="D22" s="346"/>
      <c r="E22" s="209"/>
      <c r="F22" s="66"/>
    </row>
    <row r="23" spans="1:7" ht="13.5" thickBot="1" x14ac:dyDescent="0.25">
      <c r="A23" s="99">
        <v>36936</v>
      </c>
      <c r="B23" s="88"/>
      <c r="C23" s="88"/>
      <c r="D23" s="374">
        <f>+D21+D19</f>
        <v>1032358.7</v>
      </c>
      <c r="E23" s="209"/>
      <c r="F23" s="66"/>
    </row>
    <row r="24" spans="1:7" ht="13.5" thickTop="1" x14ac:dyDescent="0.2">
      <c r="E24" s="293"/>
    </row>
    <row r="25" spans="1:7" x14ac:dyDescent="0.2">
      <c r="E25" s="293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3"/>
      <c r="E36" s="69"/>
      <c r="F36" s="70"/>
      <c r="G36" s="32"/>
    </row>
    <row r="37" spans="1:7" x14ac:dyDescent="0.2">
      <c r="B37" s="69"/>
      <c r="C37" s="69"/>
      <c r="D37" s="323"/>
      <c r="E37" s="69"/>
      <c r="F37" s="70"/>
      <c r="G37" s="32"/>
    </row>
    <row r="38" spans="1:7" x14ac:dyDescent="0.2">
      <c r="B38" s="69"/>
      <c r="C38" s="69"/>
      <c r="D38" s="323"/>
      <c r="E38" s="69"/>
      <c r="F38" s="70"/>
      <c r="G38" s="32"/>
    </row>
    <row r="39" spans="1:7" x14ac:dyDescent="0.2">
      <c r="B39" s="69"/>
      <c r="C39" s="69"/>
      <c r="D39" s="323"/>
      <c r="E39" s="69"/>
      <c r="F39" s="70"/>
      <c r="G39" s="32"/>
    </row>
    <row r="40" spans="1:7" x14ac:dyDescent="0.2">
      <c r="B40" s="69"/>
      <c r="C40" s="69"/>
      <c r="D40" s="323"/>
      <c r="E40" s="69"/>
      <c r="F40" s="70"/>
      <c r="G40" s="32"/>
    </row>
    <row r="41" spans="1:7" x14ac:dyDescent="0.2">
      <c r="B41" s="69"/>
      <c r="C41" s="69"/>
      <c r="D41" s="323"/>
      <c r="E41" s="69"/>
      <c r="F41" s="70"/>
      <c r="G41" s="32"/>
    </row>
    <row r="42" spans="1:7" x14ac:dyDescent="0.2">
      <c r="B42" s="69"/>
      <c r="C42" s="69"/>
      <c r="D42" s="323"/>
      <c r="E42" s="69"/>
      <c r="F42" s="70"/>
      <c r="G42" s="32"/>
    </row>
    <row r="43" spans="1:7" x14ac:dyDescent="0.2">
      <c r="B43" s="69"/>
      <c r="C43" s="69"/>
      <c r="D43" s="323"/>
      <c r="E43" s="69"/>
      <c r="F43" s="70"/>
      <c r="G43" s="32"/>
    </row>
    <row r="44" spans="1:7" x14ac:dyDescent="0.2">
      <c r="B44" s="69"/>
      <c r="C44" s="69"/>
      <c r="D44" s="324"/>
      <c r="E44" s="290"/>
      <c r="F44" s="288"/>
      <c r="G44" s="206"/>
    </row>
    <row r="45" spans="1:7" x14ac:dyDescent="0.2">
      <c r="B45" s="69"/>
      <c r="C45" s="69"/>
      <c r="D45" s="324"/>
      <c r="E45" s="290"/>
      <c r="F45" s="288"/>
      <c r="G45" s="206"/>
    </row>
    <row r="46" spans="1:7" x14ac:dyDescent="0.2">
      <c r="A46" s="32"/>
      <c r="B46" s="69"/>
      <c r="C46" s="69"/>
      <c r="D46" s="290"/>
      <c r="E46" s="290"/>
      <c r="F46" s="288"/>
      <c r="G46" s="206"/>
    </row>
    <row r="47" spans="1:7" x14ac:dyDescent="0.2">
      <c r="A47" s="32"/>
      <c r="B47" s="69"/>
      <c r="C47" s="69"/>
      <c r="D47" s="292"/>
      <c r="E47" s="292"/>
      <c r="F47" s="288"/>
      <c r="G47" s="206"/>
    </row>
    <row r="48" spans="1:7" x14ac:dyDescent="0.2">
      <c r="B48" s="69"/>
      <c r="C48" s="69"/>
      <c r="D48" s="290"/>
      <c r="E48" s="290"/>
      <c r="F48" s="289"/>
      <c r="G48" s="206"/>
    </row>
    <row r="49" spans="1:7" x14ac:dyDescent="0.2">
      <c r="B49" s="69"/>
      <c r="C49" s="69"/>
      <c r="D49" s="290"/>
      <c r="E49" s="290"/>
      <c r="F49" s="289"/>
      <c r="G49" s="206"/>
    </row>
    <row r="50" spans="1:7" x14ac:dyDescent="0.2">
      <c r="C50" s="320"/>
      <c r="D50" s="320"/>
      <c r="E50" s="320"/>
      <c r="F50" s="321"/>
      <c r="G50" s="322"/>
    </row>
    <row r="51" spans="1:7" x14ac:dyDescent="0.2">
      <c r="A51" s="32"/>
      <c r="C51" s="320"/>
      <c r="D51" s="320"/>
      <c r="E51" s="320"/>
      <c r="F51" s="321"/>
    </row>
    <row r="52" spans="1:7" x14ac:dyDescent="0.2">
      <c r="A52" s="32"/>
      <c r="C52" s="320"/>
      <c r="D52" s="320"/>
      <c r="E52" s="320"/>
      <c r="F52" s="321"/>
    </row>
    <row r="53" spans="1:7" x14ac:dyDescent="0.2">
      <c r="A53" s="32"/>
      <c r="C53" s="320"/>
      <c r="D53" s="320"/>
      <c r="E53" s="320"/>
      <c r="F53" s="321"/>
    </row>
    <row r="54" spans="1:7" x14ac:dyDescent="0.2">
      <c r="A54" s="32"/>
      <c r="C54" s="320"/>
      <c r="D54" s="320"/>
      <c r="E54" s="320"/>
      <c r="F54" s="321"/>
    </row>
    <row r="55" spans="1:7" x14ac:dyDescent="0.2">
      <c r="A55" s="32"/>
      <c r="C55" s="320"/>
      <c r="D55" s="320"/>
      <c r="E55" s="293"/>
      <c r="F55" s="293"/>
    </row>
    <row r="56" spans="1:7" x14ac:dyDescent="0.2">
      <c r="C56" s="320"/>
      <c r="D56" s="320"/>
      <c r="E56" s="293"/>
      <c r="F56" s="293"/>
    </row>
    <row r="57" spans="1:7" x14ac:dyDescent="0.2">
      <c r="C57" s="320"/>
      <c r="D57" s="320"/>
      <c r="E57" s="293"/>
      <c r="F57" s="293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2">
        <f>SUM(B3:B33)</f>
        <v>604814</v>
      </c>
      <c r="C34" s="302">
        <f>SUM(C3:C33)</f>
        <v>605616</v>
      </c>
      <c r="D34" s="14">
        <f>SUM(D3:D33)</f>
        <v>40</v>
      </c>
      <c r="E34" s="14">
        <f>SUM(E3:E33)</f>
        <v>45000</v>
      </c>
      <c r="F34" s="14">
        <f>SUM(F3:F33)</f>
        <v>-44158</v>
      </c>
    </row>
    <row r="35" spans="1:6" x14ac:dyDescent="0.2">
      <c r="D35" s="14"/>
      <c r="E35" s="14"/>
      <c r="F35" s="14"/>
    </row>
    <row r="36" spans="1:6" x14ac:dyDescent="0.2">
      <c r="F36" s="260"/>
    </row>
    <row r="37" spans="1:6" x14ac:dyDescent="0.2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">
      <c r="A38" s="266">
        <v>36936</v>
      </c>
      <c r="B38" s="14"/>
      <c r="C38" s="14"/>
      <c r="D38" s="14"/>
      <c r="E38" s="14"/>
      <c r="F38" s="24">
        <f>+F37+F34</f>
        <v>83276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D38" sqref="D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399654</v>
      </c>
      <c r="C35" s="11">
        <f>SUM(C4:C34)</f>
        <v>393036</v>
      </c>
      <c r="D35" s="11">
        <f>SUM(D4:D34)</f>
        <v>-6618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8">
        <v>63393</v>
      </c>
    </row>
    <row r="39" spans="1:4" x14ac:dyDescent="0.2">
      <c r="A39" s="2"/>
      <c r="D39" s="24"/>
    </row>
    <row r="40" spans="1:4" x14ac:dyDescent="0.2">
      <c r="A40" s="57">
        <v>36936</v>
      </c>
      <c r="D40" s="36">
        <f>+D38+D35</f>
        <v>56775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43" sqref="G4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451817</v>
      </c>
      <c r="C35" s="11">
        <f t="shared" ref="C35:I35" si="1">SUM(C4:C34)</f>
        <v>459715</v>
      </c>
      <c r="D35" s="11">
        <f t="shared" si="1"/>
        <v>140537</v>
      </c>
      <c r="E35" s="11">
        <f t="shared" si="1"/>
        <v>140000</v>
      </c>
      <c r="F35" s="11">
        <f t="shared" si="1"/>
        <v>340105</v>
      </c>
      <c r="G35" s="11">
        <f t="shared" si="1"/>
        <v>355148</v>
      </c>
      <c r="H35" s="11">
        <f t="shared" si="1"/>
        <v>212</v>
      </c>
      <c r="I35" s="11">
        <f t="shared" si="1"/>
        <v>0</v>
      </c>
      <c r="J35" s="11">
        <f>SUM(J4:J34)</f>
        <v>22192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5.91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131154.72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407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79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36936</v>
      </c>
      <c r="J41" s="379">
        <f>+J39+J37</f>
        <v>-210304.99000000002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15000</v>
      </c>
      <c r="C19" s="24">
        <v>15987</v>
      </c>
      <c r="D19" s="24">
        <v>70773</v>
      </c>
      <c r="E19" s="24">
        <v>84136</v>
      </c>
      <c r="F19" s="24">
        <f t="shared" si="0"/>
        <v>14350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132500</v>
      </c>
      <c r="C37" s="24">
        <f>SUM(C6:C36)</f>
        <v>132732</v>
      </c>
      <c r="D37" s="24">
        <f>SUM(D6:D36)</f>
        <v>773588</v>
      </c>
      <c r="E37" s="24">
        <f>SUM(E6:E36)</f>
        <v>736373</v>
      </c>
      <c r="F37" s="24">
        <f>SUM(F6:F36)</f>
        <v>-36983</v>
      </c>
      <c r="G37" s="409">
        <f>+C37-B37</f>
        <v>232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5.91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-218569.53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5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36936</v>
      </c>
      <c r="E41" s="14"/>
      <c r="F41" s="104">
        <f>+F40+F39</f>
        <v>621779.31999999995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workbookViewId="1">
      <selection activeCell="A17" sqref="A1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10"/>
    </row>
    <row r="18" spans="1:10" x14ac:dyDescent="0.2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83711</v>
      </c>
      <c r="C39" s="11">
        <f>SUM(C8:C38)</f>
        <v>89453</v>
      </c>
      <c r="D39" s="11">
        <f>SUM(D8:D38)</f>
        <v>66996</v>
      </c>
      <c r="E39" s="11">
        <f>SUM(E8:E38)</f>
        <v>62995</v>
      </c>
      <c r="F39" s="25">
        <f>SUM(F8:F38)</f>
        <v>1741</v>
      </c>
    </row>
    <row r="40" spans="1:6" x14ac:dyDescent="0.2">
      <c r="A40" s="26"/>
      <c r="C40" s="14"/>
      <c r="F40" s="263">
        <f>+summary!P11</f>
        <v>5.91</v>
      </c>
    </row>
    <row r="41" spans="1:6" x14ac:dyDescent="0.2">
      <c r="F41" s="138">
        <f>+F40*F39</f>
        <v>10289.31</v>
      </c>
    </row>
    <row r="42" spans="1:6" x14ac:dyDescent="0.2">
      <c r="A42" s="57">
        <v>36922</v>
      </c>
      <c r="C42" s="15"/>
      <c r="F42" s="387">
        <v>-43661.37</v>
      </c>
    </row>
    <row r="43" spans="1:6" x14ac:dyDescent="0.2">
      <c r="A43" s="57">
        <v>36936</v>
      </c>
      <c r="C43" s="48"/>
      <c r="F43" s="138">
        <f>+F42+F41</f>
        <v>-33372.060000000005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20" sqref="C20"/>
    </sheetView>
  </sheetViews>
  <sheetFormatPr defaultRowHeight="12.75" x14ac:dyDescent="0.2"/>
  <sheetData>
    <row r="5" spans="1:4" ht="15" x14ac:dyDescent="0.25">
      <c r="A5" s="134"/>
      <c r="B5" s="34" t="s">
        <v>122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505647</v>
      </c>
      <c r="C39" s="11">
        <f>SUM(C8:C38)</f>
        <v>564325</v>
      </c>
      <c r="D39" s="25">
        <f>SUM(D8:D38)</f>
        <v>58678</v>
      </c>
    </row>
    <row r="40" spans="1:4" x14ac:dyDescent="0.2">
      <c r="A40" s="26"/>
      <c r="C40" s="14"/>
      <c r="D40" s="263">
        <f>+summary!P11</f>
        <v>5.91</v>
      </c>
    </row>
    <row r="41" spans="1:4" x14ac:dyDescent="0.2">
      <c r="D41" s="138">
        <f>+D40*D39</f>
        <v>346786.98</v>
      </c>
    </row>
    <row r="42" spans="1:4" x14ac:dyDescent="0.2">
      <c r="A42" s="57">
        <v>36922</v>
      </c>
      <c r="C42" s="15"/>
      <c r="D42" s="387">
        <v>111433.22</v>
      </c>
    </row>
    <row r="43" spans="1:4" x14ac:dyDescent="0.2">
      <c r="A43" s="57">
        <v>36936</v>
      </c>
      <c r="C43" s="48"/>
      <c r="D43" s="138">
        <f>+D42+D41</f>
        <v>458220.19999999995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2104239</v>
      </c>
      <c r="C38" s="11">
        <f>SUM(C7:C37)</f>
        <v>2101718</v>
      </c>
      <c r="D38" s="11">
        <f>SUM(D7:D37)</f>
        <v>-2521</v>
      </c>
    </row>
    <row r="39" spans="1:4" x14ac:dyDescent="0.2">
      <c r="A39" s="26"/>
      <c r="C39" s="14"/>
      <c r="D39" s="106">
        <f>+summary!P10</f>
        <v>5.82</v>
      </c>
    </row>
    <row r="40" spans="1:4" x14ac:dyDescent="0.2">
      <c r="D40" s="138">
        <f>+D39*D38</f>
        <v>-14672.220000000001</v>
      </c>
    </row>
    <row r="41" spans="1:4" x14ac:dyDescent="0.2">
      <c r="A41" s="57">
        <v>36922</v>
      </c>
      <c r="C41" s="15"/>
      <c r="D41" s="364">
        <v>-318209</v>
      </c>
    </row>
    <row r="42" spans="1:4" x14ac:dyDescent="0.2">
      <c r="A42" s="57">
        <v>36936</v>
      </c>
      <c r="D42" s="379">
        <f>+D41+D40</f>
        <v>-332881.21999999997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E18" sqref="E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6056</v>
      </c>
      <c r="C17" s="11"/>
      <c r="D17" s="11"/>
      <c r="E17" s="11">
        <v>5000</v>
      </c>
      <c r="F17" s="11">
        <f t="shared" si="0"/>
        <v>1056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6072</v>
      </c>
      <c r="C36" s="44">
        <f>SUM(C5:C35)</f>
        <v>0</v>
      </c>
      <c r="D36" s="43">
        <f>SUM(D5:D35)</f>
        <v>0</v>
      </c>
      <c r="E36" s="44">
        <f>SUM(E5:E35)</f>
        <v>5000</v>
      </c>
      <c r="F36" s="11">
        <f>SUM(F5:F35)</f>
        <v>1072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6072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403">
        <v>1867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36936</v>
      </c>
      <c r="C42" s="14"/>
      <c r="D42" s="50"/>
      <c r="E42" s="50"/>
      <c r="F42" s="51">
        <f>+F41+F36</f>
        <v>2939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6" workbookViewId="1">
      <selection activeCell="C18" sqref="C1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4009475</v>
      </c>
      <c r="C35" s="11">
        <f>SUM(C4:C34)</f>
        <v>3981903</v>
      </c>
      <c r="D35" s="11">
        <f>SUM(D4:D34)</f>
        <v>-27572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36922</v>
      </c>
      <c r="D38" s="391">
        <v>59676</v>
      </c>
    </row>
    <row r="39" spans="1:30" x14ac:dyDescent="0.2">
      <c r="A39" s="12"/>
      <c r="D39" s="24"/>
    </row>
    <row r="40" spans="1:30" x14ac:dyDescent="0.2">
      <c r="A40" s="250">
        <v>36936</v>
      </c>
      <c r="D40" s="24">
        <f>+D38+D35</f>
        <v>32104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E25" sqref="E25:E26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10981326</v>
      </c>
      <c r="C35" s="11">
        <f>SUM(C4:C34)</f>
        <v>10996694</v>
      </c>
      <c r="D35" s="11">
        <f>SUM(D4:D34)</f>
        <v>15368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89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36936</v>
      </c>
      <c r="D40" s="51">
        <f>+D38+D35</f>
        <v>12976</v>
      </c>
      <c r="I40" s="24"/>
    </row>
    <row r="42" spans="1:45" x14ac:dyDescent="0.2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H37" sqref="H3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238102</v>
      </c>
      <c r="C35" s="44">
        <f t="shared" si="1"/>
        <v>101357</v>
      </c>
      <c r="D35" s="11">
        <f t="shared" si="1"/>
        <v>1</v>
      </c>
      <c r="E35" s="44">
        <f t="shared" si="1"/>
        <v>136632</v>
      </c>
      <c r="F35" s="11">
        <f t="shared" si="1"/>
        <v>0</v>
      </c>
      <c r="G35" s="11">
        <f t="shared" si="1"/>
        <v>0</v>
      </c>
      <c r="H35" s="11">
        <f t="shared" si="1"/>
        <v>114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673.74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7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36936</v>
      </c>
      <c r="F39" s="47"/>
      <c r="G39" s="47"/>
      <c r="H39" s="137">
        <f>+H38+H37</f>
        <v>125792.19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3" workbookViewId="1">
      <selection activeCell="E37" sqref="E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4113308</v>
      </c>
      <c r="E36" s="11">
        <f t="shared" si="15"/>
        <v>4121734</v>
      </c>
      <c r="F36" s="11">
        <f t="shared" si="15"/>
        <v>0</v>
      </c>
      <c r="G36" s="11">
        <f t="shared" si="15"/>
        <v>0</v>
      </c>
      <c r="H36" s="11">
        <f t="shared" si="15"/>
        <v>-8426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86">
        <v>-7121</v>
      </c>
      <c r="D37" s="352"/>
      <c r="E37" s="411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36936</v>
      </c>
      <c r="B38" s="2" t="s">
        <v>48</v>
      </c>
      <c r="C38" s="131">
        <f>+C37+C36-B36</f>
        <v>-7121</v>
      </c>
      <c r="D38" s="261"/>
      <c r="E38" s="131">
        <f>+E37+D36-E36</f>
        <v>189647</v>
      </c>
      <c r="F38" s="261"/>
      <c r="G38" s="131"/>
      <c r="H38" s="131">
        <f>+H37+H36</f>
        <v>182526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1639698</v>
      </c>
      <c r="C37" s="11">
        <f>SUM(C6:C36)</f>
        <v>1625411</v>
      </c>
      <c r="D37" s="11">
        <f>SUM(D6:D36)</f>
        <v>-14287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">
      <c r="A39" s="57">
        <v>36922</v>
      </c>
      <c r="C39" s="15"/>
      <c r="D39" s="391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">
      <c r="A40" s="57">
        <v>36936</v>
      </c>
      <c r="C40" s="48"/>
      <c r="D40" s="25">
        <f>+D39+D37</f>
        <v>-46498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2243869</v>
      </c>
      <c r="C39" s="150">
        <f>SUM(C8:C38)</f>
        <v>2253901</v>
      </c>
      <c r="D39" s="152">
        <f>SUM(D8:D38)</f>
        <v>10032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58386.240000000005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402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36936</v>
      </c>
      <c r="C43" s="142"/>
      <c r="D43" s="252">
        <f>+D42+D41</f>
        <v>323211.52000000002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2001-02-14T15:10:52Z</cp:lastPrinted>
  <dcterms:created xsi:type="dcterms:W3CDTF">2000-03-28T16:52:23Z</dcterms:created>
  <dcterms:modified xsi:type="dcterms:W3CDTF">2014-09-05T10:01:19Z</dcterms:modified>
</cp:coreProperties>
</file>