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14940" windowHeight="7875" activeTab="1"/>
  </bookViews>
  <sheets>
    <sheet name="Contracts" sheetId="2" r:id="rId1"/>
    <sheet name="NPV" sheetId="1" r:id="rId2"/>
  </sheets>
  <definedNames>
    <definedName name="_xlnm.Print_Area" localSheetId="1">NPV!$12:$39</definedName>
    <definedName name="_xlnm.Print_Titles" localSheetId="1">NPV!$A:$A</definedName>
  </definedNames>
  <calcPr calcId="152511" fullCalcOnLoad="1"/>
</workbook>
</file>

<file path=xl/calcChain.xml><?xml version="1.0" encoding="utf-8"?>
<calcChain xmlns="http://schemas.openxmlformats.org/spreadsheetml/2006/main">
  <c r="H8" i="2" l="1"/>
  <c r="H9" i="2"/>
  <c r="H10" i="2"/>
  <c r="H11" i="2"/>
  <c r="H12" i="2"/>
  <c r="H13" i="2"/>
  <c r="H15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P7" i="1"/>
  <c r="Q7" i="1"/>
  <c r="R7" i="1"/>
  <c r="P8" i="1"/>
  <c r="P31" i="1" s="1"/>
  <c r="Q8" i="1"/>
  <c r="R8" i="1"/>
  <c r="S8" i="1"/>
  <c r="T8" i="1"/>
  <c r="U8" i="1"/>
  <c r="P9" i="1"/>
  <c r="Q9" i="1"/>
  <c r="R9" i="1"/>
  <c r="R24" i="1" s="1"/>
  <c r="S9" i="1"/>
  <c r="T9" i="1"/>
  <c r="U9" i="1"/>
  <c r="V9" i="1"/>
  <c r="W9" i="1"/>
  <c r="X9" i="1"/>
  <c r="Y9" i="1"/>
  <c r="Z9" i="1"/>
  <c r="Z24" i="1" s="1"/>
  <c r="AA9" i="1"/>
  <c r="AB9" i="1"/>
  <c r="P10" i="1"/>
  <c r="Q10" i="1"/>
  <c r="P11" i="1"/>
  <c r="Q11" i="1"/>
  <c r="R11" i="1"/>
  <c r="S11" i="1"/>
  <c r="I14" i="1" s="1"/>
  <c r="T11" i="1"/>
  <c r="U11" i="1"/>
  <c r="V11" i="1"/>
  <c r="W11" i="1"/>
  <c r="X11" i="1"/>
  <c r="Y11" i="1"/>
  <c r="Z11" i="1"/>
  <c r="AA11" i="1"/>
  <c r="AA15" i="1" s="1"/>
  <c r="AB11" i="1"/>
  <c r="AC11" i="1"/>
  <c r="AD11" i="1"/>
  <c r="AE11" i="1"/>
  <c r="AF11" i="1"/>
  <c r="AG11" i="1"/>
  <c r="AH11" i="1"/>
  <c r="AI11" i="1"/>
  <c r="AI15" i="1" s="1"/>
  <c r="AJ11" i="1"/>
  <c r="AK11" i="1"/>
  <c r="AL11" i="1"/>
  <c r="AM11" i="1"/>
  <c r="AN11" i="1"/>
  <c r="AO11" i="1"/>
  <c r="AP11" i="1"/>
  <c r="AP14" i="1" s="1"/>
  <c r="AQ11" i="1"/>
  <c r="AQ15" i="1" s="1"/>
  <c r="AR11" i="1"/>
  <c r="AS11" i="1"/>
  <c r="AT11" i="1"/>
  <c r="P14" i="1"/>
  <c r="Q14" i="1"/>
  <c r="R14" i="1"/>
  <c r="T14" i="1"/>
  <c r="U14" i="1"/>
  <c r="V14" i="1"/>
  <c r="W14" i="1"/>
  <c r="X14" i="1"/>
  <c r="Y14" i="1"/>
  <c r="Z14" i="1"/>
  <c r="AB14" i="1"/>
  <c r="AC14" i="1"/>
  <c r="AD14" i="1"/>
  <c r="AE14" i="1"/>
  <c r="AF14" i="1"/>
  <c r="AG14" i="1"/>
  <c r="AH14" i="1"/>
  <c r="AJ14" i="1"/>
  <c r="AK14" i="1"/>
  <c r="AL14" i="1"/>
  <c r="AM14" i="1"/>
  <c r="AN14" i="1"/>
  <c r="AO14" i="1"/>
  <c r="AR14" i="1"/>
  <c r="AS14" i="1"/>
  <c r="AT14" i="1"/>
  <c r="P15" i="1"/>
  <c r="Q15" i="1"/>
  <c r="R15" i="1"/>
  <c r="T15" i="1"/>
  <c r="U15" i="1"/>
  <c r="V15" i="1"/>
  <c r="W15" i="1"/>
  <c r="X15" i="1"/>
  <c r="Y15" i="1"/>
  <c r="Z15" i="1"/>
  <c r="AB15" i="1"/>
  <c r="AC15" i="1"/>
  <c r="AD15" i="1"/>
  <c r="AE15" i="1"/>
  <c r="AF15" i="1"/>
  <c r="AG15" i="1"/>
  <c r="AH15" i="1"/>
  <c r="AJ15" i="1"/>
  <c r="AK15" i="1"/>
  <c r="AL15" i="1"/>
  <c r="AM15" i="1"/>
  <c r="AN15" i="1"/>
  <c r="AO15" i="1"/>
  <c r="AP15" i="1"/>
  <c r="AR15" i="1"/>
  <c r="AS15" i="1"/>
  <c r="AT15" i="1"/>
  <c r="H16" i="1"/>
  <c r="P16" i="1"/>
  <c r="F16" i="1" s="1"/>
  <c r="Q16" i="1"/>
  <c r="B16" i="1" s="1"/>
  <c r="R16" i="1"/>
  <c r="C16" i="1" s="1"/>
  <c r="S16" i="1"/>
  <c r="T16" i="1"/>
  <c r="U16" i="1"/>
  <c r="V16" i="1"/>
  <c r="W16" i="1"/>
  <c r="X16" i="1"/>
  <c r="Y16" i="1"/>
  <c r="Z16" i="1"/>
  <c r="AA16" i="1"/>
  <c r="D16" i="1" s="1"/>
  <c r="AB16" i="1"/>
  <c r="AC16" i="1"/>
  <c r="AD16" i="1"/>
  <c r="H17" i="1"/>
  <c r="P17" i="1"/>
  <c r="Q17" i="1"/>
  <c r="R17" i="1"/>
  <c r="T17" i="1"/>
  <c r="U17" i="1"/>
  <c r="V17" i="1"/>
  <c r="W17" i="1"/>
  <c r="X17" i="1"/>
  <c r="Y17" i="1"/>
  <c r="Z17" i="1"/>
  <c r="AB17" i="1"/>
  <c r="AC17" i="1"/>
  <c r="AD17" i="1"/>
  <c r="H18" i="1"/>
  <c r="I18" i="1"/>
  <c r="P18" i="1"/>
  <c r="Q18" i="1"/>
  <c r="R18" i="1"/>
  <c r="T18" i="1"/>
  <c r="D19" i="1"/>
  <c r="H19" i="1"/>
  <c r="P19" i="1"/>
  <c r="F19" i="1" s="1"/>
  <c r="Q19" i="1"/>
  <c r="R19" i="1"/>
  <c r="C19" i="1" s="1"/>
  <c r="S19" i="1"/>
  <c r="T19" i="1"/>
  <c r="H20" i="1"/>
  <c r="I20" i="1"/>
  <c r="P20" i="1"/>
  <c r="B20" i="1" s="1"/>
  <c r="Q20" i="1"/>
  <c r="B21" i="1"/>
  <c r="D21" i="1"/>
  <c r="F21" i="1"/>
  <c r="H21" i="1"/>
  <c r="I21" i="1"/>
  <c r="P21" i="1"/>
  <c r="C21" i="1" s="1"/>
  <c r="E21" i="1" s="1"/>
  <c r="F22" i="1"/>
  <c r="I22" i="1"/>
  <c r="P22" i="1"/>
  <c r="B22" i="1" s="1"/>
  <c r="Q22" i="1"/>
  <c r="H23" i="1"/>
  <c r="P23" i="1"/>
  <c r="Q23" i="1"/>
  <c r="R23" i="1"/>
  <c r="T23" i="1"/>
  <c r="U23" i="1"/>
  <c r="V23" i="1"/>
  <c r="W23" i="1"/>
  <c r="X23" i="1"/>
  <c r="Y23" i="1"/>
  <c r="Z23" i="1"/>
  <c r="AB23" i="1"/>
  <c r="AC23" i="1"/>
  <c r="AD23" i="1"/>
  <c r="P24" i="1"/>
  <c r="B24" i="1" s="1"/>
  <c r="Q24" i="1"/>
  <c r="S24" i="1"/>
  <c r="T24" i="1"/>
  <c r="U24" i="1"/>
  <c r="V24" i="1"/>
  <c r="W24" i="1"/>
  <c r="X24" i="1"/>
  <c r="Y24" i="1"/>
  <c r="AA24" i="1"/>
  <c r="AB24" i="1"/>
  <c r="F25" i="1"/>
  <c r="H25" i="1"/>
  <c r="I25" i="1"/>
  <c r="P25" i="1"/>
  <c r="B25" i="1" s="1"/>
  <c r="Q25" i="1"/>
  <c r="D26" i="1"/>
  <c r="F26" i="1"/>
  <c r="H26" i="1"/>
  <c r="I26" i="1"/>
  <c r="P26" i="1"/>
  <c r="Q26" i="1"/>
  <c r="B26" i="1" s="1"/>
  <c r="C27" i="1"/>
  <c r="E27" i="1" s="1"/>
  <c r="D27" i="1"/>
  <c r="H27" i="1"/>
  <c r="I27" i="1"/>
  <c r="P27" i="1"/>
  <c r="F27" i="1" s="1"/>
  <c r="Q27" i="1"/>
  <c r="B27" i="1" s="1"/>
  <c r="C28" i="1"/>
  <c r="E28" i="1" s="1"/>
  <c r="H28" i="1"/>
  <c r="I28" i="1"/>
  <c r="P28" i="1"/>
  <c r="Q28" i="1"/>
  <c r="D28" i="1" s="1"/>
  <c r="B29" i="1"/>
  <c r="H29" i="1"/>
  <c r="I29" i="1"/>
  <c r="P29" i="1"/>
  <c r="C29" i="1" s="1"/>
  <c r="E29" i="1" s="1"/>
  <c r="Q29" i="1"/>
  <c r="H30" i="1"/>
  <c r="I30" i="1"/>
  <c r="P30" i="1"/>
  <c r="B30" i="1" s="1"/>
  <c r="Q30" i="1"/>
  <c r="H31" i="1"/>
  <c r="I31" i="1"/>
  <c r="Q31" i="1"/>
  <c r="R31" i="1"/>
  <c r="S31" i="1"/>
  <c r="T31" i="1"/>
  <c r="U31" i="1"/>
  <c r="H32" i="1"/>
  <c r="I32" i="1"/>
  <c r="P32" i="1"/>
  <c r="Q32" i="1"/>
  <c r="R32" i="1"/>
  <c r="T32" i="1"/>
  <c r="H33" i="1"/>
  <c r="P33" i="1"/>
  <c r="Q33" i="1"/>
  <c r="R33" i="1"/>
  <c r="T33" i="1"/>
  <c r="U33" i="1"/>
  <c r="V33" i="1"/>
  <c r="W33" i="1"/>
  <c r="X33" i="1"/>
  <c r="Y33" i="1"/>
  <c r="Z33" i="1"/>
  <c r="AB33" i="1"/>
  <c r="AC33" i="1"/>
  <c r="AD33" i="1"/>
  <c r="H34" i="1"/>
  <c r="I34" i="1"/>
  <c r="P34" i="1"/>
  <c r="B34" i="1" s="1"/>
  <c r="H35" i="1"/>
  <c r="I35" i="1"/>
  <c r="P35" i="1"/>
  <c r="B35" i="1" s="1"/>
  <c r="H36" i="1"/>
  <c r="P36" i="1"/>
  <c r="Q36" i="1"/>
  <c r="R36" i="1"/>
  <c r="T36" i="1"/>
  <c r="H37" i="1"/>
  <c r="P37" i="1"/>
  <c r="Q37" i="1"/>
  <c r="R37" i="1"/>
  <c r="T37" i="1"/>
  <c r="J39" i="1"/>
  <c r="B18" i="1" l="1"/>
  <c r="B36" i="1"/>
  <c r="B37" i="1"/>
  <c r="C23" i="1"/>
  <c r="E23" i="1" s="1"/>
  <c r="B31" i="1"/>
  <c r="C31" i="1"/>
  <c r="E31" i="1" s="1"/>
  <c r="D31" i="1"/>
  <c r="F31" i="1"/>
  <c r="I36" i="1"/>
  <c r="B28" i="1"/>
  <c r="C32" i="1"/>
  <c r="E32" i="1" s="1"/>
  <c r="S37" i="1"/>
  <c r="C26" i="1"/>
  <c r="E26" i="1" s="1"/>
  <c r="D25" i="1"/>
  <c r="I24" i="1"/>
  <c r="F20" i="1"/>
  <c r="B19" i="1"/>
  <c r="F18" i="1"/>
  <c r="AA17" i="1"/>
  <c r="D17" i="1" s="1"/>
  <c r="S17" i="1"/>
  <c r="B17" i="1" s="1"/>
  <c r="I15" i="1"/>
  <c r="C37" i="1"/>
  <c r="F34" i="1"/>
  <c r="S33" i="1"/>
  <c r="F33" i="1" s="1"/>
  <c r="C25" i="1"/>
  <c r="E25" i="1" s="1"/>
  <c r="F24" i="1"/>
  <c r="AA23" i="1"/>
  <c r="B23" i="1" s="1"/>
  <c r="S23" i="1"/>
  <c r="D22" i="1"/>
  <c r="F15" i="1"/>
  <c r="AQ14" i="1"/>
  <c r="AI14" i="1"/>
  <c r="AA14" i="1"/>
  <c r="C14" i="1" s="1"/>
  <c r="S14" i="1"/>
  <c r="F36" i="1"/>
  <c r="F35" i="1"/>
  <c r="AA33" i="1"/>
  <c r="D33" i="1"/>
  <c r="F30" i="1"/>
  <c r="F29" i="1"/>
  <c r="C22" i="1"/>
  <c r="E22" i="1" s="1"/>
  <c r="D20" i="1"/>
  <c r="I19" i="1"/>
  <c r="E19" i="1" s="1"/>
  <c r="S18" i="1"/>
  <c r="D18" i="1"/>
  <c r="I16" i="1"/>
  <c r="E16" i="1" s="1"/>
  <c r="I37" i="1"/>
  <c r="S36" i="1"/>
  <c r="D35" i="1"/>
  <c r="D30" i="1"/>
  <c r="F28" i="1"/>
  <c r="D24" i="1"/>
  <c r="C20" i="1"/>
  <c r="E20" i="1" s="1"/>
  <c r="C18" i="1"/>
  <c r="E18" i="1" s="1"/>
  <c r="D36" i="1"/>
  <c r="D34" i="1"/>
  <c r="C36" i="1"/>
  <c r="E36" i="1" s="1"/>
  <c r="C35" i="1"/>
  <c r="E35" i="1" s="1"/>
  <c r="C34" i="1"/>
  <c r="E34" i="1" s="1"/>
  <c r="C30" i="1"/>
  <c r="E30" i="1" s="1"/>
  <c r="D29" i="1"/>
  <c r="C24" i="1"/>
  <c r="E24" i="1" s="1"/>
  <c r="I17" i="1"/>
  <c r="I39" i="1" s="1"/>
  <c r="S15" i="1"/>
  <c r="D15" i="1" s="1"/>
  <c r="I33" i="1"/>
  <c r="S32" i="1"/>
  <c r="D32" i="1" s="1"/>
  <c r="I23" i="1"/>
  <c r="E14" i="1" l="1"/>
  <c r="C17" i="1"/>
  <c r="E17" i="1" s="1"/>
  <c r="B32" i="1"/>
  <c r="E37" i="1"/>
  <c r="C33" i="1"/>
  <c r="E33" i="1" s="1"/>
  <c r="D23" i="1"/>
  <c r="D14" i="1"/>
  <c r="D39" i="1" s="1"/>
  <c r="B14" i="1"/>
  <c r="C15" i="1"/>
  <c r="E15" i="1" s="1"/>
  <c r="F32" i="1"/>
  <c r="F14" i="1"/>
  <c r="F23" i="1"/>
  <c r="B15" i="1"/>
  <c r="F17" i="1"/>
  <c r="F37" i="1"/>
  <c r="D37" i="1"/>
  <c r="B33" i="1"/>
  <c r="F39" i="1" l="1"/>
  <c r="B39" i="1"/>
  <c r="C39" i="1"/>
</calcChain>
</file>

<file path=xl/sharedStrings.xml><?xml version="1.0" encoding="utf-8"?>
<sst xmlns="http://schemas.openxmlformats.org/spreadsheetml/2006/main" count="143" uniqueCount="47">
  <si>
    <t>Discount Rate</t>
  </si>
  <si>
    <t>Shipper</t>
  </si>
  <si>
    <t>NPV @ 7.5%</t>
  </si>
  <si>
    <t>Gross Value</t>
  </si>
  <si>
    <t>Term (Yrs)</t>
  </si>
  <si>
    <t>Volume</t>
  </si>
  <si>
    <t>PPL</t>
  </si>
  <si>
    <t>30Yrs, 1 Month</t>
  </si>
  <si>
    <t>Western</t>
  </si>
  <si>
    <t>Dyergy</t>
  </si>
  <si>
    <t>Total</t>
  </si>
  <si>
    <t>Terms (Yrs)</t>
  </si>
  <si>
    <t>Term (months)</t>
  </si>
  <si>
    <t>Receipt</t>
  </si>
  <si>
    <t>Delivery</t>
  </si>
  <si>
    <t>EOT</t>
  </si>
  <si>
    <t>Citizens/Griffith</t>
  </si>
  <si>
    <t>SoCal Needles</t>
  </si>
  <si>
    <t>Aquila</t>
  </si>
  <si>
    <t>AEP</t>
  </si>
  <si>
    <t>PG&amp;E Topock</t>
  </si>
  <si>
    <t>Oneok</t>
  </si>
  <si>
    <t>Calpine</t>
  </si>
  <si>
    <t>US Gypsum</t>
  </si>
  <si>
    <t>Conoco</t>
  </si>
  <si>
    <t>Conoco Canada</t>
  </si>
  <si>
    <t>Conoco Lobo</t>
  </si>
  <si>
    <t>Conoco Raptor</t>
  </si>
  <si>
    <t>BP Energy</t>
  </si>
  <si>
    <t>Frito Lay</t>
  </si>
  <si>
    <t>Newark Group</t>
  </si>
  <si>
    <t>Term (Months)</t>
  </si>
  <si>
    <t>Annual Contracts</t>
  </si>
  <si>
    <t>1Yr, 10 Months</t>
  </si>
  <si>
    <t>12 Yrs, 3Months</t>
  </si>
  <si>
    <t>Term (Days)</t>
  </si>
  <si>
    <t>Transwestern Pipeline Company</t>
  </si>
  <si>
    <t>Red Rock Expanion</t>
  </si>
  <si>
    <t xml:space="preserve">Contracts </t>
  </si>
  <si>
    <t>Rate -1Yr</t>
  </si>
  <si>
    <t>Rate -2Yr</t>
  </si>
  <si>
    <t>Rate -3Yr</t>
  </si>
  <si>
    <t>Rate -4Yr</t>
  </si>
  <si>
    <t>Rate -5Yr</t>
  </si>
  <si>
    <t>NPV @ 0%</t>
  </si>
  <si>
    <t>NPV @ 15%</t>
  </si>
  <si>
    <t>Per Unit (7.5% NPV)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</si>
</sst>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8" formatCode="_(&quot;$&quot;* #,##0_);_(&quot;$&quot;* \(#,##0\);_(&quot;$&quot;* &quot;-&quot;??_);_(@_)"/>
    <numFmt numFmtId="176" formatCode="_(&quot;$&quot;* #,##0.0000_);_(&quot;$&quot;* \(#,##0.00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0" fontId="1" fillId="0" borderId="0" xfId="3" applyNumberFormat="1"/>
    <xf numFmtId="168" fontId="1" fillId="0" borderId="0" xfId="2" applyNumberFormat="1"/>
    <xf numFmtId="165" fontId="1" fillId="0" borderId="0" xfId="1" applyNumberFormat="1"/>
    <xf numFmtId="44" fontId="1" fillId="0" borderId="0" xfId="2"/>
    <xf numFmtId="0" fontId="0" fillId="0" borderId="1" xfId="0" applyBorder="1"/>
    <xf numFmtId="168" fontId="1" fillId="0" borderId="2" xfId="2" applyNumberFormat="1" applyBorder="1"/>
    <xf numFmtId="168" fontId="1" fillId="0" borderId="2" xfId="2" applyNumberFormat="1" applyFont="1" applyBorder="1"/>
    <xf numFmtId="0" fontId="0" fillId="0" borderId="2" xfId="0" applyBorder="1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/>
    <xf numFmtId="0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76" fontId="1" fillId="0" borderId="0" xfId="2" applyNumberFormat="1"/>
    <xf numFmtId="165" fontId="1" fillId="0" borderId="0" xfId="2" applyNumberFormat="1"/>
    <xf numFmtId="0" fontId="2" fillId="0" borderId="0" xfId="0" applyFont="1"/>
    <xf numFmtId="9" fontId="0" fillId="0" borderId="0" xfId="3" applyFont="1"/>
    <xf numFmtId="165" fontId="1" fillId="0" borderId="3" xfId="1" applyNumberForma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I2" sqref="I2"/>
    </sheetView>
  </sheetViews>
  <sheetFormatPr defaultRowHeight="12.75" x14ac:dyDescent="0.2"/>
  <cols>
    <col min="1" max="1" width="15.140625" customWidth="1"/>
    <col min="2" max="2" width="8.85546875" style="4" bestFit="1" customWidth="1"/>
    <col min="3" max="6" width="8.85546875" style="4" customWidth="1"/>
    <col min="7" max="7" width="14.7109375" bestFit="1" customWidth="1"/>
    <col min="8" max="8" width="13" bestFit="1" customWidth="1"/>
    <col min="9" max="9" width="7.28515625" bestFit="1" customWidth="1"/>
    <col min="10" max="10" width="13.5703125" bestFit="1" customWidth="1"/>
    <col min="11" max="11" width="10.28515625" style="3" bestFit="1" customWidth="1"/>
    <col min="12" max="12" width="14.85546875" style="2" bestFit="1" customWidth="1"/>
    <col min="13" max="13" width="7.5703125" bestFit="1" customWidth="1"/>
  </cols>
  <sheetData>
    <row r="1" spans="1:11" ht="15.75" x14ac:dyDescent="0.25">
      <c r="A1" s="16" t="s">
        <v>36</v>
      </c>
    </row>
    <row r="2" spans="1:11" ht="15.75" x14ac:dyDescent="0.25">
      <c r="A2" s="16" t="s">
        <v>37</v>
      </c>
    </row>
    <row r="3" spans="1:11" ht="15.75" x14ac:dyDescent="0.25">
      <c r="A3" s="16" t="s">
        <v>38</v>
      </c>
    </row>
    <row r="4" spans="1:11" ht="13.5" thickBot="1" x14ac:dyDescent="0.25"/>
    <row r="5" spans="1:11" ht="13.5" thickBot="1" x14ac:dyDescent="0.25">
      <c r="A5" s="5" t="s">
        <v>1</v>
      </c>
      <c r="B5" s="8" t="s">
        <v>39</v>
      </c>
      <c r="C5" s="8" t="s">
        <v>40</v>
      </c>
      <c r="D5" s="8" t="s">
        <v>41</v>
      </c>
      <c r="E5" s="8" t="s">
        <v>42</v>
      </c>
      <c r="F5" s="8" t="s">
        <v>43</v>
      </c>
      <c r="G5" s="8" t="s">
        <v>11</v>
      </c>
      <c r="H5" s="8" t="s">
        <v>12</v>
      </c>
      <c r="I5" s="8" t="s">
        <v>13</v>
      </c>
      <c r="J5" s="8" t="s">
        <v>14</v>
      </c>
      <c r="K5" s="18" t="s">
        <v>5</v>
      </c>
    </row>
    <row r="6" spans="1:11" x14ac:dyDescent="0.2">
      <c r="A6" t="s">
        <v>6</v>
      </c>
      <c r="B6" s="4">
        <v>0.35</v>
      </c>
      <c r="G6" t="s">
        <v>7</v>
      </c>
      <c r="H6">
        <v>361</v>
      </c>
      <c r="I6" t="s">
        <v>15</v>
      </c>
      <c r="J6" t="s">
        <v>16</v>
      </c>
      <c r="K6" s="3">
        <v>8000</v>
      </c>
    </row>
    <row r="7" spans="1:11" x14ac:dyDescent="0.2">
      <c r="A7" t="s">
        <v>6</v>
      </c>
      <c r="B7" s="4">
        <v>0.4</v>
      </c>
      <c r="G7" t="s">
        <v>7</v>
      </c>
      <c r="H7">
        <v>361</v>
      </c>
      <c r="I7" t="s">
        <v>15</v>
      </c>
      <c r="J7" t="s">
        <v>17</v>
      </c>
      <c r="K7" s="3">
        <v>12000</v>
      </c>
    </row>
    <row r="8" spans="1:11" x14ac:dyDescent="0.2">
      <c r="A8" t="s">
        <v>8</v>
      </c>
      <c r="B8" s="4">
        <v>0.38</v>
      </c>
      <c r="G8">
        <v>15</v>
      </c>
      <c r="H8">
        <f>+G8*12</f>
        <v>180</v>
      </c>
      <c r="I8" t="s">
        <v>15</v>
      </c>
      <c r="J8" t="s">
        <v>17</v>
      </c>
      <c r="K8" s="3">
        <v>5000</v>
      </c>
    </row>
    <row r="9" spans="1:11" x14ac:dyDescent="0.2">
      <c r="A9" t="s">
        <v>8</v>
      </c>
      <c r="B9" s="4">
        <v>0.39</v>
      </c>
      <c r="G9">
        <v>15</v>
      </c>
      <c r="H9">
        <f>+G9*12</f>
        <v>180</v>
      </c>
      <c r="I9" t="s">
        <v>15</v>
      </c>
      <c r="J9" t="s">
        <v>17</v>
      </c>
      <c r="K9" s="3">
        <v>5000</v>
      </c>
    </row>
    <row r="10" spans="1:11" x14ac:dyDescent="0.2">
      <c r="A10" t="s">
        <v>9</v>
      </c>
      <c r="B10" s="4">
        <v>0.55000000000000004</v>
      </c>
      <c r="G10">
        <v>5</v>
      </c>
      <c r="H10">
        <f>+G10*12</f>
        <v>60</v>
      </c>
      <c r="I10" t="s">
        <v>15</v>
      </c>
      <c r="J10" t="s">
        <v>17</v>
      </c>
      <c r="K10" s="3">
        <v>30000</v>
      </c>
    </row>
    <row r="11" spans="1:11" x14ac:dyDescent="0.2">
      <c r="A11" t="s">
        <v>18</v>
      </c>
      <c r="B11" s="4">
        <v>0.63</v>
      </c>
      <c r="G11">
        <v>5</v>
      </c>
      <c r="H11">
        <f t="shared" ref="H11:H29" si="0">+G11*12</f>
        <v>60</v>
      </c>
      <c r="I11" t="s">
        <v>15</v>
      </c>
      <c r="J11" t="s">
        <v>17</v>
      </c>
      <c r="K11" s="3">
        <v>50000</v>
      </c>
    </row>
    <row r="12" spans="1:11" x14ac:dyDescent="0.2">
      <c r="A12" t="s">
        <v>19</v>
      </c>
      <c r="B12" s="4">
        <v>0.63</v>
      </c>
      <c r="G12">
        <v>2</v>
      </c>
      <c r="H12">
        <f t="shared" si="0"/>
        <v>24</v>
      </c>
      <c r="I12" t="s">
        <v>15</v>
      </c>
      <c r="J12" t="s">
        <v>17</v>
      </c>
      <c r="K12" s="3">
        <v>20000</v>
      </c>
    </row>
    <row r="13" spans="1:11" x14ac:dyDescent="0.2">
      <c r="A13" t="s">
        <v>19</v>
      </c>
      <c r="B13" s="4">
        <v>0.63</v>
      </c>
      <c r="G13">
        <v>1</v>
      </c>
      <c r="H13">
        <f t="shared" si="0"/>
        <v>12</v>
      </c>
      <c r="I13" t="s">
        <v>15</v>
      </c>
      <c r="J13" t="s">
        <v>20</v>
      </c>
      <c r="K13" s="3">
        <v>10000</v>
      </c>
    </row>
    <row r="14" spans="1:11" x14ac:dyDescent="0.2">
      <c r="A14" t="s">
        <v>21</v>
      </c>
      <c r="B14" s="4">
        <v>1.75</v>
      </c>
      <c r="C14" s="4">
        <v>0.75</v>
      </c>
      <c r="G14" s="11" t="s">
        <v>33</v>
      </c>
      <c r="H14">
        <v>22</v>
      </c>
      <c r="I14" t="s">
        <v>15</v>
      </c>
      <c r="J14" t="s">
        <v>17</v>
      </c>
      <c r="K14" s="3">
        <v>50000</v>
      </c>
    </row>
    <row r="15" spans="1:11" x14ac:dyDescent="0.2">
      <c r="A15" t="s">
        <v>22</v>
      </c>
      <c r="B15" s="4">
        <v>0.38</v>
      </c>
      <c r="G15">
        <v>15</v>
      </c>
      <c r="H15">
        <f t="shared" si="0"/>
        <v>180</v>
      </c>
      <c r="I15" t="s">
        <v>15</v>
      </c>
      <c r="J15" t="s">
        <v>20</v>
      </c>
      <c r="K15" s="3">
        <v>40000</v>
      </c>
    </row>
    <row r="16" spans="1:11" x14ac:dyDescent="0.2">
      <c r="A16" t="s">
        <v>23</v>
      </c>
      <c r="B16" s="4">
        <v>0.42</v>
      </c>
      <c r="G16" t="s">
        <v>34</v>
      </c>
      <c r="H16">
        <v>147</v>
      </c>
      <c r="I16" t="s">
        <v>15</v>
      </c>
      <c r="J16" t="s">
        <v>17</v>
      </c>
      <c r="K16" s="3">
        <v>4500</v>
      </c>
    </row>
    <row r="17" spans="1:11" x14ac:dyDescent="0.2">
      <c r="A17" t="s">
        <v>24</v>
      </c>
      <c r="B17" s="4">
        <v>0.84</v>
      </c>
      <c r="G17">
        <v>2</v>
      </c>
      <c r="H17">
        <f t="shared" si="0"/>
        <v>24</v>
      </c>
      <c r="I17" t="s">
        <v>15</v>
      </c>
      <c r="J17" t="s">
        <v>17</v>
      </c>
      <c r="K17" s="3">
        <v>50000</v>
      </c>
    </row>
    <row r="18" spans="1:11" x14ac:dyDescent="0.2">
      <c r="A18" t="s">
        <v>25</v>
      </c>
      <c r="B18" s="4">
        <v>0.84</v>
      </c>
      <c r="G18">
        <v>2</v>
      </c>
      <c r="H18">
        <f t="shared" si="0"/>
        <v>24</v>
      </c>
      <c r="I18" t="s">
        <v>15</v>
      </c>
      <c r="J18" t="s">
        <v>17</v>
      </c>
      <c r="K18" s="3">
        <v>50000</v>
      </c>
    </row>
    <row r="19" spans="1:11" x14ac:dyDescent="0.2">
      <c r="A19" t="s">
        <v>26</v>
      </c>
      <c r="B19" s="4">
        <v>0.84</v>
      </c>
      <c r="G19">
        <v>2</v>
      </c>
      <c r="H19">
        <f t="shared" si="0"/>
        <v>24</v>
      </c>
      <c r="I19" t="s">
        <v>15</v>
      </c>
      <c r="J19" t="s">
        <v>17</v>
      </c>
      <c r="K19" s="3">
        <v>50000</v>
      </c>
    </row>
    <row r="20" spans="1:11" x14ac:dyDescent="0.2">
      <c r="A20" t="s">
        <v>26</v>
      </c>
      <c r="B20" s="4">
        <v>0.81</v>
      </c>
      <c r="G20">
        <v>2</v>
      </c>
      <c r="H20">
        <f t="shared" si="0"/>
        <v>24</v>
      </c>
      <c r="I20" t="s">
        <v>15</v>
      </c>
      <c r="J20" t="s">
        <v>17</v>
      </c>
      <c r="K20" s="3">
        <v>50000</v>
      </c>
    </row>
    <row r="21" spans="1:11" x14ac:dyDescent="0.2">
      <c r="A21" t="s">
        <v>27</v>
      </c>
      <c r="B21" s="4">
        <v>0.81</v>
      </c>
      <c r="G21">
        <v>2</v>
      </c>
      <c r="H21">
        <f t="shared" si="0"/>
        <v>24</v>
      </c>
      <c r="I21" t="s">
        <v>15</v>
      </c>
      <c r="J21" t="s">
        <v>17</v>
      </c>
      <c r="K21" s="3">
        <v>50000</v>
      </c>
    </row>
    <row r="22" spans="1:11" x14ac:dyDescent="0.2">
      <c r="A22" t="s">
        <v>27</v>
      </c>
      <c r="B22" s="4">
        <v>0.84</v>
      </c>
      <c r="G22">
        <v>2</v>
      </c>
      <c r="H22">
        <f t="shared" si="0"/>
        <v>24</v>
      </c>
      <c r="I22" t="s">
        <v>15</v>
      </c>
      <c r="J22" t="s">
        <v>17</v>
      </c>
      <c r="K22" s="3">
        <v>50000</v>
      </c>
    </row>
    <row r="23" spans="1:11" x14ac:dyDescent="0.2">
      <c r="A23" t="s">
        <v>28</v>
      </c>
      <c r="B23" s="4">
        <v>1.1200000000000001</v>
      </c>
      <c r="C23" s="4">
        <v>0.76</v>
      </c>
      <c r="D23" s="4">
        <v>0.43</v>
      </c>
      <c r="E23" s="4">
        <v>0.38</v>
      </c>
      <c r="F23" s="4">
        <v>0.38</v>
      </c>
      <c r="G23">
        <v>5</v>
      </c>
      <c r="H23">
        <f t="shared" si="0"/>
        <v>60</v>
      </c>
      <c r="I23" t="s">
        <v>15</v>
      </c>
      <c r="J23" t="s">
        <v>17</v>
      </c>
      <c r="K23" s="3">
        <v>15000</v>
      </c>
    </row>
    <row r="24" spans="1:11" x14ac:dyDescent="0.2">
      <c r="A24" t="s">
        <v>28</v>
      </c>
      <c r="B24" s="4">
        <v>1.7230000000000001</v>
      </c>
      <c r="C24" s="4">
        <v>0.36399999999999999</v>
      </c>
      <c r="D24" s="4">
        <v>0.20449999999999999</v>
      </c>
      <c r="E24" s="4">
        <v>0.2009</v>
      </c>
      <c r="F24" s="4">
        <v>0.20119999999999999</v>
      </c>
      <c r="G24">
        <v>5</v>
      </c>
      <c r="H24">
        <f t="shared" si="0"/>
        <v>60</v>
      </c>
      <c r="I24" t="s">
        <v>15</v>
      </c>
      <c r="J24" t="s">
        <v>17</v>
      </c>
      <c r="K24" s="3">
        <v>15000</v>
      </c>
    </row>
    <row r="25" spans="1:11" x14ac:dyDescent="0.2">
      <c r="A25" t="s">
        <v>29</v>
      </c>
      <c r="B25" s="4">
        <v>0.38</v>
      </c>
      <c r="G25">
        <v>15</v>
      </c>
      <c r="H25">
        <f t="shared" si="0"/>
        <v>180</v>
      </c>
      <c r="I25" t="s">
        <v>15</v>
      </c>
      <c r="J25" t="s">
        <v>17</v>
      </c>
      <c r="K25" s="3">
        <v>2700</v>
      </c>
    </row>
    <row r="26" spans="1:11" x14ac:dyDescent="0.2">
      <c r="A26" t="s">
        <v>29</v>
      </c>
      <c r="B26" s="4">
        <v>2.2000000000000002</v>
      </c>
      <c r="G26">
        <v>1</v>
      </c>
      <c r="H26">
        <f t="shared" si="0"/>
        <v>12</v>
      </c>
      <c r="I26" t="s">
        <v>15</v>
      </c>
      <c r="J26" t="s">
        <v>17</v>
      </c>
      <c r="K26" s="3">
        <v>3300</v>
      </c>
    </row>
    <row r="27" spans="1:11" x14ac:dyDescent="0.2">
      <c r="A27" t="s">
        <v>29</v>
      </c>
      <c r="B27" s="4">
        <v>2.2000000000000002</v>
      </c>
      <c r="G27">
        <v>1</v>
      </c>
      <c r="H27">
        <f t="shared" si="0"/>
        <v>12</v>
      </c>
      <c r="I27" t="s">
        <v>15</v>
      </c>
      <c r="J27" t="s">
        <v>17</v>
      </c>
      <c r="K27" s="3">
        <v>2000</v>
      </c>
    </row>
    <row r="28" spans="1:11" x14ac:dyDescent="0.2">
      <c r="A28" t="s">
        <v>30</v>
      </c>
      <c r="B28" s="4">
        <v>0.65</v>
      </c>
      <c r="G28">
        <v>5</v>
      </c>
      <c r="H28">
        <f t="shared" si="0"/>
        <v>60</v>
      </c>
      <c r="I28" t="s">
        <v>15</v>
      </c>
      <c r="J28" t="s">
        <v>17</v>
      </c>
      <c r="K28" s="3">
        <v>800</v>
      </c>
    </row>
    <row r="29" spans="1:11" x14ac:dyDescent="0.2">
      <c r="A29" t="s">
        <v>30</v>
      </c>
      <c r="B29" s="4">
        <v>0.15</v>
      </c>
      <c r="G29">
        <v>5</v>
      </c>
      <c r="H29">
        <f t="shared" si="0"/>
        <v>60</v>
      </c>
      <c r="I29" t="s">
        <v>15</v>
      </c>
      <c r="J29" t="s">
        <v>20</v>
      </c>
      <c r="K29" s="3">
        <v>1500</v>
      </c>
    </row>
  </sheetData>
  <pageMargins left="0.75" right="0.75" top="0.5" bottom="0.49" header="0.5" footer="0.5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1"/>
  <sheetViews>
    <sheetView tabSelected="1" topLeftCell="I4" workbookViewId="0">
      <selection activeCell="U31" sqref="U31"/>
    </sheetView>
  </sheetViews>
  <sheetFormatPr defaultRowHeight="12.75" x14ac:dyDescent="0.2"/>
  <cols>
    <col min="1" max="1" width="15.28515625" customWidth="1"/>
    <col min="2" max="2" width="13.28515625" bestFit="1" customWidth="1"/>
    <col min="3" max="3" width="13.28515625" style="2" bestFit="1" customWidth="1"/>
    <col min="4" max="4" width="13.28515625" style="2" customWidth="1"/>
    <col min="5" max="5" width="19.28515625" style="2" bestFit="1" customWidth="1"/>
    <col min="6" max="6" width="13.28515625" style="2" bestFit="1" customWidth="1"/>
    <col min="7" max="7" width="14.7109375" bestFit="1" customWidth="1"/>
    <col min="8" max="8" width="13" bestFit="1" customWidth="1"/>
    <col min="9" max="9" width="11.140625" bestFit="1" customWidth="1"/>
    <col min="10" max="10" width="8.7109375" bestFit="1" customWidth="1"/>
    <col min="11" max="15" width="8.85546875" bestFit="1" customWidth="1"/>
    <col min="16" max="20" width="12.28515625" bestFit="1" customWidth="1"/>
    <col min="21" max="45" width="11.28515625" bestFit="1" customWidth="1"/>
    <col min="46" max="46" width="9.7109375" bestFit="1" customWidth="1"/>
  </cols>
  <sheetData>
    <row r="1" spans="1:46" ht="15.75" x14ac:dyDescent="0.25">
      <c r="A1" s="16" t="s">
        <v>36</v>
      </c>
      <c r="B1" s="16"/>
    </row>
    <row r="2" spans="1:46" ht="15.75" x14ac:dyDescent="0.25">
      <c r="A2" s="16" t="s">
        <v>37</v>
      </c>
      <c r="B2" s="16"/>
    </row>
    <row r="3" spans="1:46" ht="15.75" x14ac:dyDescent="0.25">
      <c r="A3" s="16" t="s">
        <v>38</v>
      </c>
      <c r="B3" s="16"/>
    </row>
    <row r="4" spans="1:46" x14ac:dyDescent="0.2">
      <c r="P4" s="13">
        <v>1</v>
      </c>
      <c r="Q4" s="13">
        <v>2</v>
      </c>
      <c r="R4" s="13">
        <v>3</v>
      </c>
      <c r="S4" s="13">
        <v>4</v>
      </c>
      <c r="T4" s="13">
        <v>5</v>
      </c>
      <c r="U4" s="13">
        <v>6</v>
      </c>
      <c r="V4" s="13">
        <v>7</v>
      </c>
      <c r="W4" s="13">
        <v>8</v>
      </c>
      <c r="X4" s="13">
        <v>9</v>
      </c>
      <c r="Y4" s="13">
        <v>10</v>
      </c>
      <c r="Z4" s="13">
        <v>11</v>
      </c>
      <c r="AA4" s="13">
        <v>12</v>
      </c>
      <c r="AB4" s="13">
        <v>13</v>
      </c>
      <c r="AC4" s="13">
        <v>14</v>
      </c>
      <c r="AD4" s="13">
        <v>15</v>
      </c>
      <c r="AE4" s="13">
        <v>16</v>
      </c>
      <c r="AF4" s="13">
        <v>17</v>
      </c>
      <c r="AG4" s="13">
        <v>18</v>
      </c>
      <c r="AH4" s="13">
        <v>19</v>
      </c>
      <c r="AI4" s="13">
        <v>20</v>
      </c>
      <c r="AJ4" s="13">
        <v>21</v>
      </c>
      <c r="AK4" s="13">
        <v>22</v>
      </c>
      <c r="AL4" s="13">
        <v>23</v>
      </c>
      <c r="AM4" s="13">
        <v>24</v>
      </c>
      <c r="AN4" s="13">
        <v>25</v>
      </c>
      <c r="AO4" s="13">
        <v>26</v>
      </c>
      <c r="AP4" s="13">
        <v>27</v>
      </c>
      <c r="AQ4" s="13">
        <v>28</v>
      </c>
      <c r="AR4" s="13">
        <v>29</v>
      </c>
      <c r="AS4" s="13">
        <v>30</v>
      </c>
      <c r="AT4" s="13">
        <v>31</v>
      </c>
    </row>
    <row r="5" spans="1:46" x14ac:dyDescent="0.2">
      <c r="E5" s="1"/>
    </row>
    <row r="7" spans="1:46" x14ac:dyDescent="0.2">
      <c r="A7" t="s">
        <v>28</v>
      </c>
      <c r="P7">
        <f>"6/1/03"-"6/1/02"</f>
        <v>365</v>
      </c>
      <c r="Q7">
        <f>"6/1/04"-"6/1/03"</f>
        <v>366</v>
      </c>
      <c r="R7">
        <f>"11/1/04"-"6/1/04"</f>
        <v>153</v>
      </c>
    </row>
    <row r="8" spans="1:46" x14ac:dyDescent="0.2">
      <c r="A8" t="s">
        <v>28</v>
      </c>
      <c r="P8">
        <f>"1/1/03"-"6/1/02"</f>
        <v>214</v>
      </c>
      <c r="Q8">
        <f>"12/31/04"-"12/31/03"</f>
        <v>366</v>
      </c>
      <c r="R8">
        <f>"12/31/05"-"12/31/04"</f>
        <v>365</v>
      </c>
      <c r="S8">
        <f>"12/31/06"-"12/31/05"</f>
        <v>365</v>
      </c>
      <c r="T8">
        <f>"12/31/07"-"12/31/06"</f>
        <v>365</v>
      </c>
      <c r="U8">
        <f>"6/1/07"-"12/31/06"</f>
        <v>152</v>
      </c>
    </row>
    <row r="9" spans="1:46" x14ac:dyDescent="0.2">
      <c r="A9" t="s">
        <v>23</v>
      </c>
      <c r="P9">
        <f>"6/1/03"-"6/1/02"</f>
        <v>365</v>
      </c>
      <c r="Q9">
        <f>"6/1/04"-"6/1/03"</f>
        <v>366</v>
      </c>
      <c r="R9">
        <f>"6/1/05"-"6/1/04"</f>
        <v>365</v>
      </c>
      <c r="S9">
        <f>"6/1/06"-"6/1/05"</f>
        <v>365</v>
      </c>
      <c r="T9">
        <f>"6/1/07"-"6/1/06"</f>
        <v>365</v>
      </c>
      <c r="U9">
        <f>"6/1/08"-"6/1/07"</f>
        <v>366</v>
      </c>
      <c r="V9">
        <f>"6/1/09"-"6/1/08"</f>
        <v>365</v>
      </c>
      <c r="W9">
        <f>"6/1/2010"-"6/1/09"</f>
        <v>365</v>
      </c>
      <c r="X9">
        <f>"6/1/2011"-"6/1/2010"</f>
        <v>365</v>
      </c>
      <c r="Y9">
        <f>"6/1/2012"-"6/1/2011"</f>
        <v>366</v>
      </c>
      <c r="Z9">
        <f>"6/1/2013"-"6/1/2012"</f>
        <v>365</v>
      </c>
      <c r="AA9">
        <f>"6/1/2014"-"6/1/2013"</f>
        <v>365</v>
      </c>
      <c r="AB9">
        <f>"9/1/2014"-"6/1/2014"</f>
        <v>92</v>
      </c>
    </row>
    <row r="10" spans="1:46" x14ac:dyDescent="0.2">
      <c r="A10" t="s">
        <v>21</v>
      </c>
      <c r="P10">
        <f>"4/1/03"-"6/1/02"</f>
        <v>304</v>
      </c>
      <c r="Q10">
        <f>"4/1/04"-"4/1/03"</f>
        <v>366</v>
      </c>
    </row>
    <row r="11" spans="1:46" x14ac:dyDescent="0.2">
      <c r="A11" t="s">
        <v>32</v>
      </c>
      <c r="F11" s="1"/>
      <c r="P11">
        <f>"6/1/03"-"6/1/02"</f>
        <v>365</v>
      </c>
      <c r="Q11">
        <f>"6/1/04"-"6/1/03"</f>
        <v>366</v>
      </c>
      <c r="R11">
        <f>"6/1/05"-"6/1/04"</f>
        <v>365</v>
      </c>
      <c r="S11">
        <f>"6/1/06"-"6/1/05"</f>
        <v>365</v>
      </c>
      <c r="T11">
        <f>"6/1/07"-"6/1/06"</f>
        <v>365</v>
      </c>
      <c r="U11">
        <f>"6/1/08"-"6/1/07"</f>
        <v>366</v>
      </c>
      <c r="V11">
        <f>"6/1/09"-"6/1/08"</f>
        <v>365</v>
      </c>
      <c r="W11">
        <f>"6/1/2010"-"6/1/09"</f>
        <v>365</v>
      </c>
      <c r="X11">
        <f>"6/1/2011"-"6/1/2010"</f>
        <v>365</v>
      </c>
      <c r="Y11">
        <f>"6/1/2012"-"6/1/2011"</f>
        <v>366</v>
      </c>
      <c r="Z11">
        <f>"6/1/2013"-"6/1/2012"</f>
        <v>365</v>
      </c>
      <c r="AA11">
        <f>"6/1/2014"-"6/1/2013"</f>
        <v>365</v>
      </c>
      <c r="AB11">
        <f>"6/1/2015"-"6/1/2014"</f>
        <v>365</v>
      </c>
      <c r="AC11">
        <f>"6/1/2016"-"6/1/2015"</f>
        <v>366</v>
      </c>
      <c r="AD11">
        <f>"6/1/2017"-"6/1/2016"</f>
        <v>365</v>
      </c>
      <c r="AE11">
        <f>"6/1/2018"-"6/1/2017"</f>
        <v>365</v>
      </c>
      <c r="AF11">
        <f>"6/1/2019"-"6/1/2018"</f>
        <v>365</v>
      </c>
      <c r="AG11">
        <f>"6/1/2020"-"6/1/2019"</f>
        <v>366</v>
      </c>
      <c r="AH11">
        <f>"6/1/2021"-"6/1/2020"</f>
        <v>365</v>
      </c>
      <c r="AI11">
        <f>"6/1/2022"-"6/1/2021"</f>
        <v>365</v>
      </c>
      <c r="AJ11">
        <f>"6/1/2023"-"6/1/2022"</f>
        <v>365</v>
      </c>
      <c r="AK11">
        <f>"6/1/2024"-"6/1/2023"</f>
        <v>366</v>
      </c>
      <c r="AL11">
        <f>"6/1/2025"-"6/1/2024"</f>
        <v>365</v>
      </c>
      <c r="AM11">
        <f>"6/1/2026"-"6/1/2025"</f>
        <v>365</v>
      </c>
      <c r="AN11">
        <f>"6/1/2027"-"6/1/2026"</f>
        <v>365</v>
      </c>
      <c r="AO11">
        <f>"6/1/2028"-"6/1/2027"</f>
        <v>366</v>
      </c>
      <c r="AP11">
        <f>"6/1/2029"-"6/1/2028"</f>
        <v>365</v>
      </c>
      <c r="AQ11">
        <f>"6/1/2030"-"6/1/2029"</f>
        <v>365</v>
      </c>
      <c r="AR11">
        <f>"6/1/2031"-"6/1/2030"</f>
        <v>365</v>
      </c>
      <c r="AS11">
        <f>"6/1/2032"-"6/1/2031"</f>
        <v>366</v>
      </c>
      <c r="AT11">
        <f>"7/1/2031"-"6/1/2031"</f>
        <v>30</v>
      </c>
    </row>
    <row r="12" spans="1:46" ht="13.5" thickBot="1" x14ac:dyDescent="0.25">
      <c r="A12" t="s">
        <v>0</v>
      </c>
      <c r="B12" s="17">
        <v>0</v>
      </c>
      <c r="C12" s="1">
        <v>7.4999999999999997E-2</v>
      </c>
      <c r="D12" s="1">
        <v>0.15</v>
      </c>
      <c r="F12" s="1"/>
    </row>
    <row r="13" spans="1:46" ht="13.5" thickBot="1" x14ac:dyDescent="0.25">
      <c r="A13" s="5" t="s">
        <v>1</v>
      </c>
      <c r="B13" s="7" t="s">
        <v>44</v>
      </c>
      <c r="C13" s="6" t="s">
        <v>2</v>
      </c>
      <c r="D13" s="7" t="s">
        <v>45</v>
      </c>
      <c r="E13" s="7" t="s">
        <v>46</v>
      </c>
      <c r="F13" s="7" t="s">
        <v>3</v>
      </c>
      <c r="G13" s="8" t="s">
        <v>4</v>
      </c>
      <c r="H13" s="8" t="s">
        <v>31</v>
      </c>
      <c r="I13" s="8" t="s">
        <v>35</v>
      </c>
      <c r="J13" s="8" t="s">
        <v>5</v>
      </c>
      <c r="K13" s="8" t="s">
        <v>39</v>
      </c>
      <c r="L13" s="8" t="s">
        <v>40</v>
      </c>
      <c r="M13" s="8" t="s">
        <v>41</v>
      </c>
      <c r="N13" s="8" t="s">
        <v>42</v>
      </c>
      <c r="O13" s="8" t="s">
        <v>43</v>
      </c>
      <c r="P13" s="9">
        <v>37408</v>
      </c>
      <c r="Q13" s="9">
        <v>37773</v>
      </c>
      <c r="R13" s="9">
        <v>38139</v>
      </c>
      <c r="S13" s="9">
        <v>38504</v>
      </c>
      <c r="T13" s="9">
        <v>38869</v>
      </c>
      <c r="U13" s="9">
        <v>39234</v>
      </c>
      <c r="V13" s="9">
        <v>39600</v>
      </c>
      <c r="W13" s="9">
        <v>39965</v>
      </c>
      <c r="X13" s="9">
        <v>40330</v>
      </c>
      <c r="Y13" s="9">
        <v>40695</v>
      </c>
      <c r="Z13" s="9">
        <v>41061</v>
      </c>
      <c r="AA13" s="9">
        <v>41426</v>
      </c>
      <c r="AB13" s="9">
        <v>41791</v>
      </c>
      <c r="AC13" s="9">
        <v>42156</v>
      </c>
      <c r="AD13" s="9">
        <v>42522</v>
      </c>
      <c r="AE13" s="9">
        <v>42887</v>
      </c>
      <c r="AF13" s="9">
        <v>43252</v>
      </c>
      <c r="AG13" s="9">
        <v>43617</v>
      </c>
      <c r="AH13" s="9">
        <v>43983</v>
      </c>
      <c r="AI13" s="9">
        <v>44348</v>
      </c>
      <c r="AJ13" s="9">
        <v>44713</v>
      </c>
      <c r="AK13" s="9">
        <v>45078</v>
      </c>
      <c r="AL13" s="9">
        <v>45444</v>
      </c>
      <c r="AM13" s="9">
        <v>45809</v>
      </c>
      <c r="AN13" s="9">
        <v>46174</v>
      </c>
      <c r="AO13" s="9">
        <v>46539</v>
      </c>
      <c r="AP13" s="9">
        <v>46905</v>
      </c>
      <c r="AQ13" s="9">
        <v>47270</v>
      </c>
      <c r="AR13" s="9">
        <v>47635</v>
      </c>
      <c r="AS13" s="9">
        <v>48000</v>
      </c>
      <c r="AT13" s="10">
        <v>11505</v>
      </c>
    </row>
    <row r="14" spans="1:46" x14ac:dyDescent="0.2">
      <c r="A14" t="s">
        <v>6</v>
      </c>
      <c r="B14" s="2">
        <f>NPV(B$12,P14:AT14)</f>
        <v>30766400</v>
      </c>
      <c r="C14" s="2">
        <f>NPV(C$12,P14:AT14)</f>
        <v>12087832.040988928</v>
      </c>
      <c r="D14" s="2">
        <f>NPV(D$12,P14:AT14)</f>
        <v>6716421.7927815299</v>
      </c>
      <c r="E14" s="14">
        <f>+C14/(J14*I14)</f>
        <v>0.13751174054637932</v>
      </c>
      <c r="F14" s="2">
        <f>SUM(P14:AT14)</f>
        <v>30766400</v>
      </c>
      <c r="G14" t="s">
        <v>7</v>
      </c>
      <c r="H14">
        <v>361</v>
      </c>
      <c r="I14">
        <f>SUM($P$11:$AT$11)</f>
        <v>10988</v>
      </c>
      <c r="J14" s="3">
        <v>8000</v>
      </c>
      <c r="K14" s="4">
        <v>0.35</v>
      </c>
      <c r="L14" s="4"/>
      <c r="M14" s="4"/>
      <c r="N14" s="4"/>
      <c r="O14" s="4"/>
      <c r="P14" s="2">
        <f t="shared" ref="P14:Y15" si="0">+$K14*$J14*P$11</f>
        <v>1022000</v>
      </c>
      <c r="Q14" s="2">
        <f t="shared" si="0"/>
        <v>1024800</v>
      </c>
      <c r="R14" s="2">
        <f t="shared" si="0"/>
        <v>1022000</v>
      </c>
      <c r="S14" s="2">
        <f t="shared" si="0"/>
        <v>1022000</v>
      </c>
      <c r="T14" s="2">
        <f t="shared" si="0"/>
        <v>1022000</v>
      </c>
      <c r="U14" s="2">
        <f t="shared" si="0"/>
        <v>1024800</v>
      </c>
      <c r="V14" s="2">
        <f t="shared" si="0"/>
        <v>1022000</v>
      </c>
      <c r="W14" s="2">
        <f t="shared" si="0"/>
        <v>1022000</v>
      </c>
      <c r="X14" s="2">
        <f t="shared" si="0"/>
        <v>1022000</v>
      </c>
      <c r="Y14" s="2">
        <f t="shared" si="0"/>
        <v>1024800</v>
      </c>
      <c r="Z14" s="2">
        <f t="shared" ref="Z14:AI15" si="1">+$K14*$J14*Z$11</f>
        <v>1022000</v>
      </c>
      <c r="AA14" s="2">
        <f t="shared" si="1"/>
        <v>1022000</v>
      </c>
      <c r="AB14" s="2">
        <f t="shared" si="1"/>
        <v>1022000</v>
      </c>
      <c r="AC14" s="2">
        <f t="shared" si="1"/>
        <v>1024800</v>
      </c>
      <c r="AD14" s="2">
        <f t="shared" si="1"/>
        <v>1022000</v>
      </c>
      <c r="AE14" s="2">
        <f t="shared" si="1"/>
        <v>1022000</v>
      </c>
      <c r="AF14" s="2">
        <f t="shared" si="1"/>
        <v>1022000</v>
      </c>
      <c r="AG14" s="2">
        <f t="shared" si="1"/>
        <v>1024800</v>
      </c>
      <c r="AH14" s="2">
        <f t="shared" si="1"/>
        <v>1022000</v>
      </c>
      <c r="AI14" s="2">
        <f t="shared" si="1"/>
        <v>1022000</v>
      </c>
      <c r="AJ14" s="2">
        <f t="shared" ref="AJ14:AT15" si="2">+$K14*$J14*AJ$11</f>
        <v>1022000</v>
      </c>
      <c r="AK14" s="2">
        <f t="shared" si="2"/>
        <v>1024800</v>
      </c>
      <c r="AL14" s="2">
        <f t="shared" si="2"/>
        <v>1022000</v>
      </c>
      <c r="AM14" s="2">
        <f t="shared" si="2"/>
        <v>1022000</v>
      </c>
      <c r="AN14" s="2">
        <f t="shared" si="2"/>
        <v>1022000</v>
      </c>
      <c r="AO14" s="2">
        <f t="shared" si="2"/>
        <v>1024800</v>
      </c>
      <c r="AP14" s="2">
        <f t="shared" si="2"/>
        <v>1022000</v>
      </c>
      <c r="AQ14" s="2">
        <f t="shared" si="2"/>
        <v>1022000</v>
      </c>
      <c r="AR14" s="2">
        <f t="shared" si="2"/>
        <v>1022000</v>
      </c>
      <c r="AS14" s="2">
        <f t="shared" si="2"/>
        <v>1024800</v>
      </c>
      <c r="AT14" s="2">
        <f t="shared" si="2"/>
        <v>84000</v>
      </c>
    </row>
    <row r="15" spans="1:46" x14ac:dyDescent="0.2">
      <c r="A15" t="s">
        <v>6</v>
      </c>
      <c r="B15" s="2">
        <f t="shared" ref="B15:B37" si="3">NPV(B$12,P15:AT15)</f>
        <v>52742400</v>
      </c>
      <c r="C15" s="2">
        <f t="shared" ref="C15:C37" si="4">NPV($C$12,P15:AT15)</f>
        <v>20721997.784552447</v>
      </c>
      <c r="D15" s="2">
        <f t="shared" ref="D15:D37" si="5">NPV(D$12,P15:AT15)</f>
        <v>11513865.930482624</v>
      </c>
      <c r="E15" s="14">
        <f t="shared" ref="E15:E37" si="6">+C15/(J15*I15)</f>
        <v>0.1571562749101478</v>
      </c>
      <c r="F15" s="2">
        <f>SUM(P15:AT15)</f>
        <v>52742400</v>
      </c>
      <c r="G15" t="s">
        <v>7</v>
      </c>
      <c r="H15">
        <v>361</v>
      </c>
      <c r="I15">
        <f>SUM($P$11:$AT$11)</f>
        <v>10988</v>
      </c>
      <c r="J15" s="3">
        <v>12000</v>
      </c>
      <c r="K15" s="4">
        <v>0.4</v>
      </c>
      <c r="L15" s="4"/>
      <c r="M15" s="4"/>
      <c r="N15" s="4"/>
      <c r="O15" s="4"/>
      <c r="P15" s="2">
        <f t="shared" si="0"/>
        <v>1752000</v>
      </c>
      <c r="Q15" s="2">
        <f t="shared" si="0"/>
        <v>1756800</v>
      </c>
      <c r="R15" s="2">
        <f t="shared" si="0"/>
        <v>1752000</v>
      </c>
      <c r="S15" s="2">
        <f t="shared" si="0"/>
        <v>1752000</v>
      </c>
      <c r="T15" s="2">
        <f t="shared" si="0"/>
        <v>1752000</v>
      </c>
      <c r="U15" s="2">
        <f t="shared" si="0"/>
        <v>1756800</v>
      </c>
      <c r="V15" s="2">
        <f t="shared" si="0"/>
        <v>1752000</v>
      </c>
      <c r="W15" s="2">
        <f t="shared" si="0"/>
        <v>1752000</v>
      </c>
      <c r="X15" s="2">
        <f t="shared" si="0"/>
        <v>1752000</v>
      </c>
      <c r="Y15" s="2">
        <f t="shared" si="0"/>
        <v>1756800</v>
      </c>
      <c r="Z15" s="2">
        <f t="shared" si="1"/>
        <v>1752000</v>
      </c>
      <c r="AA15" s="2">
        <f t="shared" si="1"/>
        <v>1752000</v>
      </c>
      <c r="AB15" s="2">
        <f t="shared" si="1"/>
        <v>1752000</v>
      </c>
      <c r="AC15" s="2">
        <f t="shared" si="1"/>
        <v>1756800</v>
      </c>
      <c r="AD15" s="2">
        <f t="shared" si="1"/>
        <v>1752000</v>
      </c>
      <c r="AE15" s="2">
        <f t="shared" si="1"/>
        <v>1752000</v>
      </c>
      <c r="AF15" s="2">
        <f t="shared" si="1"/>
        <v>1752000</v>
      </c>
      <c r="AG15" s="2">
        <f t="shared" si="1"/>
        <v>1756800</v>
      </c>
      <c r="AH15" s="2">
        <f t="shared" si="1"/>
        <v>1752000</v>
      </c>
      <c r="AI15" s="2">
        <f t="shared" si="1"/>
        <v>1752000</v>
      </c>
      <c r="AJ15" s="2">
        <f t="shared" si="2"/>
        <v>1752000</v>
      </c>
      <c r="AK15" s="2">
        <f t="shared" si="2"/>
        <v>1756800</v>
      </c>
      <c r="AL15" s="2">
        <f t="shared" si="2"/>
        <v>1752000</v>
      </c>
      <c r="AM15" s="2">
        <f t="shared" si="2"/>
        <v>1752000</v>
      </c>
      <c r="AN15" s="2">
        <f t="shared" si="2"/>
        <v>1752000</v>
      </c>
      <c r="AO15" s="2">
        <f t="shared" si="2"/>
        <v>1756800</v>
      </c>
      <c r="AP15" s="2">
        <f t="shared" si="2"/>
        <v>1752000</v>
      </c>
      <c r="AQ15" s="2">
        <f t="shared" si="2"/>
        <v>1752000</v>
      </c>
      <c r="AR15" s="2">
        <f t="shared" si="2"/>
        <v>1752000</v>
      </c>
      <c r="AS15" s="2">
        <f t="shared" si="2"/>
        <v>1756800</v>
      </c>
      <c r="AT15" s="2">
        <f t="shared" si="2"/>
        <v>144000</v>
      </c>
    </row>
    <row r="16" spans="1:46" x14ac:dyDescent="0.2">
      <c r="A16" t="s">
        <v>8</v>
      </c>
      <c r="B16" s="2">
        <f t="shared" si="3"/>
        <v>10410100</v>
      </c>
      <c r="C16" s="2">
        <f t="shared" si="4"/>
        <v>6126094.9660890838</v>
      </c>
      <c r="D16" s="2">
        <f t="shared" si="5"/>
        <v>4058147.4341925643</v>
      </c>
      <c r="E16" s="14">
        <f t="shared" si="6"/>
        <v>0.22362091498773803</v>
      </c>
      <c r="F16" s="2">
        <f>SUM(P16:AT16)</f>
        <v>10410100</v>
      </c>
      <c r="G16">
        <v>15</v>
      </c>
      <c r="H16">
        <f>+G16*12</f>
        <v>180</v>
      </c>
      <c r="I16">
        <f>SUM($P$11:$AD$11)</f>
        <v>5479</v>
      </c>
      <c r="J16" s="3">
        <v>5000</v>
      </c>
      <c r="K16" s="4">
        <v>0.38</v>
      </c>
      <c r="L16" s="4"/>
      <c r="M16" s="4"/>
      <c r="N16" s="4"/>
      <c r="O16" s="4"/>
      <c r="P16" s="2">
        <f t="shared" ref="P16:AD17" si="7">+$K16*$J16*P$11</f>
        <v>693500</v>
      </c>
      <c r="Q16" s="2">
        <f t="shared" si="7"/>
        <v>695400</v>
      </c>
      <c r="R16" s="2">
        <f t="shared" si="7"/>
        <v>693500</v>
      </c>
      <c r="S16" s="2">
        <f t="shared" si="7"/>
        <v>693500</v>
      </c>
      <c r="T16" s="2">
        <f t="shared" si="7"/>
        <v>693500</v>
      </c>
      <c r="U16" s="2">
        <f t="shared" si="7"/>
        <v>695400</v>
      </c>
      <c r="V16" s="2">
        <f t="shared" si="7"/>
        <v>693500</v>
      </c>
      <c r="W16" s="2">
        <f t="shared" si="7"/>
        <v>693500</v>
      </c>
      <c r="X16" s="2">
        <f t="shared" si="7"/>
        <v>693500</v>
      </c>
      <c r="Y16" s="2">
        <f t="shared" si="7"/>
        <v>695400</v>
      </c>
      <c r="Z16" s="2">
        <f t="shared" si="7"/>
        <v>693500</v>
      </c>
      <c r="AA16" s="2">
        <f t="shared" si="7"/>
        <v>693500</v>
      </c>
      <c r="AB16" s="2">
        <f t="shared" si="7"/>
        <v>693500</v>
      </c>
      <c r="AC16" s="2">
        <f t="shared" si="7"/>
        <v>695400</v>
      </c>
      <c r="AD16" s="2">
        <f t="shared" si="7"/>
        <v>693500</v>
      </c>
    </row>
    <row r="17" spans="1:30" x14ac:dyDescent="0.2">
      <c r="A17" t="s">
        <v>8</v>
      </c>
      <c r="B17" s="2">
        <f t="shared" si="3"/>
        <v>10684050</v>
      </c>
      <c r="C17" s="2">
        <f t="shared" si="4"/>
        <v>6287307.9915124811</v>
      </c>
      <c r="D17" s="2">
        <f t="shared" si="5"/>
        <v>4164940.7877239473</v>
      </c>
      <c r="E17" s="14">
        <f t="shared" si="6"/>
        <v>0.22950567590846802</v>
      </c>
      <c r="F17" s="2">
        <f>SUM(P17:AT17)</f>
        <v>10684050</v>
      </c>
      <c r="G17">
        <v>15</v>
      </c>
      <c r="H17">
        <f>+G17*12</f>
        <v>180</v>
      </c>
      <c r="I17">
        <f>SUM($P$11:$AD$11)</f>
        <v>5479</v>
      </c>
      <c r="J17" s="3">
        <v>5000</v>
      </c>
      <c r="K17" s="4">
        <v>0.39</v>
      </c>
      <c r="L17" s="4"/>
      <c r="M17" s="4"/>
      <c r="N17" s="4"/>
      <c r="O17" s="4"/>
      <c r="P17" s="2">
        <f t="shared" si="7"/>
        <v>711750</v>
      </c>
      <c r="Q17" s="2">
        <f t="shared" si="7"/>
        <v>713700</v>
      </c>
      <c r="R17" s="2">
        <f t="shared" si="7"/>
        <v>711750</v>
      </c>
      <c r="S17" s="2">
        <f t="shared" si="7"/>
        <v>711750</v>
      </c>
      <c r="T17" s="2">
        <f t="shared" si="7"/>
        <v>711750</v>
      </c>
      <c r="U17" s="2">
        <f t="shared" si="7"/>
        <v>713700</v>
      </c>
      <c r="V17" s="2">
        <f t="shared" si="7"/>
        <v>711750</v>
      </c>
      <c r="W17" s="2">
        <f t="shared" si="7"/>
        <v>711750</v>
      </c>
      <c r="X17" s="2">
        <f t="shared" si="7"/>
        <v>711750</v>
      </c>
      <c r="Y17" s="2">
        <f t="shared" si="7"/>
        <v>713700</v>
      </c>
      <c r="Z17" s="2">
        <f t="shared" si="7"/>
        <v>711750</v>
      </c>
      <c r="AA17" s="2">
        <f t="shared" si="7"/>
        <v>711750</v>
      </c>
      <c r="AB17" s="2">
        <f t="shared" si="7"/>
        <v>711750</v>
      </c>
      <c r="AC17" s="2">
        <f t="shared" si="7"/>
        <v>713700</v>
      </c>
      <c r="AD17" s="2">
        <f t="shared" si="7"/>
        <v>711750</v>
      </c>
    </row>
    <row r="18" spans="1:30" x14ac:dyDescent="0.2">
      <c r="A18" t="s">
        <v>9</v>
      </c>
      <c r="B18" s="2">
        <f t="shared" si="3"/>
        <v>30129000</v>
      </c>
      <c r="C18" s="2">
        <f t="shared" si="4"/>
        <v>24380619.810387354</v>
      </c>
      <c r="D18" s="2">
        <f t="shared" si="5"/>
        <v>20200830.448284067</v>
      </c>
      <c r="E18" s="14">
        <f t="shared" si="6"/>
        <v>0.44506425356676443</v>
      </c>
      <c r="F18" s="2">
        <f>SUM(P18:AT18)</f>
        <v>30129000</v>
      </c>
      <c r="G18">
        <v>5</v>
      </c>
      <c r="H18">
        <f>+G18*12</f>
        <v>60</v>
      </c>
      <c r="I18">
        <f>SUM($P$11:$T$11)</f>
        <v>1826</v>
      </c>
      <c r="J18" s="3">
        <v>30000</v>
      </c>
      <c r="K18" s="4">
        <v>0.55000000000000004</v>
      </c>
      <c r="L18" s="4"/>
      <c r="M18" s="4"/>
      <c r="N18" s="4"/>
      <c r="O18" s="4"/>
      <c r="P18" s="2">
        <f t="shared" ref="P18:T19" si="8">+$K18*$J18*P$11</f>
        <v>6022500</v>
      </c>
      <c r="Q18" s="2">
        <f t="shared" si="8"/>
        <v>6039000</v>
      </c>
      <c r="R18" s="2">
        <f t="shared" si="8"/>
        <v>6022500</v>
      </c>
      <c r="S18" s="2">
        <f t="shared" si="8"/>
        <v>6022500</v>
      </c>
      <c r="T18" s="2">
        <f t="shared" si="8"/>
        <v>6022500</v>
      </c>
    </row>
    <row r="19" spans="1:30" x14ac:dyDescent="0.2">
      <c r="A19" t="s">
        <v>18</v>
      </c>
      <c r="B19" s="2">
        <f t="shared" si="3"/>
        <v>57519000</v>
      </c>
      <c r="C19" s="2">
        <f t="shared" si="4"/>
        <v>46544819.638012223</v>
      </c>
      <c r="D19" s="2">
        <f t="shared" si="5"/>
        <v>38565221.764905952</v>
      </c>
      <c r="E19" s="14">
        <f t="shared" si="6"/>
        <v>0.50980087226738469</v>
      </c>
      <c r="F19" s="2">
        <f t="shared" ref="F19:F37" si="9">SUM(P19:AT19)</f>
        <v>57519000</v>
      </c>
      <c r="G19">
        <v>5</v>
      </c>
      <c r="H19">
        <f t="shared" ref="H19:H37" si="10">+G19*12</f>
        <v>60</v>
      </c>
      <c r="I19">
        <f>SUM($P$11:$T$11)</f>
        <v>1826</v>
      </c>
      <c r="J19" s="3">
        <v>50000</v>
      </c>
      <c r="K19" s="4">
        <v>0.63</v>
      </c>
      <c r="L19" s="4"/>
      <c r="M19" s="4"/>
      <c r="N19" s="4"/>
      <c r="O19" s="4"/>
      <c r="P19" s="2">
        <f t="shared" si="8"/>
        <v>11497500</v>
      </c>
      <c r="Q19" s="2">
        <f t="shared" si="8"/>
        <v>11529000</v>
      </c>
      <c r="R19" s="2">
        <f t="shared" si="8"/>
        <v>11497500</v>
      </c>
      <c r="S19" s="2">
        <f t="shared" si="8"/>
        <v>11497500</v>
      </c>
      <c r="T19" s="2">
        <f t="shared" si="8"/>
        <v>11497500</v>
      </c>
    </row>
    <row r="20" spans="1:30" x14ac:dyDescent="0.2">
      <c r="A20" t="s">
        <v>19</v>
      </c>
      <c r="B20" s="2">
        <f t="shared" si="3"/>
        <v>9210600</v>
      </c>
      <c r="C20" s="2">
        <f t="shared" si="4"/>
        <v>8268707.4094104925</v>
      </c>
      <c r="D20" s="2">
        <f t="shared" si="5"/>
        <v>7486162.570888469</v>
      </c>
      <c r="E20" s="14">
        <f t="shared" si="6"/>
        <v>0.5655750622031801</v>
      </c>
      <c r="F20" s="2">
        <f t="shared" si="9"/>
        <v>9210600</v>
      </c>
      <c r="G20">
        <v>2</v>
      </c>
      <c r="H20">
        <f t="shared" si="10"/>
        <v>24</v>
      </c>
      <c r="I20" s="11">
        <f>+SUM($P$11:$Q$11)</f>
        <v>731</v>
      </c>
      <c r="J20" s="3">
        <v>20000</v>
      </c>
      <c r="K20" s="4">
        <v>0.63</v>
      </c>
      <c r="L20" s="4"/>
      <c r="M20" s="4"/>
      <c r="N20" s="4"/>
      <c r="O20" s="4"/>
      <c r="P20" s="2">
        <f>+$K20*$J20*P$11</f>
        <v>4599000</v>
      </c>
      <c r="Q20" s="2">
        <f>+$K20*$J20*Q$11</f>
        <v>4611600</v>
      </c>
    </row>
    <row r="21" spans="1:30" x14ac:dyDescent="0.2">
      <c r="A21" t="s">
        <v>19</v>
      </c>
      <c r="B21" s="2">
        <f t="shared" si="3"/>
        <v>2299500</v>
      </c>
      <c r="C21" s="2">
        <f t="shared" si="4"/>
        <v>2139069.7674418604</v>
      </c>
      <c r="D21" s="2">
        <f t="shared" si="5"/>
        <v>1999565.2173913044</v>
      </c>
      <c r="E21" s="14">
        <f t="shared" si="6"/>
        <v>0.586046511627907</v>
      </c>
      <c r="F21" s="2">
        <f t="shared" si="9"/>
        <v>2299500</v>
      </c>
      <c r="G21">
        <v>1</v>
      </c>
      <c r="H21">
        <f t="shared" si="10"/>
        <v>12</v>
      </c>
      <c r="I21">
        <f>SUM($P$11)</f>
        <v>365</v>
      </c>
      <c r="J21" s="3">
        <v>10000</v>
      </c>
      <c r="K21" s="4">
        <v>0.63</v>
      </c>
      <c r="L21" s="4"/>
      <c r="M21" s="4"/>
      <c r="N21" s="4"/>
      <c r="O21" s="4"/>
      <c r="P21" s="2">
        <f>+$K21*$J21*P$11</f>
        <v>2299500</v>
      </c>
    </row>
    <row r="22" spans="1:30" x14ac:dyDescent="0.2">
      <c r="A22" t="s">
        <v>21</v>
      </c>
      <c r="B22" s="2">
        <f t="shared" si="3"/>
        <v>40325000</v>
      </c>
      <c r="C22" s="2">
        <f t="shared" si="4"/>
        <v>36620876.149269879</v>
      </c>
      <c r="D22" s="2">
        <f t="shared" si="5"/>
        <v>33508506.616257094</v>
      </c>
      <c r="E22" s="14">
        <f t="shared" si="6"/>
        <v>1.0931604820677576</v>
      </c>
      <c r="F22" s="2">
        <f t="shared" si="9"/>
        <v>40325000</v>
      </c>
      <c r="G22" s="11" t="s">
        <v>33</v>
      </c>
      <c r="H22">
        <v>22</v>
      </c>
      <c r="I22">
        <f>SUM(P10:Q10)</f>
        <v>670</v>
      </c>
      <c r="J22" s="3">
        <v>50000</v>
      </c>
      <c r="K22" s="4">
        <v>1.75</v>
      </c>
      <c r="L22" s="4">
        <v>0.75</v>
      </c>
      <c r="M22" s="4"/>
      <c r="N22" s="4"/>
      <c r="O22" s="4"/>
      <c r="P22" s="2">
        <f>+$K22*$J22*P$10</f>
        <v>26600000</v>
      </c>
      <c r="Q22" s="2">
        <f>+$L22*$J22*Q$10</f>
        <v>13725000</v>
      </c>
    </row>
    <row r="23" spans="1:30" x14ac:dyDescent="0.2">
      <c r="A23" t="s">
        <v>22</v>
      </c>
      <c r="B23" s="2">
        <f t="shared" si="3"/>
        <v>83280800</v>
      </c>
      <c r="C23" s="2">
        <f t="shared" si="4"/>
        <v>49008759.728712671</v>
      </c>
      <c r="D23" s="2">
        <f t="shared" si="5"/>
        <v>32465179.473540515</v>
      </c>
      <c r="E23" s="14">
        <f t="shared" si="6"/>
        <v>0.22362091498773803</v>
      </c>
      <c r="F23" s="2">
        <f t="shared" si="9"/>
        <v>83280800</v>
      </c>
      <c r="G23">
        <v>15</v>
      </c>
      <c r="H23">
        <f t="shared" si="10"/>
        <v>180</v>
      </c>
      <c r="I23">
        <f>SUM($P$11:$AD$11)</f>
        <v>5479</v>
      </c>
      <c r="J23" s="3">
        <v>40000</v>
      </c>
      <c r="K23" s="4">
        <v>0.38</v>
      </c>
      <c r="L23" s="4"/>
      <c r="M23" s="4"/>
      <c r="N23" s="4"/>
      <c r="O23" s="4"/>
      <c r="P23" s="2">
        <f t="shared" ref="P23:AD23" si="11">+$K23*$J23*P$11</f>
        <v>5548000</v>
      </c>
      <c r="Q23" s="2">
        <f t="shared" si="11"/>
        <v>5563200</v>
      </c>
      <c r="R23" s="2">
        <f t="shared" si="11"/>
        <v>5548000</v>
      </c>
      <c r="S23" s="2">
        <f t="shared" si="11"/>
        <v>5548000</v>
      </c>
      <c r="T23" s="2">
        <f t="shared" si="11"/>
        <v>5548000</v>
      </c>
      <c r="U23" s="2">
        <f t="shared" si="11"/>
        <v>5563200</v>
      </c>
      <c r="V23" s="2">
        <f t="shared" si="11"/>
        <v>5548000</v>
      </c>
      <c r="W23" s="2">
        <f t="shared" si="11"/>
        <v>5548000</v>
      </c>
      <c r="X23" s="2">
        <f t="shared" si="11"/>
        <v>5548000</v>
      </c>
      <c r="Y23" s="2">
        <f t="shared" si="11"/>
        <v>5563200</v>
      </c>
      <c r="Z23" s="2">
        <f t="shared" si="11"/>
        <v>5548000</v>
      </c>
      <c r="AA23" s="2">
        <f t="shared" si="11"/>
        <v>5548000</v>
      </c>
      <c r="AB23" s="2">
        <f t="shared" si="11"/>
        <v>5548000</v>
      </c>
      <c r="AC23" s="2">
        <f t="shared" si="11"/>
        <v>5563200</v>
      </c>
      <c r="AD23" s="2">
        <f t="shared" si="11"/>
        <v>5548000</v>
      </c>
    </row>
    <row r="24" spans="1:30" x14ac:dyDescent="0.2">
      <c r="A24" t="s">
        <v>23</v>
      </c>
      <c r="B24" s="2">
        <f t="shared" si="3"/>
        <v>8457750</v>
      </c>
      <c r="C24" s="2">
        <f t="shared" si="4"/>
        <v>5407869.777332007</v>
      </c>
      <c r="D24" s="2">
        <f t="shared" si="5"/>
        <v>3770387.767181783</v>
      </c>
      <c r="E24" s="14">
        <f t="shared" si="6"/>
        <v>0.26854722668315367</v>
      </c>
      <c r="F24" s="2">
        <f t="shared" si="9"/>
        <v>8457750</v>
      </c>
      <c r="G24" t="s">
        <v>34</v>
      </c>
      <c r="H24">
        <v>147</v>
      </c>
      <c r="I24">
        <f>SUM(P9:AB9)</f>
        <v>4475</v>
      </c>
      <c r="J24" s="3">
        <v>4500</v>
      </c>
      <c r="K24" s="4">
        <v>0.42</v>
      </c>
      <c r="L24" s="4"/>
      <c r="M24" s="4"/>
      <c r="N24" s="4"/>
      <c r="O24" s="4"/>
      <c r="P24" s="2">
        <f t="shared" ref="P24:AB24" si="12">+$K24*$J24*P$9</f>
        <v>689850</v>
      </c>
      <c r="Q24" s="2">
        <f t="shared" si="12"/>
        <v>691740</v>
      </c>
      <c r="R24" s="2">
        <f t="shared" si="12"/>
        <v>689850</v>
      </c>
      <c r="S24" s="2">
        <f t="shared" si="12"/>
        <v>689850</v>
      </c>
      <c r="T24" s="2">
        <f t="shared" si="12"/>
        <v>689850</v>
      </c>
      <c r="U24" s="2">
        <f t="shared" si="12"/>
        <v>691740</v>
      </c>
      <c r="V24" s="2">
        <f t="shared" si="12"/>
        <v>689850</v>
      </c>
      <c r="W24" s="2">
        <f t="shared" si="12"/>
        <v>689850</v>
      </c>
      <c r="X24" s="2">
        <f t="shared" si="12"/>
        <v>689850</v>
      </c>
      <c r="Y24" s="2">
        <f t="shared" si="12"/>
        <v>691740</v>
      </c>
      <c r="Z24" s="2">
        <f t="shared" si="12"/>
        <v>689850</v>
      </c>
      <c r="AA24" s="2">
        <f t="shared" si="12"/>
        <v>689850</v>
      </c>
      <c r="AB24" s="2">
        <f t="shared" si="12"/>
        <v>173880</v>
      </c>
    </row>
    <row r="25" spans="1:30" x14ac:dyDescent="0.2">
      <c r="A25" t="s">
        <v>24</v>
      </c>
      <c r="B25" s="2">
        <f t="shared" si="3"/>
        <v>30702000</v>
      </c>
      <c r="C25" s="2">
        <f t="shared" si="4"/>
        <v>27562358.031368308</v>
      </c>
      <c r="D25" s="2">
        <f t="shared" si="5"/>
        <v>24953875.236294899</v>
      </c>
      <c r="E25" s="14">
        <f t="shared" si="6"/>
        <v>0.75410008293757336</v>
      </c>
      <c r="F25" s="2">
        <f t="shared" si="9"/>
        <v>30702000</v>
      </c>
      <c r="G25">
        <v>2</v>
      </c>
      <c r="H25">
        <f t="shared" si="10"/>
        <v>24</v>
      </c>
      <c r="I25" s="11">
        <f t="shared" ref="I25:I30" si="13">+SUM($P$11:$Q$11)</f>
        <v>731</v>
      </c>
      <c r="J25" s="3">
        <v>50000</v>
      </c>
      <c r="K25" s="4">
        <v>0.84</v>
      </c>
      <c r="L25" s="4"/>
      <c r="M25" s="4"/>
      <c r="N25" s="4"/>
      <c r="O25" s="4"/>
      <c r="P25" s="2">
        <f t="shared" ref="P25:Q30" si="14">+$K25*$J25*P$11</f>
        <v>15330000</v>
      </c>
      <c r="Q25" s="2">
        <f t="shared" si="14"/>
        <v>15372000</v>
      </c>
    </row>
    <row r="26" spans="1:30" x14ac:dyDescent="0.2">
      <c r="A26" t="s">
        <v>25</v>
      </c>
      <c r="B26" s="2">
        <f t="shared" si="3"/>
        <v>30702000</v>
      </c>
      <c r="C26" s="2">
        <f t="shared" si="4"/>
        <v>27562358.031368308</v>
      </c>
      <c r="D26" s="2">
        <f t="shared" si="5"/>
        <v>24953875.236294899</v>
      </c>
      <c r="E26" s="14">
        <f t="shared" si="6"/>
        <v>0.75410008293757336</v>
      </c>
      <c r="F26" s="2">
        <f t="shared" si="9"/>
        <v>30702000</v>
      </c>
      <c r="G26">
        <v>2</v>
      </c>
      <c r="H26">
        <f t="shared" si="10"/>
        <v>24</v>
      </c>
      <c r="I26" s="11">
        <f t="shared" si="13"/>
        <v>731</v>
      </c>
      <c r="J26" s="3">
        <v>50000</v>
      </c>
      <c r="K26" s="4">
        <v>0.84</v>
      </c>
      <c r="L26" s="4"/>
      <c r="M26" s="4"/>
      <c r="N26" s="4"/>
      <c r="O26" s="4"/>
      <c r="P26" s="2">
        <f t="shared" si="14"/>
        <v>15330000</v>
      </c>
      <c r="Q26" s="2">
        <f t="shared" si="14"/>
        <v>15372000</v>
      </c>
    </row>
    <row r="27" spans="1:30" x14ac:dyDescent="0.2">
      <c r="A27" t="s">
        <v>26</v>
      </c>
      <c r="B27" s="2">
        <f t="shared" si="3"/>
        <v>30702000</v>
      </c>
      <c r="C27" s="2">
        <f t="shared" si="4"/>
        <v>27562358.031368308</v>
      </c>
      <c r="D27" s="2">
        <f t="shared" si="5"/>
        <v>24953875.236294899</v>
      </c>
      <c r="E27" s="14">
        <f t="shared" si="6"/>
        <v>0.75410008293757336</v>
      </c>
      <c r="F27" s="2">
        <f t="shared" si="9"/>
        <v>30702000</v>
      </c>
      <c r="G27">
        <v>2</v>
      </c>
      <c r="H27">
        <f t="shared" si="10"/>
        <v>24</v>
      </c>
      <c r="I27" s="11">
        <f t="shared" si="13"/>
        <v>731</v>
      </c>
      <c r="J27" s="3">
        <v>50000</v>
      </c>
      <c r="K27" s="4">
        <v>0.84</v>
      </c>
      <c r="L27" s="4"/>
      <c r="M27" s="4"/>
      <c r="N27" s="4"/>
      <c r="O27" s="4"/>
      <c r="P27" s="2">
        <f t="shared" si="14"/>
        <v>15330000</v>
      </c>
      <c r="Q27" s="2">
        <f t="shared" si="14"/>
        <v>15372000</v>
      </c>
    </row>
    <row r="28" spans="1:30" x14ac:dyDescent="0.2">
      <c r="A28" t="s">
        <v>26</v>
      </c>
      <c r="B28" s="2">
        <f t="shared" si="3"/>
        <v>29605500</v>
      </c>
      <c r="C28" s="2">
        <f t="shared" si="4"/>
        <v>26577988.101676587</v>
      </c>
      <c r="D28" s="2">
        <f t="shared" si="5"/>
        <v>24062665.406427223</v>
      </c>
      <c r="E28" s="14">
        <f t="shared" si="6"/>
        <v>0.72716793711837446</v>
      </c>
      <c r="F28" s="2">
        <f t="shared" si="9"/>
        <v>29605500</v>
      </c>
      <c r="G28">
        <v>2</v>
      </c>
      <c r="H28">
        <f t="shared" si="10"/>
        <v>24</v>
      </c>
      <c r="I28" s="11">
        <f t="shared" si="13"/>
        <v>731</v>
      </c>
      <c r="J28" s="3">
        <v>50000</v>
      </c>
      <c r="K28" s="4">
        <v>0.81</v>
      </c>
      <c r="L28" s="4"/>
      <c r="M28" s="4"/>
      <c r="N28" s="4"/>
      <c r="O28" s="4"/>
      <c r="P28" s="2">
        <f t="shared" si="14"/>
        <v>14782500</v>
      </c>
      <c r="Q28" s="2">
        <f t="shared" si="14"/>
        <v>14823000</v>
      </c>
    </row>
    <row r="29" spans="1:30" x14ac:dyDescent="0.2">
      <c r="A29" t="s">
        <v>27</v>
      </c>
      <c r="B29" s="2">
        <f t="shared" si="3"/>
        <v>29605500</v>
      </c>
      <c r="C29" s="2">
        <f t="shared" si="4"/>
        <v>26577988.101676587</v>
      </c>
      <c r="D29" s="2">
        <f t="shared" si="5"/>
        <v>24062665.406427223</v>
      </c>
      <c r="E29" s="14">
        <f t="shared" si="6"/>
        <v>0.72716793711837446</v>
      </c>
      <c r="F29" s="2">
        <f t="shared" si="9"/>
        <v>29605500</v>
      </c>
      <c r="G29">
        <v>2</v>
      </c>
      <c r="H29">
        <f t="shared" si="10"/>
        <v>24</v>
      </c>
      <c r="I29" s="11">
        <f t="shared" si="13"/>
        <v>731</v>
      </c>
      <c r="J29" s="3">
        <v>50000</v>
      </c>
      <c r="K29" s="4">
        <v>0.81</v>
      </c>
      <c r="L29" s="4"/>
      <c r="M29" s="4"/>
      <c r="N29" s="4"/>
      <c r="O29" s="4"/>
      <c r="P29" s="2">
        <f t="shared" si="14"/>
        <v>14782500</v>
      </c>
      <c r="Q29" s="2">
        <f t="shared" si="14"/>
        <v>14823000</v>
      </c>
    </row>
    <row r="30" spans="1:30" x14ac:dyDescent="0.2">
      <c r="A30" t="s">
        <v>27</v>
      </c>
      <c r="B30" s="2">
        <f t="shared" si="3"/>
        <v>30702000</v>
      </c>
      <c r="C30" s="2">
        <f t="shared" si="4"/>
        <v>27562358.031368308</v>
      </c>
      <c r="D30" s="2">
        <f t="shared" si="5"/>
        <v>24953875.236294899</v>
      </c>
      <c r="E30" s="14">
        <f t="shared" si="6"/>
        <v>0.75410008293757336</v>
      </c>
      <c r="F30" s="2">
        <f t="shared" si="9"/>
        <v>30702000</v>
      </c>
      <c r="G30">
        <v>2</v>
      </c>
      <c r="H30">
        <f t="shared" si="10"/>
        <v>24</v>
      </c>
      <c r="I30" s="11">
        <f t="shared" si="13"/>
        <v>731</v>
      </c>
      <c r="J30" s="3">
        <v>50000</v>
      </c>
      <c r="K30" s="4">
        <v>0.84</v>
      </c>
      <c r="L30" s="4"/>
      <c r="M30" s="4"/>
      <c r="N30" s="4"/>
      <c r="O30" s="4"/>
      <c r="P30" s="2">
        <f t="shared" si="14"/>
        <v>15330000</v>
      </c>
      <c r="Q30" s="2">
        <f t="shared" si="14"/>
        <v>15372000</v>
      </c>
    </row>
    <row r="31" spans="1:30" x14ac:dyDescent="0.2">
      <c r="A31" t="s">
        <v>28</v>
      </c>
      <c r="B31" s="2">
        <f t="shared" si="3"/>
        <v>15149250</v>
      </c>
      <c r="C31" s="2">
        <f t="shared" si="4"/>
        <v>12418427.901432185</v>
      </c>
      <c r="D31" s="2">
        <f t="shared" si="5"/>
        <v>10427629.751539508</v>
      </c>
      <c r="E31" s="14">
        <f t="shared" si="6"/>
        <v>0.49426578712167901</v>
      </c>
      <c r="F31" s="2">
        <f t="shared" si="9"/>
        <v>15149250</v>
      </c>
      <c r="G31">
        <v>5</v>
      </c>
      <c r="H31">
        <f t="shared" si="10"/>
        <v>60</v>
      </c>
      <c r="I31" s="12">
        <f>SUM(P8:T8)</f>
        <v>1675</v>
      </c>
      <c r="J31" s="3">
        <v>15000</v>
      </c>
      <c r="K31" s="4">
        <v>1.1200000000000001</v>
      </c>
      <c r="L31" s="4">
        <v>0.76</v>
      </c>
      <c r="M31" s="4">
        <v>0.43</v>
      </c>
      <c r="N31" s="4">
        <v>0.38</v>
      </c>
      <c r="O31" s="4">
        <v>0.38</v>
      </c>
      <c r="P31" s="2">
        <f>+K$31*$J31*P$8</f>
        <v>3595200</v>
      </c>
      <c r="Q31" s="2">
        <f>+L$31*$J31*Q$8</f>
        <v>4172400</v>
      </c>
      <c r="R31" s="2">
        <f>+M$31*$J31*R$8</f>
        <v>2354250</v>
      </c>
      <c r="S31" s="2">
        <f>+N$31*$J31*S$8</f>
        <v>2080500</v>
      </c>
      <c r="T31" s="2">
        <f>+O$31*$J31*T$8</f>
        <v>2080500</v>
      </c>
      <c r="U31" s="2">
        <f>+O$31*$J31*U$8</f>
        <v>866400</v>
      </c>
      <c r="V31" s="2"/>
    </row>
    <row r="32" spans="1:30" x14ac:dyDescent="0.2">
      <c r="A32" t="s">
        <v>28</v>
      </c>
      <c r="B32" s="2">
        <f t="shared" si="3"/>
        <v>49176400</v>
      </c>
      <c r="C32" s="2">
        <f t="shared" si="4"/>
        <v>43322411.919089578</v>
      </c>
      <c r="D32" s="2">
        <f t="shared" si="5"/>
        <v>38755891.482943028</v>
      </c>
      <c r="E32" s="14">
        <f t="shared" si="6"/>
        <v>2.3738307900871001</v>
      </c>
      <c r="F32" s="2">
        <f t="shared" si="9"/>
        <v>49176400</v>
      </c>
      <c r="G32">
        <v>1</v>
      </c>
      <c r="H32">
        <f t="shared" si="10"/>
        <v>12</v>
      </c>
      <c r="I32">
        <f>SUM($P$11)</f>
        <v>365</v>
      </c>
      <c r="J32" s="3">
        <v>50000</v>
      </c>
      <c r="K32" s="4">
        <v>1.7230000000000001</v>
      </c>
      <c r="L32" s="4">
        <v>0.36399999999999999</v>
      </c>
      <c r="M32" s="4">
        <v>0.20449999999999999</v>
      </c>
      <c r="N32" s="4">
        <v>0.2009</v>
      </c>
      <c r="O32" s="4">
        <v>0.20119999999999999</v>
      </c>
      <c r="P32" s="2">
        <f>+K$32*$J32*P$11</f>
        <v>31444750</v>
      </c>
      <c r="Q32" s="2">
        <f>+L$32*$J32*Q$11</f>
        <v>6661200</v>
      </c>
      <c r="R32" s="2">
        <f>+M$32*$J32*R$11</f>
        <v>3732125</v>
      </c>
      <c r="S32" s="2">
        <f>+N$32*$J32*S$11</f>
        <v>3666425</v>
      </c>
      <c r="T32" s="2">
        <f>+O$32*$J32*T$11</f>
        <v>3671900</v>
      </c>
    </row>
    <row r="33" spans="1:30" x14ac:dyDescent="0.2">
      <c r="A33" t="s">
        <v>29</v>
      </c>
      <c r="B33" s="2">
        <f t="shared" si="3"/>
        <v>5621454</v>
      </c>
      <c r="C33" s="2">
        <f t="shared" si="4"/>
        <v>3308091.2816881053</v>
      </c>
      <c r="D33" s="2">
        <f t="shared" si="5"/>
        <v>2191399.6144639845</v>
      </c>
      <c r="E33" s="14">
        <f t="shared" si="6"/>
        <v>0.22362091498773806</v>
      </c>
      <c r="F33" s="2">
        <f t="shared" si="9"/>
        <v>5621454</v>
      </c>
      <c r="G33">
        <v>15</v>
      </c>
      <c r="H33">
        <f t="shared" si="10"/>
        <v>180</v>
      </c>
      <c r="I33">
        <f>SUM($P$11:$AD$11)</f>
        <v>5479</v>
      </c>
      <c r="J33" s="3">
        <v>2700</v>
      </c>
      <c r="K33" s="4">
        <v>0.38</v>
      </c>
      <c r="L33" s="4"/>
      <c r="M33" s="4"/>
      <c r="N33" s="4"/>
      <c r="O33" s="4"/>
      <c r="P33" s="2">
        <f t="shared" ref="P33:AD33" si="15">+$K33*$J33*P$11</f>
        <v>374490</v>
      </c>
      <c r="Q33" s="2">
        <f t="shared" si="15"/>
        <v>375516</v>
      </c>
      <c r="R33" s="2">
        <f t="shared" si="15"/>
        <v>374490</v>
      </c>
      <c r="S33" s="2">
        <f t="shared" si="15"/>
        <v>374490</v>
      </c>
      <c r="T33" s="2">
        <f t="shared" si="15"/>
        <v>374490</v>
      </c>
      <c r="U33" s="2">
        <f t="shared" si="15"/>
        <v>375516</v>
      </c>
      <c r="V33" s="2">
        <f t="shared" si="15"/>
        <v>374490</v>
      </c>
      <c r="W33" s="2">
        <f t="shared" si="15"/>
        <v>374490</v>
      </c>
      <c r="X33" s="2">
        <f t="shared" si="15"/>
        <v>374490</v>
      </c>
      <c r="Y33" s="2">
        <f t="shared" si="15"/>
        <v>375516</v>
      </c>
      <c r="Z33" s="2">
        <f t="shared" si="15"/>
        <v>374490</v>
      </c>
      <c r="AA33" s="2">
        <f t="shared" si="15"/>
        <v>374490</v>
      </c>
      <c r="AB33" s="2">
        <f t="shared" si="15"/>
        <v>374490</v>
      </c>
      <c r="AC33" s="2">
        <f t="shared" si="15"/>
        <v>375516</v>
      </c>
      <c r="AD33" s="2">
        <f t="shared" si="15"/>
        <v>374490</v>
      </c>
    </row>
    <row r="34" spans="1:30" x14ac:dyDescent="0.2">
      <c r="A34" t="s">
        <v>29</v>
      </c>
      <c r="B34" s="2">
        <f t="shared" si="3"/>
        <v>2649900.0000000005</v>
      </c>
      <c r="C34" s="2">
        <f t="shared" si="4"/>
        <v>2465023.2558139539</v>
      </c>
      <c r="D34" s="2">
        <f t="shared" si="5"/>
        <v>2304260.8695652178</v>
      </c>
      <c r="E34" s="14">
        <f t="shared" si="6"/>
        <v>2.0465116279069773</v>
      </c>
      <c r="F34" s="2">
        <f t="shared" si="9"/>
        <v>2649900.0000000005</v>
      </c>
      <c r="G34">
        <v>1</v>
      </c>
      <c r="H34">
        <f t="shared" si="10"/>
        <v>12</v>
      </c>
      <c r="I34">
        <f>SUM($P$11)</f>
        <v>365</v>
      </c>
      <c r="J34" s="3">
        <v>3300</v>
      </c>
      <c r="K34" s="4">
        <v>2.2000000000000002</v>
      </c>
      <c r="L34" s="4"/>
      <c r="M34" s="4"/>
      <c r="N34" s="4"/>
      <c r="O34" s="4"/>
      <c r="P34" s="2">
        <f>+$K34*$J34*P$11</f>
        <v>2649900.0000000005</v>
      </c>
    </row>
    <row r="35" spans="1:30" x14ac:dyDescent="0.2">
      <c r="A35" t="s">
        <v>29</v>
      </c>
      <c r="B35" s="2">
        <f t="shared" si="3"/>
        <v>1606000</v>
      </c>
      <c r="C35" s="2">
        <f t="shared" si="4"/>
        <v>1493953.4883720931</v>
      </c>
      <c r="D35" s="2">
        <f t="shared" si="5"/>
        <v>1396521.7391304348</v>
      </c>
      <c r="E35" s="14">
        <f t="shared" si="6"/>
        <v>2.0465116279069768</v>
      </c>
      <c r="F35" s="2">
        <f t="shared" si="9"/>
        <v>1606000</v>
      </c>
      <c r="G35">
        <v>1</v>
      </c>
      <c r="H35">
        <f t="shared" si="10"/>
        <v>12</v>
      </c>
      <c r="I35">
        <f>SUM($P$11)</f>
        <v>365</v>
      </c>
      <c r="J35" s="3">
        <v>2000</v>
      </c>
      <c r="K35" s="4">
        <v>2.2000000000000002</v>
      </c>
      <c r="L35" s="4"/>
      <c r="M35" s="4"/>
      <c r="N35" s="4"/>
      <c r="O35" s="4"/>
      <c r="P35" s="2">
        <f>+$K35*$J35*P$11</f>
        <v>1606000</v>
      </c>
    </row>
    <row r="36" spans="1:30" x14ac:dyDescent="0.2">
      <c r="A36" t="s">
        <v>30</v>
      </c>
      <c r="B36" s="2">
        <f t="shared" si="3"/>
        <v>949520</v>
      </c>
      <c r="C36" s="2">
        <f t="shared" si="4"/>
        <v>768358.92735766212</v>
      </c>
      <c r="D36" s="2">
        <f t="shared" si="5"/>
        <v>636632.23230955866</v>
      </c>
      <c r="E36" s="14">
        <f t="shared" si="6"/>
        <v>0.52598502694253979</v>
      </c>
      <c r="F36" s="2">
        <f t="shared" si="9"/>
        <v>949520</v>
      </c>
      <c r="G36">
        <v>5</v>
      </c>
      <c r="H36">
        <f t="shared" si="10"/>
        <v>60</v>
      </c>
      <c r="I36">
        <f>SUM($P$11:$T$11)</f>
        <v>1826</v>
      </c>
      <c r="J36" s="3">
        <v>800</v>
      </c>
      <c r="K36" s="4">
        <v>0.65</v>
      </c>
      <c r="L36" s="4"/>
      <c r="M36" s="4"/>
      <c r="N36" s="4"/>
      <c r="O36" s="4"/>
      <c r="P36" s="2">
        <f>+$K36*$J36*P$11</f>
        <v>189800</v>
      </c>
      <c r="Q36" s="2">
        <f t="shared" ref="Q36:T37" si="16">+$K36*$J36*Q$11</f>
        <v>190320</v>
      </c>
      <c r="R36" s="2">
        <f t="shared" si="16"/>
        <v>189800</v>
      </c>
      <c r="S36" s="2">
        <f t="shared" si="16"/>
        <v>189800</v>
      </c>
      <c r="T36" s="2">
        <f t="shared" si="16"/>
        <v>189800</v>
      </c>
    </row>
    <row r="37" spans="1:30" x14ac:dyDescent="0.2">
      <c r="A37" t="s">
        <v>30</v>
      </c>
      <c r="B37" s="2">
        <f t="shared" si="3"/>
        <v>410850</v>
      </c>
      <c r="C37" s="2">
        <f t="shared" si="4"/>
        <v>332462.99741437304</v>
      </c>
      <c r="D37" s="2">
        <f t="shared" si="5"/>
        <v>275465.86974932824</v>
      </c>
      <c r="E37" s="14">
        <f t="shared" si="6"/>
        <v>0.12138116006366304</v>
      </c>
      <c r="F37" s="2">
        <f t="shared" si="9"/>
        <v>410850</v>
      </c>
      <c r="G37">
        <v>5</v>
      </c>
      <c r="H37">
        <f t="shared" si="10"/>
        <v>60</v>
      </c>
      <c r="I37">
        <f>SUM($P$11:$T$11)</f>
        <v>1826</v>
      </c>
      <c r="J37" s="3">
        <v>1500</v>
      </c>
      <c r="K37" s="4">
        <v>0.15</v>
      </c>
      <c r="L37" s="4"/>
      <c r="M37" s="4"/>
      <c r="N37" s="4"/>
      <c r="O37" s="4"/>
      <c r="P37" s="2">
        <f>+$K37*$J37*P$11</f>
        <v>82125</v>
      </c>
      <c r="Q37" s="2">
        <f t="shared" si="16"/>
        <v>82350</v>
      </c>
      <c r="R37" s="2">
        <f t="shared" si="16"/>
        <v>82125</v>
      </c>
      <c r="S37" s="2">
        <f t="shared" si="16"/>
        <v>82125</v>
      </c>
      <c r="T37" s="2">
        <f t="shared" si="16"/>
        <v>82125</v>
      </c>
    </row>
    <row r="39" spans="1:30" x14ac:dyDescent="0.2">
      <c r="A39" t="s">
        <v>10</v>
      </c>
      <c r="B39" s="2">
        <f>SUM(B14:B38)</f>
        <v>593406974</v>
      </c>
      <c r="C39" s="2">
        <f>SUM(C14:C38)</f>
        <v>445108093.16370374</v>
      </c>
      <c r="D39" s="2">
        <f>SUM(D14:D38)</f>
        <v>368377863.12136501</v>
      </c>
      <c r="E39" s="14"/>
      <c r="F39" s="2">
        <f>SUM(F14:F38)</f>
        <v>593406974</v>
      </c>
      <c r="I39" s="15">
        <f>SUM(I14:I38)</f>
        <v>64593</v>
      </c>
      <c r="J39" s="15">
        <f>SUM(J14:J38)</f>
        <v>609800</v>
      </c>
    </row>
    <row r="41" spans="1:30" x14ac:dyDescent="0.2">
      <c r="C41" s="14"/>
      <c r="D41" s="14"/>
      <c r="F41" s="14"/>
    </row>
    <row r="42" spans="1:30" x14ac:dyDescent="0.2">
      <c r="C42"/>
      <c r="D42"/>
      <c r="E42"/>
      <c r="F42"/>
    </row>
    <row r="43" spans="1:30" x14ac:dyDescent="0.2">
      <c r="C43"/>
      <c r="D43"/>
      <c r="E43"/>
      <c r="F43"/>
    </row>
    <row r="44" spans="1:30" x14ac:dyDescent="0.2">
      <c r="C44"/>
      <c r="D44"/>
      <c r="E44"/>
      <c r="F44"/>
    </row>
    <row r="45" spans="1:30" x14ac:dyDescent="0.2">
      <c r="C45"/>
      <c r="D45"/>
      <c r="E45"/>
      <c r="F45"/>
    </row>
    <row r="46" spans="1:30" x14ac:dyDescent="0.2">
      <c r="C46"/>
      <c r="D46"/>
      <c r="E46"/>
      <c r="F46"/>
    </row>
    <row r="47" spans="1:30" x14ac:dyDescent="0.2">
      <c r="C47"/>
      <c r="D47"/>
      <c r="E47"/>
      <c r="F47"/>
    </row>
    <row r="48" spans="1:30" x14ac:dyDescent="0.2">
      <c r="C48"/>
      <c r="D48"/>
      <c r="E48"/>
      <c r="F48"/>
    </row>
    <row r="49" spans="3:6" x14ac:dyDescent="0.2">
      <c r="C49"/>
      <c r="D49"/>
      <c r="E49"/>
      <c r="F49"/>
    </row>
    <row r="50" spans="3:6" x14ac:dyDescent="0.2">
      <c r="C50"/>
      <c r="D50"/>
      <c r="E50"/>
      <c r="F50"/>
    </row>
    <row r="51" spans="3:6" x14ac:dyDescent="0.2">
      <c r="C51"/>
      <c r="D51"/>
      <c r="E51"/>
      <c r="F51"/>
    </row>
  </sheetData>
  <pageMargins left="0.25" right="0.28000000000000003" top="0.48" bottom="0.49" header="0.5" footer="0.5"/>
  <pageSetup scale="75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Contracts</vt:lpstr>
      <vt:lpstr>NPV</vt:lpstr>
      <vt:lpstr>NPV!Print_Area</vt:lpstr>
      <vt:lpstr>NPV!Print_Titles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Centilli</dc:creator>
  <cp:lastModifiedBy>Felienne</cp:lastModifiedBy>
  <cp:lastPrinted>2001-04-23T16:29:06Z</cp:lastPrinted>
  <dcterms:created xsi:type="dcterms:W3CDTF">2001-04-20T20:28:44Z</dcterms:created>
  <dcterms:modified xsi:type="dcterms:W3CDTF">2014-09-04T08:25:22Z</dcterms:modified>
</cp:coreProperties>
</file>