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op" sheetId="5" r:id="rId1"/>
  </sheets>
  <externalReferences>
    <externalReference r:id="rId2"/>
  </externalReferences>
  <definedNames>
    <definedName name="_xlnm.Print_Area" localSheetId="0">Top!$A$1:$Z$87</definedName>
    <definedName name="timediff">Top!$I$1</definedName>
  </definedNames>
  <calcPr calcId="152511" calcMode="manual"/>
</workbook>
</file>

<file path=xl/calcChain.xml><?xml version="1.0" encoding="utf-8"?>
<calcChain xmlns="http://schemas.openxmlformats.org/spreadsheetml/2006/main">
  <c r="I1" i="5" l="1"/>
  <c r="O12" i="5"/>
  <c r="D3" i="5" s="1"/>
  <c r="P12" i="5"/>
  <c r="O13" i="5"/>
  <c r="O32" i="5" s="1"/>
  <c r="P13" i="5"/>
  <c r="O14" i="5"/>
  <c r="P14" i="5"/>
  <c r="O15" i="5"/>
  <c r="A51" i="5" s="1"/>
  <c r="P15" i="5"/>
  <c r="O16" i="5"/>
  <c r="P16" i="5"/>
  <c r="O17" i="5"/>
  <c r="A65" i="5" s="1"/>
  <c r="P17" i="5"/>
  <c r="O18" i="5"/>
  <c r="P18" i="5"/>
  <c r="O19" i="5"/>
  <c r="O30" i="5" s="1"/>
  <c r="P19" i="5"/>
  <c r="O20" i="5"/>
  <c r="P20" i="5"/>
  <c r="O21" i="5"/>
  <c r="P21" i="5"/>
  <c r="O22" i="5"/>
  <c r="P22" i="5"/>
  <c r="O23" i="5"/>
  <c r="P23" i="5"/>
  <c r="P24" i="5"/>
  <c r="O25" i="5"/>
  <c r="P25" i="5"/>
  <c r="P26" i="5"/>
  <c r="O28" i="5"/>
  <c r="A32" i="5"/>
  <c r="D33" i="5" s="1"/>
  <c r="D42" i="5"/>
  <c r="D43" i="5"/>
  <c r="A44" i="5"/>
  <c r="D45" i="5" s="1"/>
  <c r="D44" i="5"/>
  <c r="D46" i="5"/>
  <c r="A57" i="5"/>
  <c r="D56" i="5" s="1"/>
  <c r="D57" i="5"/>
  <c r="D59" i="5"/>
  <c r="D61" i="5"/>
  <c r="G70" i="5"/>
  <c r="B73" i="5"/>
  <c r="F73" i="5"/>
  <c r="B74" i="5"/>
  <c r="B78" i="5"/>
  <c r="F78" i="5"/>
  <c r="J79" i="5"/>
  <c r="J83" i="5"/>
  <c r="J85" i="5" s="1"/>
  <c r="D52" i="5" l="1"/>
  <c r="D54" i="5"/>
  <c r="D49" i="5"/>
  <c r="D53" i="5"/>
  <c r="D50" i="5"/>
  <c r="D51" i="5"/>
  <c r="D48" i="5"/>
  <c r="D8" i="5"/>
  <c r="D27" i="5"/>
  <c r="D5" i="5"/>
  <c r="D13" i="5"/>
  <c r="D15" i="5"/>
  <c r="D17" i="5"/>
  <c r="D19" i="5"/>
  <c r="D21" i="5"/>
  <c r="D23" i="5"/>
  <c r="D28" i="5"/>
  <c r="D10" i="5"/>
  <c r="D11" i="5"/>
  <c r="H3" i="5"/>
  <c r="D25" i="5"/>
  <c r="D9" i="5"/>
  <c r="D6" i="5"/>
  <c r="D26" i="5"/>
  <c r="D7" i="5"/>
  <c r="D12" i="5"/>
  <c r="D14" i="5"/>
  <c r="D16" i="5"/>
  <c r="D18" i="5"/>
  <c r="D20" i="5"/>
  <c r="D22" i="5"/>
  <c r="D24" i="5"/>
  <c r="D67" i="5"/>
  <c r="D64" i="5"/>
  <c r="D68" i="5"/>
  <c r="D65" i="5"/>
  <c r="D62" i="5"/>
  <c r="D66" i="5"/>
  <c r="D63" i="5"/>
  <c r="D69" i="5"/>
  <c r="D30" i="5"/>
  <c r="D55" i="5"/>
  <c r="D40" i="5"/>
  <c r="D36" i="5"/>
  <c r="D58" i="5"/>
  <c r="D47" i="5"/>
  <c r="D32" i="5"/>
  <c r="D29" i="5"/>
  <c r="D34" i="5"/>
  <c r="D60" i="5"/>
  <c r="D39" i="5"/>
  <c r="D35" i="5"/>
  <c r="D38" i="5"/>
  <c r="D31" i="5"/>
  <c r="D41" i="5"/>
  <c r="D37" i="5"/>
  <c r="D74" i="5" l="1"/>
  <c r="D73" i="5"/>
  <c r="C83" i="5"/>
  <c r="D70" i="5" s="1"/>
  <c r="C80" i="5" s="1"/>
  <c r="H30" i="5"/>
  <c r="H44" i="5"/>
  <c r="H48" i="5"/>
  <c r="H59" i="5"/>
  <c r="H63" i="5"/>
  <c r="H52" i="5"/>
  <c r="H67" i="5"/>
  <c r="H25" i="5"/>
  <c r="H64" i="5"/>
  <c r="H15" i="5"/>
  <c r="H17" i="5"/>
  <c r="H19" i="5"/>
  <c r="H21" i="5"/>
  <c r="H23" i="5"/>
  <c r="H28" i="5"/>
  <c r="H31" i="5"/>
  <c r="H34" i="5"/>
  <c r="H38" i="5"/>
  <c r="H61" i="5"/>
  <c r="H8" i="5"/>
  <c r="H27" i="5"/>
  <c r="H33" i="5"/>
  <c r="H37" i="5"/>
  <c r="H41" i="5"/>
  <c r="H56" i="5"/>
  <c r="H45" i="5"/>
  <c r="H49" i="5"/>
  <c r="H60" i="5"/>
  <c r="H13" i="5"/>
  <c r="H42" i="5"/>
  <c r="H53" i="5"/>
  <c r="H68" i="5"/>
  <c r="H46" i="5"/>
  <c r="H5" i="5"/>
  <c r="H78" i="5" s="1"/>
  <c r="C82" i="5" s="1"/>
  <c r="H6" i="5"/>
  <c r="H11" i="5"/>
  <c r="H35" i="5"/>
  <c r="H39" i="5"/>
  <c r="H43" i="5"/>
  <c r="H54" i="5"/>
  <c r="H65" i="5"/>
  <c r="H69" i="5"/>
  <c r="H26" i="5"/>
  <c r="H29" i="5"/>
  <c r="H32" i="5"/>
  <c r="H47" i="5"/>
  <c r="H58" i="5"/>
  <c r="H62" i="5"/>
  <c r="H7" i="5"/>
  <c r="H12" i="5"/>
  <c r="H14" i="5"/>
  <c r="H16" i="5"/>
  <c r="H18" i="5"/>
  <c r="H20" i="5"/>
  <c r="H22" i="5"/>
  <c r="H24" i="5"/>
  <c r="H36" i="5"/>
  <c r="H40" i="5"/>
  <c r="H51" i="5"/>
  <c r="H55" i="5"/>
  <c r="H66" i="5"/>
  <c r="H50" i="5"/>
  <c r="H57" i="5"/>
  <c r="H70" i="5" l="1"/>
  <c r="H73" i="5"/>
  <c r="C79" i="5" s="1"/>
  <c r="C85" i="5" s="1"/>
  <c r="C87" i="5" s="1"/>
</calcChain>
</file>

<file path=xl/sharedStrings.xml><?xml version="1.0" encoding="utf-8"?>
<sst xmlns="http://schemas.openxmlformats.org/spreadsheetml/2006/main" count="61" uniqueCount="50">
  <si>
    <t>X</t>
  </si>
  <si>
    <t>Z</t>
  </si>
  <si>
    <t>F</t>
  </si>
  <si>
    <t>G</t>
  </si>
  <si>
    <t>H</t>
  </si>
  <si>
    <t>Jul</t>
  </si>
  <si>
    <t>Aug-Mar</t>
  </si>
  <si>
    <t>Gas Daily opening</t>
  </si>
  <si>
    <t>Dec Opening</t>
  </si>
  <si>
    <t>V</t>
  </si>
  <si>
    <t>J</t>
  </si>
  <si>
    <t>K</t>
  </si>
  <si>
    <t>M</t>
  </si>
  <si>
    <t>N</t>
  </si>
  <si>
    <t>Q</t>
  </si>
  <si>
    <t>U</t>
  </si>
  <si>
    <t>X 1 yr</t>
  </si>
  <si>
    <t>New Deals PL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</si>
  <si>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</si>
  <si>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Days</t>
  </si>
  <si>
    <t>Days in Month</t>
  </si>
  <si>
    <t xml:space="preserve"> </t>
  </si>
  <si>
    <t>NYMEX Opening</t>
  </si>
  <si>
    <t>Opening</t>
  </si>
  <si>
    <t>Total</t>
  </si>
  <si>
    <t>New deal-GD</t>
  </si>
  <si>
    <t>Current month GD Swap</t>
  </si>
  <si>
    <t>New deal nymex</t>
  </si>
  <si>
    <t>Swaps C\S</t>
  </si>
  <si>
    <t>Nymex C\S</t>
  </si>
  <si>
    <t>Total Nymex position</t>
  </si>
  <si>
    <t>-----------</t>
  </si>
  <si>
    <t>Net</t>
  </si>
  <si>
    <t>Estimate</t>
  </si>
  <si>
    <t xml:space="preserve">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</si>
  <si>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</t>
  </si>
  <si>
    <t>EOL Buys</t>
  </si>
  <si>
    <t>EOL Sells</t>
  </si>
  <si>
    <t>PM EOL Buys</t>
  </si>
  <si>
    <t>PM EOL Sells</t>
  </si>
  <si>
    <t xml:space="preserve">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</si>
  <si>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</si>
  <si>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XH</t>
  </si>
  <si>
    <t>JV</t>
  </si>
  <si>
    <t>Apr-Oct</t>
  </si>
  <si>
    <t>Nov</t>
  </si>
  <si>
    <t>Jan Opening</t>
  </si>
  <si>
    <t xml:space="preserve">Feb </t>
  </si>
  <si>
    <t>March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</si>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</sst>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6" formatCode="&quot;$&quot;#,##0"/>
    <numFmt numFmtId="174" formatCode="#,##0.000_);[Red]\(#,##0.000\)"/>
    <numFmt numFmtId="178" formatCode="_-* #,##0_-;\-* #,##0_-;_-* &quot;-&quot;_-;_-@_-"/>
    <numFmt numFmtId="179" formatCode="_-* #,##0.00_-;\-* #,##0.00_-;_-* &quot;-&quot;??_-;_-@_-"/>
    <numFmt numFmtId="180" formatCode="_-&quot;£&quot;* #,##0_-;\-&quot;£&quot;* #,##0_-;_-&quot;£&quot;* &quot;-&quot;_-;_-@_-"/>
    <numFmt numFmtId="181" formatCode="_-&quot;£&quot;* #,##0.00_-;\-&quot;£&quot;* #,##0.00_-;_-&quot;£&quot;* &quot;-&quot;??_-;_-@_-"/>
    <numFmt numFmtId="182" formatCode="General_)"/>
  </numFmts>
  <fonts count="9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4"/>
      <name val="Arial"/>
    </font>
    <font>
      <sz val="10"/>
      <name val="Times New Roman"/>
    </font>
    <font>
      <sz val="10"/>
      <name val="Tms Rmn"/>
    </font>
    <font>
      <sz val="1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3" fontId="0" fillId="0" borderId="0" xfId="0" applyNumberFormat="1"/>
    <xf numFmtId="0" fontId="0" fillId="0" borderId="1" xfId="0" applyBorder="1"/>
    <xf numFmtId="6" fontId="0" fillId="0" borderId="2" xfId="0" applyNumberFormat="1" applyBorder="1"/>
    <xf numFmtId="0" fontId="0" fillId="2" borderId="0" xfId="0" applyFill="1"/>
    <xf numFmtId="6" fontId="0" fillId="2" borderId="0" xfId="0" applyNumberFormat="1" applyFill="1"/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165" fontId="0" fillId="0" borderId="0" xfId="0" applyNumberFormat="1" applyBorder="1"/>
    <xf numFmtId="0" fontId="3" fillId="0" borderId="0" xfId="0" applyFont="1"/>
    <xf numFmtId="6" fontId="0" fillId="0" borderId="0" xfId="0" applyNumberFormat="1" applyBorder="1"/>
    <xf numFmtId="6" fontId="0" fillId="0" borderId="3" xfId="0" applyNumberFormat="1" applyBorder="1"/>
    <xf numFmtId="0" fontId="2" fillId="0" borderId="0" xfId="0" applyFont="1" applyFill="1"/>
    <xf numFmtId="6" fontId="2" fillId="0" borderId="0" xfId="0" applyNumberFormat="1" applyFont="1" applyFill="1"/>
    <xf numFmtId="165" fontId="0" fillId="0" borderId="6" xfId="0" applyNumberFormat="1" applyBorder="1"/>
    <xf numFmtId="165" fontId="0" fillId="3" borderId="3" xfId="0" applyNumberFormat="1" applyFill="1" applyBorder="1"/>
    <xf numFmtId="165" fontId="0" fillId="0" borderId="7" xfId="0" applyNumberFormat="1" applyBorder="1"/>
    <xf numFmtId="4" fontId="0" fillId="0" borderId="2" xfId="0" applyNumberFormat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0" xfId="0" applyNumberFormat="1"/>
    <xf numFmtId="4" fontId="0" fillId="2" borderId="0" xfId="0" applyNumberFormat="1" applyFill="1"/>
    <xf numFmtId="38" fontId="0" fillId="0" borderId="0" xfId="0" applyNumberFormat="1"/>
    <xf numFmtId="38" fontId="3" fillId="3" borderId="4" xfId="0" applyNumberFormat="1" applyFont="1" applyFill="1" applyBorder="1"/>
    <xf numFmtId="38" fontId="0" fillId="3" borderId="5" xfId="0" applyNumberFormat="1" applyFill="1" applyBorder="1"/>
    <xf numFmtId="38" fontId="0" fillId="0" borderId="1" xfId="0" applyNumberFormat="1" applyBorder="1"/>
    <xf numFmtId="38" fontId="0" fillId="0" borderId="5" xfId="0" applyNumberFormat="1" applyBorder="1"/>
    <xf numFmtId="38" fontId="0" fillId="0" borderId="10" xfId="0" applyNumberFormat="1" applyBorder="1"/>
    <xf numFmtId="38" fontId="0" fillId="2" borderId="0" xfId="0" applyNumberFormat="1" applyFill="1"/>
    <xf numFmtId="38" fontId="0" fillId="4" borderId="3" xfId="0" applyNumberFormat="1" applyFill="1" applyBorder="1"/>
    <xf numFmtId="38" fontId="0" fillId="4" borderId="0" xfId="0" applyNumberFormat="1" applyFill="1" applyBorder="1"/>
    <xf numFmtId="38" fontId="0" fillId="4" borderId="6" xfId="0" applyNumberFormat="1" applyFill="1" applyBorder="1"/>
    <xf numFmtId="3" fontId="0" fillId="4" borderId="11" xfId="0" applyNumberFormat="1" applyFill="1" applyBorder="1"/>
    <xf numFmtId="3" fontId="0" fillId="4" borderId="2" xfId="0" applyNumberFormat="1" applyFill="1" applyBorder="1"/>
    <xf numFmtId="3" fontId="0" fillId="4" borderId="8" xfId="0" applyNumberFormat="1" applyFill="1" applyBorder="1"/>
    <xf numFmtId="38" fontId="0" fillId="4" borderId="2" xfId="0" applyNumberFormat="1" applyFill="1" applyBorder="1"/>
    <xf numFmtId="38" fontId="0" fillId="4" borderId="8" xfId="0" applyNumberFormat="1" applyFill="1" applyBorder="1"/>
    <xf numFmtId="0" fontId="4" fillId="2" borderId="0" xfId="0" applyFont="1" applyFill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4" fillId="0" borderId="0" xfId="0" applyFont="1"/>
    <xf numFmtId="166" fontId="5" fillId="0" borderId="0" xfId="0" applyNumberFormat="1" applyFont="1"/>
    <xf numFmtId="166" fontId="4" fillId="2" borderId="0" xfId="0" applyNumberFormat="1" applyFont="1" applyFill="1"/>
    <xf numFmtId="4" fontId="4" fillId="2" borderId="0" xfId="0" applyNumberFormat="1" applyFont="1" applyFill="1"/>
    <xf numFmtId="0" fontId="0" fillId="0" borderId="12" xfId="0" applyBorder="1"/>
    <xf numFmtId="165" fontId="0" fillId="3" borderId="6" xfId="0" applyNumberFormat="1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166" fontId="0" fillId="0" borderId="0" xfId="0" applyNumberFormat="1"/>
    <xf numFmtId="174" fontId="0" fillId="3" borderId="11" xfId="0" applyNumberFormat="1" applyFill="1" applyBorder="1"/>
    <xf numFmtId="0" fontId="0" fillId="0" borderId="0" xfId="0" applyBorder="1"/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3" fillId="0" borderId="0" xfId="0" applyFont="1" applyAlignment="1">
      <alignment horizontal="left"/>
    </xf>
    <xf numFmtId="4" fontId="4" fillId="0" borderId="14" xfId="0" applyNumberFormat="1" applyFont="1" applyBorder="1"/>
    <xf numFmtId="0" fontId="3" fillId="0" borderId="0" xfId="0" applyFont="1" applyAlignment="1">
      <alignment horizontal="center"/>
    </xf>
    <xf numFmtId="6" fontId="3" fillId="0" borderId="0" xfId="0" applyNumberFormat="1" applyFont="1" applyBorder="1" applyAlignment="1">
      <alignment horizontal="center"/>
    </xf>
    <xf numFmtId="0" fontId="4" fillId="0" borderId="4" xfId="0" applyFont="1" applyBorder="1"/>
    <xf numFmtId="165" fontId="4" fillId="0" borderId="3" xfId="0" applyNumberFormat="1" applyFont="1" applyBorder="1"/>
    <xf numFmtId="0" fontId="4" fillId="0" borderId="5" xfId="0" applyFont="1" applyBorder="1"/>
    <xf numFmtId="165" fontId="4" fillId="0" borderId="6" xfId="0" applyNumberFormat="1" applyFont="1" applyBorder="1"/>
    <xf numFmtId="38" fontId="0" fillId="0" borderId="3" xfId="0" applyNumberFormat="1" applyBorder="1"/>
    <xf numFmtId="6" fontId="0" fillId="0" borderId="15" xfId="0" applyNumberFormat="1" applyBorder="1"/>
    <xf numFmtId="6" fontId="0" fillId="0" borderId="16" xfId="0" applyNumberFormat="1" applyBorder="1"/>
    <xf numFmtId="166" fontId="0" fillId="0" borderId="0" xfId="0" applyNumberFormat="1" applyBorder="1"/>
    <xf numFmtId="8" fontId="0" fillId="0" borderId="0" xfId="0" applyNumberFormat="1" applyAlignment="1">
      <alignment horizontal="right"/>
    </xf>
    <xf numFmtId="6" fontId="4" fillId="0" borderId="0" xfId="0" applyNumberFormat="1" applyFont="1" applyAlignment="1">
      <alignment horizontal="right"/>
    </xf>
    <xf numFmtId="6" fontId="0" fillId="0" borderId="17" xfId="0" applyNumberFormat="1" applyBorder="1"/>
    <xf numFmtId="14" fontId="0" fillId="0" borderId="0" xfId="0" applyNumberFormat="1"/>
    <xf numFmtId="1" fontId="0" fillId="0" borderId="0" xfId="0" applyNumberFormat="1"/>
    <xf numFmtId="38" fontId="0" fillId="0" borderId="1" xfId="0" applyNumberFormat="1" applyFill="1" applyBorder="1"/>
    <xf numFmtId="38" fontId="0" fillId="0" borderId="10" xfId="0" applyNumberFormat="1" applyFill="1" applyBorder="1"/>
    <xf numFmtId="38" fontId="4" fillId="0" borderId="0" xfId="0" applyNumberFormat="1" applyFont="1"/>
    <xf numFmtId="6" fontId="4" fillId="0" borderId="0" xfId="0" applyNumberFormat="1" applyFont="1"/>
    <xf numFmtId="165" fontId="0" fillId="0" borderId="18" xfId="0" applyNumberFormat="1" applyBorder="1"/>
    <xf numFmtId="174" fontId="0" fillId="3" borderId="4" xfId="0" applyNumberFormat="1" applyFill="1" applyBorder="1"/>
    <xf numFmtId="38" fontId="4" fillId="0" borderId="1" xfId="0" applyNumberFormat="1" applyFont="1" applyBorder="1"/>
    <xf numFmtId="165" fontId="0" fillId="0" borderId="0" xfId="0" applyNumberFormat="1"/>
    <xf numFmtId="164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5" fontId="4" fillId="0" borderId="0" xfId="0" applyNumberFormat="1" applyFont="1"/>
    <xf numFmtId="14" fontId="3" fillId="0" borderId="0" xfId="0" applyNumberFormat="1" applyFont="1"/>
    <xf numFmtId="1" fontId="0" fillId="4" borderId="3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c1 LAST" advise="1">
        <values>
          <value>
            <val>5.2249999999999996</val>
          </value>
        </values>
      </ddeItem>
      <ddeItem name="NGc10 LAST" advise="1">
        <values>
          <value>
            <val>4.47</val>
          </value>
        </values>
      </ddeItem>
      <ddeItem name="NGc11 LAST" advise="1">
        <values>
          <value>
            <val>4.47</val>
          </value>
        </values>
      </ddeItem>
      <ddeItem name="NGc12 LAST" advise="1">
        <values>
          <value>
            <val>4.4800000000000004</val>
          </value>
        </values>
      </ddeItem>
      <ddeItem name="NGc13 LAST" advise="1">
        <values>
          <value>
            <val>4.58</val>
          </value>
        </values>
      </ddeItem>
      <ddeItem name="NGc14 LAST" advise="1">
        <values>
          <value>
            <val>4.6900000000000004</val>
          </value>
        </values>
      </ddeItem>
      <ddeItem name="NGc15 LAST" advise="1">
        <values>
          <value>
            <val>0</val>
          </value>
        </values>
      </ddeItem>
      <ddeItem name="NGc2 LAST" advise="1">
        <values>
          <value>
            <val>5.3250000000000002</val>
          </value>
        </values>
      </ddeItem>
      <ddeItem name="NGc3 LAST" advise="1">
        <values>
          <value>
            <val>5.28</val>
          </value>
        </values>
      </ddeItem>
      <ddeItem name="NGc4 LAST" advise="1">
        <values>
          <value>
            <val>5.0750000000000002</val>
          </value>
        </values>
      </ddeItem>
      <ddeItem name="NGc5 LAST" advise="1">
        <values>
          <value>
            <val>4.8099999999999996</val>
          </value>
        </values>
      </ddeItem>
      <ddeItem name="NGc6 LAST" advise="1">
        <values>
          <value>
            <val>4.59</val>
          </value>
        </values>
      </ddeItem>
      <ddeItem name="NGc7 LAST" advise="1">
        <values>
          <value>
            <val>4.51</val>
          </value>
        </values>
      </ddeItem>
      <ddeItem name="NGc8 LAST" advise="1">
        <values>
          <value>
            <val>4.5</val>
          </value>
        </values>
      </ddeItem>
      <ddeItem name="NGc9 LAST" advise="1">
        <values>
          <value>
            <val>4.4800000000000004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108"/>
  <sheetViews>
    <sheetView tabSelected="1" zoomScale="60" workbookViewId="0">
      <selection activeCell="J40" sqref="J40"/>
    </sheetView>
  </sheetViews>
  <sheetFormatPr defaultRowHeight="12.75" x14ac:dyDescent="0.2"/>
  <cols>
    <col min="1" max="1" width="24.5703125" style="15" customWidth="1"/>
    <col min="2" max="2" width="9.42578125" style="28" customWidth="1"/>
    <col min="3" max="3" width="12.7109375" customWidth="1"/>
    <col min="4" max="4" width="15.28515625" customWidth="1"/>
    <col min="5" max="5" width="9.42578125" bestFit="1" customWidth="1"/>
    <col min="6" max="6" width="11.85546875" bestFit="1" customWidth="1"/>
    <col min="7" max="7" width="13" bestFit="1" customWidth="1"/>
    <col min="8" max="8" width="13.28515625" customWidth="1"/>
    <col min="9" max="9" width="18.7109375" style="60" customWidth="1"/>
    <col min="10" max="10" width="10.140625" customWidth="1"/>
    <col min="11" max="11" width="10.42578125" bestFit="1" customWidth="1"/>
    <col min="12" max="12" width="12.28515625" customWidth="1"/>
    <col min="13" max="13" width="17" customWidth="1"/>
    <col min="14" max="14" width="14.5703125" customWidth="1"/>
    <col min="15" max="15" width="17.28515625" customWidth="1"/>
    <col min="16" max="16" width="9.7109375" customWidth="1"/>
    <col min="17" max="17" width="4.42578125" customWidth="1"/>
    <col min="20" max="20" width="12" customWidth="1"/>
    <col min="21" max="21" width="2.7109375" customWidth="1"/>
    <col min="22" max="22" width="8.42578125" customWidth="1"/>
    <col min="24" max="24" width="14.140625" customWidth="1"/>
  </cols>
  <sheetData>
    <row r="1" spans="1:18" x14ac:dyDescent="0.2">
      <c r="A1" s="15" t="s">
        <v>19</v>
      </c>
      <c r="B1" s="28">
        <v>10</v>
      </c>
      <c r="C1">
        <v>5</v>
      </c>
      <c r="D1">
        <v>2000</v>
      </c>
      <c r="F1" s="15" t="s">
        <v>20</v>
      </c>
      <c r="G1">
        <v>31</v>
      </c>
      <c r="I1" s="59">
        <f>+G1-C1</f>
        <v>26</v>
      </c>
    </row>
    <row r="2" spans="1:18" ht="13.5" thickBot="1" x14ac:dyDescent="0.25">
      <c r="D2" s="15"/>
      <c r="R2" t="s">
        <v>21</v>
      </c>
    </row>
    <row r="3" spans="1:18" x14ac:dyDescent="0.2">
      <c r="B3" s="29" t="s">
        <v>45</v>
      </c>
      <c r="C3" s="21"/>
      <c r="D3" s="92">
        <f>O12</f>
        <v>5.2249999999999996</v>
      </c>
      <c r="F3" s="89">
        <v>-0.04</v>
      </c>
      <c r="G3" s="6"/>
      <c r="H3" s="57">
        <f>F3+D3</f>
        <v>5.1849999999999996</v>
      </c>
    </row>
    <row r="4" spans="1:18" ht="13.5" thickBot="1" x14ac:dyDescent="0.25">
      <c r="B4" s="30"/>
      <c r="C4" s="52"/>
      <c r="D4" s="53"/>
      <c r="F4" s="54"/>
      <c r="G4" s="55"/>
      <c r="H4" s="53"/>
      <c r="O4" s="15"/>
    </row>
    <row r="5" spans="1:18" x14ac:dyDescent="0.2">
      <c r="A5" s="15" t="s">
        <v>22</v>
      </c>
      <c r="B5" s="84">
        <v>-630</v>
      </c>
      <c r="C5" s="14">
        <v>5.29</v>
      </c>
      <c r="D5" s="23">
        <f>($D$3-C5)*B5*10000</f>
        <v>409500.00000000244</v>
      </c>
      <c r="F5" s="31">
        <v>23970</v>
      </c>
      <c r="G5" s="14">
        <v>5.25</v>
      </c>
      <c r="H5" s="3">
        <f>($H$3-G5)*F5*timediff</f>
        <v>-40509.300000000243</v>
      </c>
      <c r="I5" s="67" t="s">
        <v>23</v>
      </c>
      <c r="N5" s="15"/>
      <c r="O5" s="15"/>
    </row>
    <row r="6" spans="1:18" ht="13.5" thickBot="1" x14ac:dyDescent="0.25">
      <c r="A6" s="15" t="s">
        <v>7</v>
      </c>
      <c r="B6" s="84">
        <v>0</v>
      </c>
      <c r="C6" s="14">
        <v>0</v>
      </c>
      <c r="D6" s="23">
        <f>($D$3-C6)*B6*10000</f>
        <v>0</v>
      </c>
      <c r="F6" s="2">
        <v>0</v>
      </c>
      <c r="G6" s="14">
        <v>0</v>
      </c>
      <c r="H6" s="3">
        <f>($H$3-G6)*F6*timediff</f>
        <v>0</v>
      </c>
      <c r="I6" s="62"/>
      <c r="N6" s="15"/>
      <c r="O6" s="15"/>
    </row>
    <row r="7" spans="1:18" ht="13.5" thickBot="1" x14ac:dyDescent="0.25">
      <c r="A7" s="47"/>
      <c r="B7" s="84">
        <v>0</v>
      </c>
      <c r="C7" s="14">
        <v>0</v>
      </c>
      <c r="D7" s="23">
        <f>($D$3-C7)*B7*10000</f>
        <v>0</v>
      </c>
      <c r="E7">
        <v>0</v>
      </c>
      <c r="F7" s="71">
        <v>0</v>
      </c>
      <c r="G7" s="72">
        <v>0</v>
      </c>
      <c r="H7" s="81">
        <f>($H$3-G7)*F7*timediff</f>
        <v>0</v>
      </c>
      <c r="I7" s="69" t="s">
        <v>36</v>
      </c>
      <c r="N7" s="15"/>
      <c r="O7" s="15"/>
    </row>
    <row r="8" spans="1:18" ht="15" customHeight="1" thickBot="1" x14ac:dyDescent="0.25">
      <c r="A8" s="47"/>
      <c r="B8" s="84">
        <v>60</v>
      </c>
      <c r="C8" s="14">
        <v>5.22</v>
      </c>
      <c r="D8" s="23">
        <f>($D$3-C8)*B8*10000</f>
        <v>2999.9999999999359</v>
      </c>
      <c r="E8">
        <v>0</v>
      </c>
      <c r="F8" s="73">
        <v>-25000</v>
      </c>
      <c r="G8" s="74">
        <v>5.1924999999999999</v>
      </c>
      <c r="H8" s="77">
        <f>($H$3-G8)*F8*timediff</f>
        <v>4875.0000000001846</v>
      </c>
      <c r="I8" s="70" t="s">
        <v>37</v>
      </c>
      <c r="N8" s="15"/>
      <c r="O8" s="15"/>
    </row>
    <row r="9" spans="1:18" ht="14.25" customHeight="1" x14ac:dyDescent="0.2">
      <c r="A9" s="47"/>
      <c r="B9" s="84">
        <v>0</v>
      </c>
      <c r="C9" s="14">
        <v>0</v>
      </c>
      <c r="D9" s="23">
        <f>($D$3-C9)*B9*10000</f>
        <v>0</v>
      </c>
      <c r="F9" s="2">
        <v>0</v>
      </c>
      <c r="G9" s="14">
        <v>0</v>
      </c>
      <c r="H9" s="3">
        <v>0</v>
      </c>
      <c r="I9" s="62" t="s">
        <v>40</v>
      </c>
      <c r="N9" s="15"/>
      <c r="O9" s="15"/>
    </row>
    <row r="10" spans="1:18" ht="13.5" thickBot="1" x14ac:dyDescent="0.25">
      <c r="A10" s="47"/>
      <c r="B10" s="84">
        <v>0</v>
      </c>
      <c r="C10" s="14">
        <v>0</v>
      </c>
      <c r="D10" s="23">
        <f t="shared" ref="D10:D26" si="0">($D$3-C10)*B10*10000</f>
        <v>0</v>
      </c>
      <c r="F10" s="2">
        <v>0</v>
      </c>
      <c r="G10" s="14">
        <v>0</v>
      </c>
      <c r="H10" s="3">
        <v>0</v>
      </c>
      <c r="I10" s="62"/>
      <c r="N10" s="15"/>
      <c r="O10" s="15"/>
    </row>
    <row r="11" spans="1:18" x14ac:dyDescent="0.2">
      <c r="A11" s="87"/>
      <c r="B11" s="84">
        <v>0</v>
      </c>
      <c r="C11" s="14">
        <v>0</v>
      </c>
      <c r="D11" s="23">
        <f t="shared" si="0"/>
        <v>0</v>
      </c>
      <c r="F11" s="71">
        <v>0</v>
      </c>
      <c r="G11" s="72">
        <v>0</v>
      </c>
      <c r="H11" s="76">
        <f>($H$3-G11)*F11*(timediff-3)</f>
        <v>0</v>
      </c>
      <c r="I11" s="69" t="s">
        <v>38</v>
      </c>
      <c r="N11" s="15"/>
    </row>
    <row r="12" spans="1:18" ht="13.5" thickBot="1" x14ac:dyDescent="0.25">
      <c r="A12" s="47"/>
      <c r="B12" s="84">
        <v>0</v>
      </c>
      <c r="C12" s="14">
        <v>0</v>
      </c>
      <c r="D12" s="23">
        <f t="shared" si="0"/>
        <v>0</v>
      </c>
      <c r="F12" s="73">
        <v>0</v>
      </c>
      <c r="G12" s="74">
        <v>0</v>
      </c>
      <c r="H12" s="77">
        <f>($H$3-G12)*F12*(timediff-1)</f>
        <v>0</v>
      </c>
      <c r="I12" s="69" t="s">
        <v>39</v>
      </c>
      <c r="N12" s="15" t="s">
        <v>0</v>
      </c>
      <c r="O12" s="15">
        <f>[1]!'NGc1 LAST'</f>
        <v>5.2249999999999996</v>
      </c>
      <c r="P12" s="15">
        <f>[1]!'NGc1 LAST'</f>
        <v>5.2249999999999996</v>
      </c>
    </row>
    <row r="13" spans="1:18" ht="11.25" customHeight="1" x14ac:dyDescent="0.2">
      <c r="A13" s="47"/>
      <c r="B13" s="84">
        <v>0</v>
      </c>
      <c r="C13" s="14">
        <v>0</v>
      </c>
      <c r="D13" s="23">
        <f t="shared" si="0"/>
        <v>0</v>
      </c>
      <c r="E13">
        <v>0</v>
      </c>
      <c r="F13" s="2">
        <v>0</v>
      </c>
      <c r="G13" s="14">
        <v>0</v>
      </c>
      <c r="H13" s="3">
        <f>($H$3-G13)*F13*timediff</f>
        <v>0</v>
      </c>
      <c r="I13" s="61"/>
      <c r="N13" s="15" t="s">
        <v>1</v>
      </c>
      <c r="O13" s="15">
        <f>[1]!'NGc2 LAST'</f>
        <v>5.3250000000000002</v>
      </c>
      <c r="P13" s="15">
        <f>[1]!'NGc2 LAST'</f>
        <v>5.3250000000000002</v>
      </c>
    </row>
    <row r="14" spans="1:18" x14ac:dyDescent="0.2">
      <c r="A14" s="86"/>
      <c r="B14" s="84">
        <v>0</v>
      </c>
      <c r="C14" s="14">
        <v>0</v>
      </c>
      <c r="D14" s="23">
        <f t="shared" si="0"/>
        <v>0</v>
      </c>
      <c r="F14" s="2">
        <v>0</v>
      </c>
      <c r="G14" s="14">
        <v>0</v>
      </c>
      <c r="H14" s="3">
        <f>($H$3-G14)*F14*timediff</f>
        <v>0</v>
      </c>
      <c r="I14" s="61"/>
      <c r="N14" s="15" t="s">
        <v>2</v>
      </c>
      <c r="O14" s="15">
        <f>[1]!'NGc3 LAST'</f>
        <v>5.28</v>
      </c>
      <c r="P14" s="15">
        <f>[1]!'NGc3 LAST'</f>
        <v>5.28</v>
      </c>
    </row>
    <row r="15" spans="1:18" ht="11.25" customHeight="1" x14ac:dyDescent="0.2">
      <c r="A15" s="86"/>
      <c r="B15" s="84">
        <v>0</v>
      </c>
      <c r="C15" s="14">
        <v>0</v>
      </c>
      <c r="D15" s="23">
        <f>($D$3-C15)*B15*10000</f>
        <v>0</v>
      </c>
      <c r="F15" s="2">
        <v>0</v>
      </c>
      <c r="G15" s="14">
        <v>0</v>
      </c>
      <c r="H15" s="3">
        <f t="shared" ref="H15:H53" si="1">($H$3-G15)*F15*timediff</f>
        <v>0</v>
      </c>
      <c r="I15" s="61"/>
      <c r="N15" s="15" t="s">
        <v>3</v>
      </c>
      <c r="O15" s="15">
        <f>[1]!'NGc4 LAST'</f>
        <v>5.0750000000000002</v>
      </c>
      <c r="P15" s="15">
        <f>[1]!'NGc4 LAST'</f>
        <v>5.0750000000000002</v>
      </c>
    </row>
    <row r="16" spans="1:18" x14ac:dyDescent="0.2">
      <c r="A16" s="47"/>
      <c r="B16" s="84">
        <v>0</v>
      </c>
      <c r="C16" s="14">
        <v>0</v>
      </c>
      <c r="D16" s="23">
        <f t="shared" si="0"/>
        <v>0</v>
      </c>
      <c r="F16" s="2">
        <v>0</v>
      </c>
      <c r="G16" s="14">
        <v>0</v>
      </c>
      <c r="H16" s="3">
        <f>($H$3-G16)*F16*(timediff)</f>
        <v>0</v>
      </c>
      <c r="I16" s="61"/>
      <c r="J16" s="15"/>
      <c r="K16" s="15"/>
      <c r="L16" s="15"/>
      <c r="M16" s="15"/>
      <c r="N16" s="15" t="s">
        <v>4</v>
      </c>
      <c r="O16" s="15">
        <f>[1]!'NGc5 LAST'</f>
        <v>4.8099999999999996</v>
      </c>
      <c r="P16" s="15">
        <f>[1]!'NGc5 LAST'</f>
        <v>4.8099999999999996</v>
      </c>
    </row>
    <row r="17" spans="1:17" x14ac:dyDescent="0.2">
      <c r="A17" s="47"/>
      <c r="B17" s="84">
        <v>0</v>
      </c>
      <c r="C17" s="14">
        <v>0</v>
      </c>
      <c r="D17" s="23">
        <f t="shared" si="0"/>
        <v>0</v>
      </c>
      <c r="F17" s="2">
        <v>0</v>
      </c>
      <c r="G17" s="14">
        <v>0</v>
      </c>
      <c r="H17" s="3">
        <f t="shared" si="1"/>
        <v>0</v>
      </c>
      <c r="I17" s="61"/>
      <c r="J17" s="15"/>
      <c r="K17" s="15"/>
      <c r="L17" s="15"/>
      <c r="M17" s="15"/>
      <c r="N17" s="15" t="s">
        <v>10</v>
      </c>
      <c r="O17" s="15">
        <f>[1]!'NGc6 LAST'</f>
        <v>4.59</v>
      </c>
      <c r="P17" s="15">
        <f>[1]!'NGc6 LAST'</f>
        <v>4.59</v>
      </c>
    </row>
    <row r="18" spans="1:17" ht="14.25" customHeight="1" x14ac:dyDescent="0.2">
      <c r="A18" s="86"/>
      <c r="B18" s="84">
        <v>0</v>
      </c>
      <c r="C18" s="14">
        <v>0</v>
      </c>
      <c r="D18" s="23">
        <f t="shared" si="0"/>
        <v>0</v>
      </c>
      <c r="F18" s="2">
        <v>0</v>
      </c>
      <c r="G18" s="14">
        <v>0</v>
      </c>
      <c r="H18" s="3">
        <f t="shared" si="1"/>
        <v>0</v>
      </c>
      <c r="I18" s="61"/>
      <c r="N18" s="15" t="s">
        <v>11</v>
      </c>
      <c r="O18" s="15">
        <f>[1]!'NGc7 LAST'</f>
        <v>4.51</v>
      </c>
      <c r="P18" s="15">
        <f>[1]!'NGc7 LAST'</f>
        <v>4.51</v>
      </c>
    </row>
    <row r="19" spans="1:17" x14ac:dyDescent="0.2">
      <c r="A19" s="87"/>
      <c r="B19" s="84">
        <v>0</v>
      </c>
      <c r="C19" s="14">
        <v>0</v>
      </c>
      <c r="D19" s="23">
        <f t="shared" si="0"/>
        <v>0</v>
      </c>
      <c r="F19" s="2">
        <v>0</v>
      </c>
      <c r="G19" s="14">
        <v>0</v>
      </c>
      <c r="H19" s="3">
        <f t="shared" si="1"/>
        <v>0</v>
      </c>
      <c r="N19" s="15" t="s">
        <v>12</v>
      </c>
      <c r="O19" s="15">
        <f>[1]!'NGc8 LAST'</f>
        <v>4.5</v>
      </c>
      <c r="P19" s="15">
        <f>[1]!'NGc8 LAST'</f>
        <v>4.5</v>
      </c>
    </row>
    <row r="20" spans="1:17" x14ac:dyDescent="0.2">
      <c r="A20" s="47"/>
      <c r="B20" s="84">
        <v>0</v>
      </c>
      <c r="C20" s="14">
        <v>0</v>
      </c>
      <c r="D20" s="23">
        <f t="shared" si="0"/>
        <v>0</v>
      </c>
      <c r="F20" s="2">
        <v>0</v>
      </c>
      <c r="G20" s="14">
        <v>0</v>
      </c>
      <c r="H20" s="3">
        <f t="shared" si="1"/>
        <v>0</v>
      </c>
      <c r="I20" s="62"/>
      <c r="J20" s="15"/>
      <c r="K20" s="15"/>
      <c r="L20" s="15"/>
      <c r="M20" s="15"/>
      <c r="N20" s="15" t="s">
        <v>13</v>
      </c>
      <c r="O20" s="15">
        <f>[1]!'NGc9 LAST'</f>
        <v>4.4800000000000004</v>
      </c>
      <c r="P20" s="15">
        <f>[1]!'NGc9 LAST'</f>
        <v>4.4800000000000004</v>
      </c>
    </row>
    <row r="21" spans="1:17" ht="11.25" customHeight="1" x14ac:dyDescent="0.2">
      <c r="A21" s="95"/>
      <c r="B21" s="84">
        <v>0</v>
      </c>
      <c r="C21" s="14">
        <v>0</v>
      </c>
      <c r="D21" s="23">
        <f t="shared" si="0"/>
        <v>0</v>
      </c>
      <c r="F21" s="2">
        <v>0</v>
      </c>
      <c r="G21" s="14">
        <v>0</v>
      </c>
      <c r="H21" s="3">
        <f t="shared" si="1"/>
        <v>0</v>
      </c>
      <c r="I21" s="62"/>
      <c r="N21" s="15" t="s">
        <v>14</v>
      </c>
      <c r="O21" s="15">
        <f>[1]!'NGc10 LAST'</f>
        <v>4.47</v>
      </c>
      <c r="P21" s="15">
        <f>[1]!'NGc10 LAST'</f>
        <v>4.47</v>
      </c>
    </row>
    <row r="22" spans="1:17" ht="11.25" customHeight="1" x14ac:dyDescent="0.2">
      <c r="A22" s="47"/>
      <c r="B22" s="84">
        <v>0</v>
      </c>
      <c r="C22" s="14">
        <v>0</v>
      </c>
      <c r="D22" s="23">
        <f t="shared" si="0"/>
        <v>0</v>
      </c>
      <c r="F22" s="2">
        <v>0</v>
      </c>
      <c r="G22" s="14">
        <v>0</v>
      </c>
      <c r="H22" s="3">
        <f t="shared" si="1"/>
        <v>0</v>
      </c>
      <c r="I22" s="62"/>
      <c r="N22" s="15" t="s">
        <v>15</v>
      </c>
      <c r="O22" s="15">
        <f>[1]!'NGc11 LAST'</f>
        <v>4.47</v>
      </c>
      <c r="P22" s="15">
        <f>[1]!'NGc11 LAST'</f>
        <v>4.47</v>
      </c>
    </row>
    <row r="23" spans="1:17" x14ac:dyDescent="0.2">
      <c r="A23" s="47"/>
      <c r="B23" s="84">
        <v>0</v>
      </c>
      <c r="C23" s="14">
        <v>0</v>
      </c>
      <c r="D23" s="23">
        <f t="shared" si="0"/>
        <v>0</v>
      </c>
      <c r="F23" s="2">
        <v>0</v>
      </c>
      <c r="G23" s="14">
        <v>0</v>
      </c>
      <c r="H23" s="3">
        <f t="shared" si="1"/>
        <v>0</v>
      </c>
      <c r="I23" s="62"/>
      <c r="N23" s="15" t="s">
        <v>9</v>
      </c>
      <c r="O23" s="15">
        <f>[1]!'NGc12 LAST'</f>
        <v>4.4800000000000004</v>
      </c>
      <c r="P23" s="15">
        <f>[1]!'NGc12 LAST'</f>
        <v>4.4800000000000004</v>
      </c>
    </row>
    <row r="24" spans="1:17" x14ac:dyDescent="0.2">
      <c r="A24" s="47"/>
      <c r="B24" s="84">
        <v>0</v>
      </c>
      <c r="C24" s="14">
        <v>0</v>
      </c>
      <c r="D24" s="23">
        <f t="shared" si="0"/>
        <v>0</v>
      </c>
      <c r="F24" s="2">
        <v>0</v>
      </c>
      <c r="G24" s="14">
        <v>0</v>
      </c>
      <c r="H24" s="3">
        <f t="shared" si="1"/>
        <v>0</v>
      </c>
      <c r="I24" s="62"/>
      <c r="N24" s="15" t="s">
        <v>0</v>
      </c>
      <c r="O24" s="15">
        <v>4.49</v>
      </c>
      <c r="P24" s="15">
        <f>[1]!'NGc13 LAST'</f>
        <v>4.58</v>
      </c>
    </row>
    <row r="25" spans="1:17" x14ac:dyDescent="0.2">
      <c r="A25" s="47"/>
      <c r="B25" s="84">
        <v>0</v>
      </c>
      <c r="C25" s="14">
        <v>0</v>
      </c>
      <c r="D25" s="23">
        <f t="shared" si="0"/>
        <v>0</v>
      </c>
      <c r="F25" s="2">
        <v>0</v>
      </c>
      <c r="G25" s="14">
        <v>0</v>
      </c>
      <c r="H25" s="3">
        <f t="shared" si="1"/>
        <v>0</v>
      </c>
      <c r="I25" s="62"/>
      <c r="N25" s="15" t="s">
        <v>1</v>
      </c>
      <c r="O25" s="15">
        <f>[1]!'NGc14 LAST'</f>
        <v>4.6900000000000004</v>
      </c>
      <c r="P25" s="15">
        <f>[1]!'NGc14 LAST'</f>
        <v>4.6900000000000004</v>
      </c>
    </row>
    <row r="26" spans="1:17" x14ac:dyDescent="0.2">
      <c r="A26" s="47"/>
      <c r="B26" s="84">
        <v>0</v>
      </c>
      <c r="C26" s="14">
        <v>0</v>
      </c>
      <c r="D26" s="23">
        <f t="shared" si="0"/>
        <v>0</v>
      </c>
      <c r="F26" s="2">
        <v>0</v>
      </c>
      <c r="G26" s="14">
        <v>0</v>
      </c>
      <c r="H26" s="3">
        <f t="shared" si="1"/>
        <v>0</v>
      </c>
      <c r="I26" s="62"/>
      <c r="N26" s="15" t="s">
        <v>49</v>
      </c>
      <c r="O26" s="15">
        <v>4.7149999999999999</v>
      </c>
      <c r="P26" s="15">
        <f>[1]!'NGc15 LAST'</f>
        <v>0</v>
      </c>
    </row>
    <row r="27" spans="1:17" ht="14.25" customHeight="1" x14ac:dyDescent="0.2">
      <c r="A27" s="47"/>
      <c r="B27" s="84">
        <v>0</v>
      </c>
      <c r="C27" s="14">
        <v>0</v>
      </c>
      <c r="D27" s="23">
        <f>($D$3-C27)*B27*10000</f>
        <v>0</v>
      </c>
      <c r="F27" s="2">
        <v>0</v>
      </c>
      <c r="G27" s="14">
        <v>0</v>
      </c>
      <c r="H27" s="3">
        <f t="shared" si="1"/>
        <v>0</v>
      </c>
      <c r="I27" s="62"/>
      <c r="N27" s="83"/>
    </row>
    <row r="28" spans="1:17" ht="13.5" thickBot="1" x14ac:dyDescent="0.25">
      <c r="A28" s="47"/>
      <c r="B28" s="84">
        <v>0</v>
      </c>
      <c r="C28" s="14">
        <v>0</v>
      </c>
      <c r="D28" s="23">
        <f>($D$3-C28)*B28*10000</f>
        <v>0</v>
      </c>
      <c r="E28" t="s">
        <v>21</v>
      </c>
      <c r="F28" s="2">
        <v>0</v>
      </c>
      <c r="G28" s="14">
        <v>0</v>
      </c>
      <c r="H28" s="3">
        <f t="shared" si="1"/>
        <v>0</v>
      </c>
      <c r="I28" s="62"/>
      <c r="N28" s="93" t="s">
        <v>42</v>
      </c>
      <c r="O28" s="92">
        <f>AVERAGE(O12:O16)</f>
        <v>5.1429999999999998</v>
      </c>
      <c r="Q28" s="58"/>
    </row>
    <row r="29" spans="1:17" ht="13.5" thickBot="1" x14ac:dyDescent="0.25">
      <c r="A29" s="15" t="s">
        <v>8</v>
      </c>
      <c r="B29" s="85">
        <v>-30</v>
      </c>
      <c r="C29" s="22">
        <v>5.383</v>
      </c>
      <c r="D29" s="68">
        <f>($A$32-C29)*B29*10000</f>
        <v>17399.999999999949</v>
      </c>
      <c r="F29" s="2">
        <v>0</v>
      </c>
      <c r="G29" s="14">
        <v>0</v>
      </c>
      <c r="H29" s="3">
        <f t="shared" si="1"/>
        <v>0</v>
      </c>
      <c r="I29" s="62"/>
      <c r="N29" s="94"/>
      <c r="O29" s="92"/>
    </row>
    <row r="30" spans="1:17" x14ac:dyDescent="0.2">
      <c r="A30" s="47"/>
      <c r="B30" s="31">
        <v>0</v>
      </c>
      <c r="C30" s="14">
        <v>0</v>
      </c>
      <c r="D30" s="23">
        <f t="shared" ref="D30:D41" si="2">($A$32-C30)*B30*10000</f>
        <v>0</v>
      </c>
      <c r="F30" s="2">
        <v>0</v>
      </c>
      <c r="G30" s="14">
        <v>0</v>
      </c>
      <c r="H30" s="3">
        <f t="shared" si="1"/>
        <v>0</v>
      </c>
      <c r="I30" s="61"/>
      <c r="N30" s="93" t="s">
        <v>43</v>
      </c>
      <c r="O30" s="92">
        <f>AVERAGE(O18:O24)</f>
        <v>4.4857142857142858</v>
      </c>
    </row>
    <row r="31" spans="1:17" x14ac:dyDescent="0.2">
      <c r="B31" s="90">
        <v>0</v>
      </c>
      <c r="C31" s="14">
        <v>0</v>
      </c>
      <c r="D31" s="23">
        <f t="shared" si="2"/>
        <v>0</v>
      </c>
      <c r="F31" s="2">
        <v>0</v>
      </c>
      <c r="G31" s="14">
        <v>0</v>
      </c>
      <c r="H31" s="3">
        <f t="shared" si="1"/>
        <v>0</v>
      </c>
      <c r="I31" s="61"/>
      <c r="N31" s="82"/>
      <c r="O31" s="15"/>
    </row>
    <row r="32" spans="1:17" x14ac:dyDescent="0.2">
      <c r="A32" s="15">
        <f>O13</f>
        <v>5.3250000000000002</v>
      </c>
      <c r="B32" s="31">
        <v>0</v>
      </c>
      <c r="C32" s="14">
        <v>0</v>
      </c>
      <c r="D32" s="23">
        <f t="shared" si="2"/>
        <v>0</v>
      </c>
      <c r="F32" s="2">
        <v>0</v>
      </c>
      <c r="G32" s="14">
        <v>0</v>
      </c>
      <c r="H32" s="3">
        <f t="shared" si="1"/>
        <v>0</v>
      </c>
      <c r="I32" s="61"/>
      <c r="N32" s="96" t="s">
        <v>16</v>
      </c>
      <c r="O32" s="15">
        <f>AVERAGE(O13:O24)</f>
        <v>4.7066666666666661</v>
      </c>
    </row>
    <row r="33" spans="1:24" x14ac:dyDescent="0.2">
      <c r="B33" s="31">
        <v>0</v>
      </c>
      <c r="C33" s="14">
        <v>0</v>
      </c>
      <c r="D33" s="23">
        <f t="shared" si="2"/>
        <v>0</v>
      </c>
      <c r="F33" s="2">
        <v>0</v>
      </c>
      <c r="G33" s="14">
        <v>0</v>
      </c>
      <c r="H33" s="3">
        <f t="shared" si="1"/>
        <v>0</v>
      </c>
      <c r="I33" s="61"/>
      <c r="N33" s="82"/>
    </row>
    <row r="34" spans="1:24" x14ac:dyDescent="0.2">
      <c r="B34" s="31">
        <v>0</v>
      </c>
      <c r="C34" s="14">
        <v>0</v>
      </c>
      <c r="D34" s="23">
        <f t="shared" si="2"/>
        <v>0</v>
      </c>
      <c r="F34" s="2">
        <v>0</v>
      </c>
      <c r="G34" s="14">
        <v>0</v>
      </c>
      <c r="H34" s="3">
        <f t="shared" ref="H34:H39" si="3">($H$3-G34)*F34*timediff</f>
        <v>0</v>
      </c>
      <c r="I34" s="61"/>
      <c r="N34" s="82" t="s">
        <v>21</v>
      </c>
    </row>
    <row r="35" spans="1:24" x14ac:dyDescent="0.2">
      <c r="B35" s="31">
        <v>0</v>
      </c>
      <c r="C35" s="14">
        <v>0</v>
      </c>
      <c r="D35" s="23">
        <f t="shared" si="2"/>
        <v>0</v>
      </c>
      <c r="F35" s="2">
        <v>0</v>
      </c>
      <c r="G35" s="14">
        <v>0</v>
      </c>
      <c r="H35" s="3">
        <f t="shared" si="3"/>
        <v>0</v>
      </c>
      <c r="I35" s="61"/>
      <c r="N35" s="82"/>
    </row>
    <row r="36" spans="1:24" x14ac:dyDescent="0.2">
      <c r="B36" s="31">
        <v>0</v>
      </c>
      <c r="C36" s="14">
        <v>0</v>
      </c>
      <c r="D36" s="23">
        <f t="shared" si="2"/>
        <v>0</v>
      </c>
      <c r="F36" s="2">
        <v>0</v>
      </c>
      <c r="G36" s="14">
        <v>0</v>
      </c>
      <c r="H36" s="3">
        <f t="shared" si="3"/>
        <v>0</v>
      </c>
      <c r="I36" s="61"/>
      <c r="N36" s="82"/>
    </row>
    <row r="37" spans="1:24" x14ac:dyDescent="0.2">
      <c r="B37" s="31">
        <v>0</v>
      </c>
      <c r="C37" s="14">
        <v>0</v>
      </c>
      <c r="D37" s="23">
        <f t="shared" si="2"/>
        <v>0</v>
      </c>
      <c r="F37" s="2">
        <v>0</v>
      </c>
      <c r="G37" s="14">
        <v>0</v>
      </c>
      <c r="H37" s="3">
        <f t="shared" si="3"/>
        <v>0</v>
      </c>
      <c r="I37" s="61"/>
      <c r="N37" s="82"/>
    </row>
    <row r="38" spans="1:24" x14ac:dyDescent="0.2">
      <c r="B38" s="31">
        <v>0</v>
      </c>
      <c r="C38" s="14">
        <v>0</v>
      </c>
      <c r="D38" s="23">
        <f t="shared" si="2"/>
        <v>0</v>
      </c>
      <c r="F38" s="2">
        <v>0</v>
      </c>
      <c r="G38" s="14">
        <v>0</v>
      </c>
      <c r="H38" s="3">
        <f t="shared" si="3"/>
        <v>0</v>
      </c>
      <c r="I38" s="61"/>
      <c r="N38" s="82"/>
    </row>
    <row r="39" spans="1:24" x14ac:dyDescent="0.2">
      <c r="B39" s="31">
        <v>0</v>
      </c>
      <c r="C39" s="14">
        <v>0</v>
      </c>
      <c r="D39" s="23">
        <f t="shared" si="2"/>
        <v>0</v>
      </c>
      <c r="F39" s="2">
        <v>0</v>
      </c>
      <c r="G39" s="14">
        <v>0</v>
      </c>
      <c r="H39" s="3">
        <f t="shared" si="3"/>
        <v>0</v>
      </c>
      <c r="I39" s="61"/>
      <c r="N39" s="82"/>
    </row>
    <row r="40" spans="1:24" x14ac:dyDescent="0.2">
      <c r="A40" s="47"/>
      <c r="B40" s="31">
        <v>0</v>
      </c>
      <c r="C40" s="14">
        <v>0</v>
      </c>
      <c r="D40" s="23">
        <f t="shared" si="2"/>
        <v>0</v>
      </c>
      <c r="F40" s="2">
        <v>0</v>
      </c>
      <c r="G40" s="14">
        <v>0</v>
      </c>
      <c r="H40" s="3">
        <f t="shared" si="1"/>
        <v>0</v>
      </c>
      <c r="I40" s="61"/>
      <c r="N40" s="82"/>
      <c r="R40" s="58"/>
      <c r="S40" s="14"/>
      <c r="T40" s="78"/>
      <c r="V40" s="58"/>
      <c r="W40" s="14"/>
      <c r="X40" s="78"/>
    </row>
    <row r="41" spans="1:24" ht="13.5" thickBot="1" x14ac:dyDescent="0.25">
      <c r="A41" s="47"/>
      <c r="B41" s="31">
        <v>0</v>
      </c>
      <c r="C41" s="14">
        <v>0</v>
      </c>
      <c r="D41" s="23">
        <f t="shared" si="2"/>
        <v>0</v>
      </c>
      <c r="F41" s="2">
        <v>0</v>
      </c>
      <c r="G41" s="14">
        <v>0</v>
      </c>
      <c r="H41" s="3">
        <f t="shared" si="1"/>
        <v>0</v>
      </c>
      <c r="I41" s="61"/>
      <c r="N41" s="82"/>
    </row>
    <row r="42" spans="1:24" ht="13.5" thickBot="1" x14ac:dyDescent="0.25">
      <c r="A42" s="15" t="s">
        <v>46</v>
      </c>
      <c r="B42" s="33">
        <v>776</v>
      </c>
      <c r="C42" s="22">
        <v>5.3479999999999999</v>
      </c>
      <c r="D42" s="25">
        <f t="shared" ref="D42:D47" si="4">($A$44-C42)*B42*10000</f>
        <v>-527679.99999999697</v>
      </c>
      <c r="F42" s="2">
        <v>0</v>
      </c>
      <c r="G42" s="14">
        <v>0</v>
      </c>
      <c r="H42" s="3">
        <f t="shared" si="1"/>
        <v>0</v>
      </c>
      <c r="I42" s="61"/>
      <c r="N42" s="82"/>
    </row>
    <row r="43" spans="1:24" x14ac:dyDescent="0.2">
      <c r="B43" s="31">
        <v>0</v>
      </c>
      <c r="C43" s="14">
        <v>0</v>
      </c>
      <c r="D43" s="23">
        <f t="shared" si="4"/>
        <v>0</v>
      </c>
      <c r="F43" s="2">
        <v>0</v>
      </c>
      <c r="G43" s="14">
        <v>0</v>
      </c>
      <c r="H43" s="3">
        <f t="shared" si="1"/>
        <v>0</v>
      </c>
      <c r="I43" s="61"/>
      <c r="J43" s="91"/>
      <c r="K43" s="91"/>
      <c r="L43" s="91"/>
      <c r="M43" s="91"/>
      <c r="N43" s="82"/>
      <c r="V43" s="16"/>
    </row>
    <row r="44" spans="1:24" x14ac:dyDescent="0.2">
      <c r="A44" s="15">
        <f>O14</f>
        <v>5.28</v>
      </c>
      <c r="B44" s="31">
        <v>0</v>
      </c>
      <c r="C44" s="14">
        <v>0</v>
      </c>
      <c r="D44" s="23">
        <f t="shared" si="4"/>
        <v>0</v>
      </c>
      <c r="E44" s="15"/>
      <c r="F44" s="2">
        <v>0</v>
      </c>
      <c r="G44" s="14">
        <v>0</v>
      </c>
      <c r="H44" s="3">
        <f t="shared" si="1"/>
        <v>0</v>
      </c>
      <c r="I44" s="61"/>
      <c r="N44" s="82"/>
    </row>
    <row r="45" spans="1:24" x14ac:dyDescent="0.2">
      <c r="B45" s="31">
        <v>0</v>
      </c>
      <c r="C45" s="14">
        <v>0</v>
      </c>
      <c r="D45" s="23">
        <f t="shared" si="4"/>
        <v>0</v>
      </c>
      <c r="F45" s="2">
        <v>0</v>
      </c>
      <c r="G45" s="14">
        <v>0</v>
      </c>
      <c r="H45" s="3">
        <f t="shared" si="1"/>
        <v>0</v>
      </c>
      <c r="I45" s="61" t="s">
        <v>35</v>
      </c>
      <c r="N45" s="82"/>
      <c r="S45" t="s">
        <v>21</v>
      </c>
    </row>
    <row r="46" spans="1:24" x14ac:dyDescent="0.2">
      <c r="B46" s="31">
        <v>0</v>
      </c>
      <c r="C46" s="14">
        <v>0</v>
      </c>
      <c r="D46" s="23">
        <f t="shared" si="4"/>
        <v>0</v>
      </c>
      <c r="F46" s="2">
        <v>0</v>
      </c>
      <c r="G46" s="14">
        <v>0</v>
      </c>
      <c r="H46" s="3">
        <f t="shared" si="1"/>
        <v>0</v>
      </c>
      <c r="I46" s="62"/>
      <c r="N46" s="82"/>
    </row>
    <row r="47" spans="1:24" ht="13.5" thickBot="1" x14ac:dyDescent="0.25">
      <c r="B47" s="31">
        <v>0</v>
      </c>
      <c r="C47" s="14">
        <v>0</v>
      </c>
      <c r="D47" s="24">
        <f t="shared" si="4"/>
        <v>0</v>
      </c>
      <c r="F47" s="2">
        <v>0</v>
      </c>
      <c r="G47" s="14">
        <v>0</v>
      </c>
      <c r="H47" s="3">
        <f t="shared" si="1"/>
        <v>0</v>
      </c>
      <c r="I47" s="62"/>
      <c r="N47" s="82"/>
    </row>
    <row r="48" spans="1:24" ht="13.5" thickBot="1" x14ac:dyDescent="0.25">
      <c r="A48" s="15" t="s">
        <v>47</v>
      </c>
      <c r="B48" s="33">
        <v>80</v>
      </c>
      <c r="C48" s="22">
        <v>5.1180000000000003</v>
      </c>
      <c r="D48" s="25">
        <f t="shared" ref="D48:D54" si="5">($A$51-C48)*B48*10000</f>
        <v>-34400.000000000116</v>
      </c>
      <c r="F48" s="2">
        <v>0</v>
      </c>
      <c r="G48" s="14">
        <v>0</v>
      </c>
      <c r="H48" s="3">
        <f t="shared" si="1"/>
        <v>0</v>
      </c>
      <c r="I48" s="61"/>
      <c r="N48" s="82"/>
    </row>
    <row r="49" spans="1:24" x14ac:dyDescent="0.2">
      <c r="B49" s="31">
        <v>0</v>
      </c>
      <c r="C49" s="14">
        <v>0</v>
      </c>
      <c r="D49" s="23">
        <f t="shared" si="5"/>
        <v>0</v>
      </c>
      <c r="F49" s="2">
        <v>0</v>
      </c>
      <c r="G49" s="14">
        <v>0</v>
      </c>
      <c r="H49" s="3">
        <f t="shared" si="1"/>
        <v>0</v>
      </c>
      <c r="I49" s="61"/>
      <c r="N49" s="82"/>
    </row>
    <row r="50" spans="1:24" x14ac:dyDescent="0.2">
      <c r="B50" s="31">
        <v>0</v>
      </c>
      <c r="C50" s="14">
        <v>0</v>
      </c>
      <c r="D50" s="23">
        <f t="shared" si="5"/>
        <v>0</v>
      </c>
      <c r="F50" s="2">
        <v>0</v>
      </c>
      <c r="G50" s="14">
        <v>0</v>
      </c>
      <c r="H50" s="3">
        <f t="shared" si="1"/>
        <v>0</v>
      </c>
      <c r="I50" s="62"/>
      <c r="N50" s="82"/>
    </row>
    <row r="51" spans="1:24" x14ac:dyDescent="0.2">
      <c r="A51" s="15">
        <f>O15</f>
        <v>5.0750000000000002</v>
      </c>
      <c r="B51" s="31">
        <v>0</v>
      </c>
      <c r="C51" s="14">
        <v>0</v>
      </c>
      <c r="D51" s="23">
        <f t="shared" si="5"/>
        <v>0</v>
      </c>
      <c r="F51" s="2">
        <v>0</v>
      </c>
      <c r="G51" s="14">
        <v>0</v>
      </c>
      <c r="H51" s="3">
        <f t="shared" si="1"/>
        <v>0</v>
      </c>
      <c r="I51" s="63"/>
      <c r="N51" s="82"/>
    </row>
    <row r="52" spans="1:24" x14ac:dyDescent="0.2">
      <c r="B52" s="31">
        <v>0</v>
      </c>
      <c r="C52" s="14">
        <v>0</v>
      </c>
      <c r="D52" s="23">
        <f t="shared" si="5"/>
        <v>0</v>
      </c>
      <c r="F52" s="2">
        <v>0</v>
      </c>
      <c r="G52" s="14">
        <v>0</v>
      </c>
      <c r="H52" s="3">
        <f t="shared" si="1"/>
        <v>0</v>
      </c>
      <c r="I52" s="62"/>
      <c r="N52" s="82"/>
    </row>
    <row r="53" spans="1:24" x14ac:dyDescent="0.2">
      <c r="B53" s="31">
        <v>0</v>
      </c>
      <c r="C53" s="14">
        <v>0</v>
      </c>
      <c r="D53" s="23">
        <f t="shared" si="5"/>
        <v>0</v>
      </c>
      <c r="F53" s="2">
        <v>0</v>
      </c>
      <c r="G53" s="14">
        <v>0</v>
      </c>
      <c r="H53" s="3">
        <f t="shared" si="1"/>
        <v>0</v>
      </c>
      <c r="I53" s="62"/>
      <c r="N53" s="82"/>
    </row>
    <row r="54" spans="1:24" ht="13.5" thickBot="1" x14ac:dyDescent="0.25">
      <c r="B54" s="31">
        <v>0</v>
      </c>
      <c r="C54" s="14">
        <v>0</v>
      </c>
      <c r="D54" s="24">
        <f t="shared" si="5"/>
        <v>0</v>
      </c>
      <c r="F54" s="2">
        <v>0</v>
      </c>
      <c r="G54" s="14">
        <v>0</v>
      </c>
      <c r="H54" s="3">
        <f t="shared" ref="H54:H67" si="6">($H$3-G54)*F54*timediff</f>
        <v>0</v>
      </c>
      <c r="I54" s="61"/>
      <c r="N54" s="82"/>
    </row>
    <row r="55" spans="1:24" ht="13.5" thickBot="1" x14ac:dyDescent="0.25">
      <c r="A55" s="15" t="s">
        <v>48</v>
      </c>
      <c r="B55" s="33">
        <v>44</v>
      </c>
      <c r="C55" s="22">
        <v>4.8600000000000003</v>
      </c>
      <c r="D55" s="24">
        <f t="shared" ref="D55:D61" si="7">($A$57-C55)*B55*10000</f>
        <v>-22000.000000000313</v>
      </c>
      <c r="F55" s="2">
        <v>0</v>
      </c>
      <c r="G55" s="14">
        <v>0</v>
      </c>
      <c r="H55" s="3">
        <f t="shared" si="6"/>
        <v>0</v>
      </c>
      <c r="I55" s="61"/>
      <c r="N55" s="82"/>
    </row>
    <row r="56" spans="1:24" x14ac:dyDescent="0.2">
      <c r="B56" s="31">
        <v>0</v>
      </c>
      <c r="C56" s="14">
        <v>0</v>
      </c>
      <c r="D56" s="23">
        <f t="shared" si="7"/>
        <v>0</v>
      </c>
      <c r="F56" s="2">
        <v>0</v>
      </c>
      <c r="G56" s="14">
        <v>0</v>
      </c>
      <c r="H56" s="3">
        <f t="shared" si="6"/>
        <v>0</v>
      </c>
      <c r="I56" s="61"/>
      <c r="N56" s="82"/>
      <c r="X56" s="56"/>
    </row>
    <row r="57" spans="1:24" x14ac:dyDescent="0.2">
      <c r="A57" s="94">
        <f>O16</f>
        <v>4.8099999999999996</v>
      </c>
      <c r="B57" s="31">
        <v>0</v>
      </c>
      <c r="C57" s="14">
        <v>0</v>
      </c>
      <c r="D57" s="23">
        <f t="shared" si="7"/>
        <v>0</v>
      </c>
      <c r="F57" s="2">
        <v>0</v>
      </c>
      <c r="G57" s="14">
        <v>0</v>
      </c>
      <c r="H57" s="3">
        <f t="shared" si="6"/>
        <v>0</v>
      </c>
      <c r="I57" s="62"/>
      <c r="N57" s="82"/>
    </row>
    <row r="58" spans="1:24" x14ac:dyDescent="0.2">
      <c r="B58" s="31">
        <v>0</v>
      </c>
      <c r="C58" s="14">
        <v>0</v>
      </c>
      <c r="D58" s="23">
        <f t="shared" si="7"/>
        <v>0</v>
      </c>
      <c r="F58" s="2">
        <v>0</v>
      </c>
      <c r="G58" s="14">
        <v>0</v>
      </c>
      <c r="H58" s="3">
        <f t="shared" si="6"/>
        <v>0</v>
      </c>
      <c r="I58" s="61"/>
      <c r="N58" s="82"/>
    </row>
    <row r="59" spans="1:24" x14ac:dyDescent="0.2">
      <c r="B59" s="31">
        <v>0</v>
      </c>
      <c r="C59" s="14">
        <v>0</v>
      </c>
      <c r="D59" s="23">
        <f t="shared" si="7"/>
        <v>0</v>
      </c>
      <c r="F59" s="2">
        <v>0</v>
      </c>
      <c r="G59" s="14">
        <v>0</v>
      </c>
      <c r="H59" s="3">
        <f t="shared" si="6"/>
        <v>0</v>
      </c>
      <c r="I59" s="62"/>
    </row>
    <row r="60" spans="1:24" x14ac:dyDescent="0.2">
      <c r="B60" s="31">
        <v>0</v>
      </c>
      <c r="C60" s="14">
        <v>0</v>
      </c>
      <c r="D60" s="23">
        <f t="shared" si="7"/>
        <v>0</v>
      </c>
      <c r="F60" s="2">
        <v>0</v>
      </c>
      <c r="G60" s="14">
        <v>0</v>
      </c>
      <c r="H60" s="3">
        <f t="shared" si="6"/>
        <v>0</v>
      </c>
      <c r="I60" s="61"/>
    </row>
    <row r="61" spans="1:24" ht="13.5" thickBot="1" x14ac:dyDescent="0.25">
      <c r="B61" s="31">
        <v>0</v>
      </c>
      <c r="C61" s="14">
        <v>0</v>
      </c>
      <c r="D61" s="23">
        <f t="shared" si="7"/>
        <v>0</v>
      </c>
      <c r="F61" s="2">
        <v>0</v>
      </c>
      <c r="G61" s="14">
        <v>0</v>
      </c>
      <c r="H61" s="3">
        <f t="shared" si="6"/>
        <v>0</v>
      </c>
      <c r="I61" s="80"/>
    </row>
    <row r="62" spans="1:24" ht="13.5" thickBot="1" x14ac:dyDescent="0.25">
      <c r="A62" s="15" t="s">
        <v>44</v>
      </c>
      <c r="B62" s="33">
        <v>125</v>
      </c>
      <c r="C62" s="22">
        <v>4.5164</v>
      </c>
      <c r="D62" s="25">
        <f t="shared" ref="D62:D69" si="8">($A$65-C62)*B62*10000</f>
        <v>-20500.000000001073</v>
      </c>
      <c r="F62" s="2">
        <v>0</v>
      </c>
      <c r="G62" s="14">
        <v>0</v>
      </c>
      <c r="H62" s="3">
        <f t="shared" si="6"/>
        <v>0</v>
      </c>
      <c r="I62" s="61"/>
    </row>
    <row r="63" spans="1:24" x14ac:dyDescent="0.2">
      <c r="A63" s="92"/>
      <c r="B63" s="31">
        <v>0</v>
      </c>
      <c r="C63" s="14">
        <v>0</v>
      </c>
      <c r="D63" s="23">
        <f t="shared" si="8"/>
        <v>0</v>
      </c>
      <c r="F63" s="2">
        <v>0</v>
      </c>
      <c r="G63" s="14">
        <v>0</v>
      </c>
      <c r="H63" s="3">
        <f t="shared" si="6"/>
        <v>0</v>
      </c>
      <c r="I63" s="61"/>
    </row>
    <row r="64" spans="1:24" x14ac:dyDescent="0.2">
      <c r="B64" s="31">
        <v>0</v>
      </c>
      <c r="C64" s="14">
        <v>0</v>
      </c>
      <c r="D64" s="23">
        <f t="shared" si="8"/>
        <v>0</v>
      </c>
      <c r="F64" s="2">
        <v>0</v>
      </c>
      <c r="G64" s="14">
        <v>0</v>
      </c>
      <c r="H64" s="3">
        <f t="shared" si="6"/>
        <v>0</v>
      </c>
      <c r="I64" s="61"/>
    </row>
    <row r="65" spans="1:12" ht="14.25" customHeight="1" x14ac:dyDescent="0.2">
      <c r="A65" s="92">
        <f>AVERAGE(O17:O23)</f>
        <v>4.4999999999999991</v>
      </c>
      <c r="B65" s="31">
        <v>0</v>
      </c>
      <c r="C65" s="14">
        <v>0</v>
      </c>
      <c r="D65" s="23">
        <f t="shared" si="8"/>
        <v>0</v>
      </c>
      <c r="F65" s="2">
        <v>0</v>
      </c>
      <c r="G65" s="14">
        <v>0</v>
      </c>
      <c r="H65" s="3">
        <f t="shared" si="6"/>
        <v>0</v>
      </c>
      <c r="I65" s="62" t="s">
        <v>18</v>
      </c>
    </row>
    <row r="66" spans="1:12" x14ac:dyDescent="0.2">
      <c r="B66" s="31">
        <v>0</v>
      </c>
      <c r="C66" s="14">
        <v>0</v>
      </c>
      <c r="D66" s="23">
        <f t="shared" si="8"/>
        <v>0</v>
      </c>
      <c r="F66" s="2">
        <v>0</v>
      </c>
      <c r="G66" s="14">
        <v>0</v>
      </c>
      <c r="H66" s="3">
        <f t="shared" si="6"/>
        <v>0</v>
      </c>
      <c r="I66" s="62"/>
    </row>
    <row r="67" spans="1:12" x14ac:dyDescent="0.2">
      <c r="B67" s="31">
        <v>0</v>
      </c>
      <c r="C67" s="14">
        <v>0</v>
      </c>
      <c r="D67" s="23">
        <f t="shared" si="8"/>
        <v>0</v>
      </c>
      <c r="F67" s="2">
        <v>0</v>
      </c>
      <c r="G67" s="14">
        <v>0</v>
      </c>
      <c r="H67" s="3">
        <f t="shared" si="6"/>
        <v>0</v>
      </c>
      <c r="I67" s="62"/>
    </row>
    <row r="68" spans="1:12" x14ac:dyDescent="0.2">
      <c r="B68" s="31">
        <v>0</v>
      </c>
      <c r="C68" s="14">
        <v>0</v>
      </c>
      <c r="D68" s="23">
        <f t="shared" si="8"/>
        <v>0</v>
      </c>
      <c r="F68" s="2">
        <v>0</v>
      </c>
      <c r="G68" s="14">
        <v>0</v>
      </c>
      <c r="H68" s="3">
        <f>($H$3-G68)*F68*timediff</f>
        <v>0</v>
      </c>
      <c r="I68" s="62"/>
    </row>
    <row r="69" spans="1:12" ht="13.5" thickBot="1" x14ac:dyDescent="0.25">
      <c r="B69" s="32">
        <v>0</v>
      </c>
      <c r="C69" s="20">
        <v>0</v>
      </c>
      <c r="D69" s="24">
        <f t="shared" si="8"/>
        <v>0</v>
      </c>
      <c r="F69" s="2">
        <v>0</v>
      </c>
      <c r="G69" s="88">
        <v>0</v>
      </c>
      <c r="H69" s="3">
        <f>($H$3-G69)*F69*timediff</f>
        <v>0</v>
      </c>
      <c r="I69" s="62"/>
    </row>
    <row r="70" spans="1:12" x14ac:dyDescent="0.2">
      <c r="A70" s="15" t="s">
        <v>17</v>
      </c>
      <c r="D70" s="26">
        <f>SUM(D5:D69)-C83</f>
        <v>2999.9999999999418</v>
      </c>
      <c r="F70" s="75"/>
      <c r="G70" s="4">
        <f>SUM(F70)*($G$1-$C$1)/10000</f>
        <v>0</v>
      </c>
      <c r="H70" s="17">
        <f>SUM(H7:H69)</f>
        <v>4875.0000000001846</v>
      </c>
      <c r="I70" s="79"/>
    </row>
    <row r="71" spans="1:12" x14ac:dyDescent="0.2">
      <c r="D71" s="26"/>
      <c r="G71" t="s">
        <v>21</v>
      </c>
    </row>
    <row r="72" spans="1:12" x14ac:dyDescent="0.2">
      <c r="D72" s="48"/>
      <c r="F72" s="18"/>
      <c r="G72" s="18"/>
      <c r="H72" s="19"/>
      <c r="I72"/>
    </row>
    <row r="73" spans="1:12" x14ac:dyDescent="0.2">
      <c r="A73" s="43" t="s">
        <v>5</v>
      </c>
      <c r="B73" s="34">
        <f>SUM(B5:B28)</f>
        <v>-570</v>
      </c>
      <c r="C73" s="4"/>
      <c r="D73" s="49">
        <f>SUM(D5:D28)</f>
        <v>412500.00000000239</v>
      </c>
      <c r="F73" s="34">
        <f>SUM(F5:F69)</f>
        <v>-1030</v>
      </c>
      <c r="G73" s="4"/>
      <c r="H73" s="5">
        <f>SUM(H6:H69)</f>
        <v>4875.0000000001846</v>
      </c>
      <c r="I73"/>
    </row>
    <row r="74" spans="1:12" x14ac:dyDescent="0.2">
      <c r="A74" s="43" t="s">
        <v>6</v>
      </c>
      <c r="B74" s="34">
        <f>SUM(B29:B69)</f>
        <v>995</v>
      </c>
      <c r="C74" s="4"/>
      <c r="D74" s="50">
        <f>SUM(D29:D69)</f>
        <v>-587179.9999999986</v>
      </c>
      <c r="F74" s="4"/>
      <c r="G74" s="4"/>
      <c r="H74" s="4"/>
      <c r="I74"/>
    </row>
    <row r="75" spans="1:12" x14ac:dyDescent="0.2">
      <c r="A75" s="43"/>
      <c r="B75" s="34"/>
      <c r="C75" s="4"/>
      <c r="D75" s="50"/>
      <c r="F75" s="4"/>
      <c r="G75" s="4">
        <v>0</v>
      </c>
      <c r="H75" s="4"/>
      <c r="I75"/>
    </row>
    <row r="76" spans="1:12" x14ac:dyDescent="0.2">
      <c r="A76" s="43"/>
      <c r="B76" s="34"/>
      <c r="C76" s="4"/>
      <c r="D76" s="27"/>
      <c r="F76" s="4"/>
      <c r="G76" s="4"/>
      <c r="H76" s="4"/>
      <c r="I76"/>
    </row>
    <row r="77" spans="1:12" x14ac:dyDescent="0.2">
      <c r="A77" s="43"/>
      <c r="B77" s="34"/>
      <c r="C77" s="4"/>
      <c r="D77" s="27"/>
      <c r="F77" s="4"/>
      <c r="G77" s="4"/>
      <c r="H77" s="4"/>
      <c r="I77"/>
    </row>
    <row r="78" spans="1:12" ht="13.5" thickBot="1" x14ac:dyDescent="0.25">
      <c r="A78" s="43" t="s">
        <v>24</v>
      </c>
      <c r="B78" s="34">
        <f>SUM(B73:B77)</f>
        <v>425</v>
      </c>
      <c r="C78" s="4"/>
      <c r="D78" s="27"/>
      <c r="F78" s="4">
        <f>SUM(F5:F69)*($G$1-$C$1)/10000</f>
        <v>-2.6779999999999999</v>
      </c>
      <c r="G78" s="4"/>
      <c r="H78" s="5">
        <f>+H5</f>
        <v>-40509.300000000243</v>
      </c>
      <c r="I78"/>
    </row>
    <row r="79" spans="1:12" x14ac:dyDescent="0.2">
      <c r="A79" s="44" t="s">
        <v>25</v>
      </c>
      <c r="B79" s="35"/>
      <c r="C79" s="38">
        <f>+H73</f>
        <v>4875.0000000001846</v>
      </c>
      <c r="D79" t="s">
        <v>21</v>
      </c>
      <c r="F79" s="7" t="s">
        <v>26</v>
      </c>
      <c r="G79" s="8"/>
      <c r="H79" s="8"/>
      <c r="I79" s="64"/>
      <c r="J79" s="97">
        <f>+F78</f>
        <v>-2.6779999999999999</v>
      </c>
      <c r="K79" s="51"/>
      <c r="L79" s="28"/>
    </row>
    <row r="80" spans="1:12" x14ac:dyDescent="0.2">
      <c r="A80" s="45" t="s">
        <v>27</v>
      </c>
      <c r="B80" s="36"/>
      <c r="C80" s="39">
        <f>D70</f>
        <v>2999.9999999999418</v>
      </c>
      <c r="F80" s="9"/>
      <c r="G80" s="10"/>
      <c r="H80" s="10"/>
      <c r="I80" s="65"/>
      <c r="J80" s="11"/>
    </row>
    <row r="81" spans="1:10" x14ac:dyDescent="0.2">
      <c r="A81" s="45"/>
      <c r="B81" s="36"/>
      <c r="C81" s="39"/>
      <c r="F81" s="9"/>
      <c r="G81" s="10"/>
      <c r="H81" s="10"/>
      <c r="I81" s="65"/>
      <c r="J81" s="11"/>
    </row>
    <row r="82" spans="1:10" x14ac:dyDescent="0.2">
      <c r="A82" s="45" t="s">
        <v>28</v>
      </c>
      <c r="B82" s="36"/>
      <c r="C82" s="39">
        <f>+H78</f>
        <v>-40509.300000000243</v>
      </c>
      <c r="F82" s="9"/>
      <c r="G82" s="10"/>
      <c r="H82" s="10"/>
      <c r="I82" s="65"/>
      <c r="J82" s="11"/>
    </row>
    <row r="83" spans="1:10" x14ac:dyDescent="0.2">
      <c r="A83" s="45" t="s">
        <v>29</v>
      </c>
      <c r="B83" s="36"/>
      <c r="C83" s="39">
        <f>SUM(D5+D29+D42+D48+D55+D62)</f>
        <v>-177679.9999999961</v>
      </c>
      <c r="F83" s="9" t="s">
        <v>30</v>
      </c>
      <c r="G83" s="10"/>
      <c r="H83" s="10"/>
      <c r="I83" s="65"/>
      <c r="J83" s="41">
        <f>B78</f>
        <v>425</v>
      </c>
    </row>
    <row r="84" spans="1:10" x14ac:dyDescent="0.2">
      <c r="A84" s="45"/>
      <c r="B84" s="36"/>
      <c r="C84" s="39"/>
      <c r="F84" s="9"/>
      <c r="G84" s="10"/>
      <c r="H84" s="10"/>
      <c r="I84" s="65"/>
      <c r="J84" s="11" t="s">
        <v>31</v>
      </c>
    </row>
    <row r="85" spans="1:10" ht="13.5" thickBot="1" x14ac:dyDescent="0.25">
      <c r="A85" s="46" t="s">
        <v>32</v>
      </c>
      <c r="B85" s="37"/>
      <c r="C85" s="40">
        <f>SUM(C79:C84)</f>
        <v>-210314.2999999962</v>
      </c>
      <c r="F85" s="12"/>
      <c r="G85" s="13"/>
      <c r="H85" s="13"/>
      <c r="I85" s="66"/>
      <c r="J85" s="42">
        <f>+J83+J79</f>
        <v>422.322</v>
      </c>
    </row>
    <row r="86" spans="1:10" x14ac:dyDescent="0.2">
      <c r="A86" s="47"/>
      <c r="C86" s="1"/>
    </row>
    <row r="87" spans="1:10" x14ac:dyDescent="0.2">
      <c r="A87" s="47" t="s">
        <v>33</v>
      </c>
      <c r="C87" s="1">
        <f>+C85+C86</f>
        <v>-210314.2999999962</v>
      </c>
    </row>
    <row r="88" spans="1:10" x14ac:dyDescent="0.2">
      <c r="A88" s="47"/>
      <c r="C88" s="1" t="s">
        <v>21</v>
      </c>
    </row>
    <row r="89" spans="1:10" x14ac:dyDescent="0.2">
      <c r="A89" s="47"/>
      <c r="C89" s="1"/>
      <c r="G89" t="s">
        <v>21</v>
      </c>
      <c r="J89" t="s">
        <v>21</v>
      </c>
    </row>
    <row r="90" spans="1:10" x14ac:dyDescent="0.2">
      <c r="A90" s="47"/>
      <c r="C90" s="1"/>
    </row>
    <row r="91" spans="1:10" x14ac:dyDescent="0.2">
      <c r="C91" s="1"/>
      <c r="J91" t="s">
        <v>34</v>
      </c>
    </row>
    <row r="93" spans="1:10" x14ac:dyDescent="0.2">
      <c r="I93" s="60" t="s">
        <v>41</v>
      </c>
    </row>
    <row r="108" spans="10:10" x14ac:dyDescent="0.2">
      <c r="J108" t="s">
        <v>21</v>
      </c>
    </row>
  </sheetData>
  <pageMargins left="0.75" right="0.75" top="1" bottom="1" header="0.5" footer="0.5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</vt:lpstr>
      <vt:lpstr>Top!Print_Area</vt:lpstr>
      <vt:lpstr>timediff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fshane</dc:creator>
  <cp:lastModifiedBy>Felienne</cp:lastModifiedBy>
  <cp:lastPrinted>2000-10-02T13:27:49Z</cp:lastPrinted>
  <dcterms:created xsi:type="dcterms:W3CDTF">1999-10-21T16:38:25Z</dcterms:created>
  <dcterms:modified xsi:type="dcterms:W3CDTF">2014-09-04T09:56:33Z</dcterms:modified>
</cp:coreProperties>
</file>