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5" yWindow="-15" windowWidth="17115" windowHeight="10560" tabRatio="827" firstSheet="2" activeTab="2"/>
  </bookViews>
  <sheets>
    <sheet name="Assumptions" sheetId="32" r:id="rId1"/>
    <sheet name="Project Summary" sheetId="19" r:id="rId2"/>
    <sheet name="Cash Flow Forecast" sheetId="8" r:id="rId3"/>
    <sheet name="Unit Summary" sheetId="33" r:id="rId4"/>
    <sheet name="A&amp;D Costs" sheetId="20" r:id="rId5"/>
    <sheet name="1164SF 2Sty" sheetId="24" r:id="rId6"/>
    <sheet name="1302SF 2Sty" sheetId="25" r:id="rId7"/>
    <sheet name="1358SF 2Sty" sheetId="28" r:id="rId8"/>
    <sheet name="1240SF 2Sty" sheetId="29" r:id="rId9"/>
    <sheet name="1463 IntCt-1Sty" sheetId="22" r:id="rId10"/>
    <sheet name="1335 IntCt-1Sty" sheetId="23" r:id="rId11"/>
    <sheet name="1335 ExtCt-1Sty" sheetId="31" r:id="rId12"/>
  </sheets>
  <externalReferences>
    <externalReference r:id="rId13"/>
  </externalReferences>
  <definedNames>
    <definedName name="ACSFPLNA" localSheetId="6">'1302SF 2Sty'!$B$9</definedName>
    <definedName name="ACSFPLNA" localSheetId="7">'1358SF 2Sty'!$B$9</definedName>
    <definedName name="AdjRate">Assumptions!$C$4</definedName>
    <definedName name="AvgBal">Assumptions!$C$11</definedName>
    <definedName name="AvgUC">'Project Summary'!$C$20</definedName>
    <definedName name="AvgWidth">Assumptions!$C$20</definedName>
    <definedName name="Ccost">Assumptions!$C$27</definedName>
    <definedName name="CLIntRt">Assumptions!$C$10</definedName>
    <definedName name="CLPts">Assumptions!$C$9</definedName>
    <definedName name="Construction_Period" localSheetId="6">'1302SF 2Sty'!#REF!</definedName>
    <definedName name="Construction_Period" localSheetId="10">'1335 IntCt-1Sty'!#REF!</definedName>
    <definedName name="Construction_Period" localSheetId="7">'1358SF 2Sty'!$G$11</definedName>
    <definedName name="ConstTime">Assumptions!$C$5</definedName>
    <definedName name="Driveway" localSheetId="6">'1302SF 2Sty'!$H$11</definedName>
    <definedName name="Driveway" localSheetId="10">'1335 IntCt-1Sty'!#REF!</definedName>
    <definedName name="Driveway" localSheetId="7">'1358SF 2Sty'!#REF!</definedName>
    <definedName name="Foundation" localSheetId="6">'1302SF 2Sty'!$G$6</definedName>
    <definedName name="Foundation" localSheetId="10">'1335 IntCt-1Sty'!#REF!</definedName>
    <definedName name="Foundation" localSheetId="7">'1358SF 2Sty'!$G$6</definedName>
    <definedName name="ImpLotValue">'Project Summary'!$B$40</definedName>
    <definedName name="Investment">'Project Summary'!$B$32</definedName>
    <definedName name="InvShare">Assumptions!$C$25</definedName>
    <definedName name="KFScale">Assumptions!$C$6</definedName>
    <definedName name="LandLTV">Assumptions!$C$14</definedName>
    <definedName name="LandPrice">Assumptions!$C$16</definedName>
    <definedName name="Lot_Improvement_Costs">'Project Summary'!$B$19</definedName>
    <definedName name="LotImpEq">'Project Summary'!$B$43</definedName>
    <definedName name="LotIMPLN">'Project Summary'!$B$41</definedName>
    <definedName name="LotRel">'Project Summary'!$C$45</definedName>
    <definedName name="LTV">Assumptions!$C$13</definedName>
    <definedName name="Masonry" localSheetId="6">'1302SF 2Sty'!$G$5</definedName>
    <definedName name="Masonry" localSheetId="10">'1335 IntCt-1Sty'!#REF!</definedName>
    <definedName name="Masonry" localSheetId="7">'1358SF 2Sty'!$G$5</definedName>
    <definedName name="Patio" localSheetId="6">'1302SF 2Sty'!$H$9</definedName>
    <definedName name="Patio" localSheetId="10">'1335 IntCt-1Sty'!#REF!</definedName>
    <definedName name="Patio" localSheetId="7">'1358SF 2Sty'!$G$8</definedName>
    <definedName name="PMFees" localSheetId="6">'[1]Project Summary'!#REF!</definedName>
    <definedName name="PMFees" localSheetId="10">'[1]Project Summary'!#REF!</definedName>
    <definedName name="PMFees" localSheetId="7">'[1]Project Summary'!#REF!</definedName>
    <definedName name="PMFees" localSheetId="9">'[1]Project Summary'!#REF!</definedName>
    <definedName name="PMFees" localSheetId="4">'[1]Project Summary'!#REF!</definedName>
    <definedName name="PreSldLn80">'Project Summary'!$C$59</definedName>
    <definedName name="_xlnm.Print_Area" localSheetId="5">'1164SF 2Sty'!$A$6:$H$114</definedName>
    <definedName name="_xlnm.Print_Area" localSheetId="6">'1302SF 2Sty'!$A$17:$H$111</definedName>
    <definedName name="_xlnm.Print_Area" localSheetId="11">'1335 ExtCt-1Sty'!$A$5:$H$111</definedName>
    <definedName name="_xlnm.Print_Area" localSheetId="10">'1335 IntCt-1Sty'!$A$5:$H$111</definedName>
    <definedName name="_xlnm.Print_Area" localSheetId="7">'1358SF 2Sty'!$A$17:$H$111</definedName>
    <definedName name="_xlnm.Print_Area" localSheetId="9">'1463 IntCt-1Sty'!$A$5:$H$111</definedName>
    <definedName name="_xlnm.Print_Area" localSheetId="4">'A&amp;D Costs'!$A$8:$F$104</definedName>
    <definedName name="_xlnm.Print_Area" localSheetId="2">'Cash Flow Forecast'!$C$14:$AQ$57</definedName>
    <definedName name="_xlnm.Print_Area" localSheetId="1">'Project Summary'!$A$1:$E$36</definedName>
    <definedName name="_xlnm.Print_Area" localSheetId="3">'Unit Summary'!$A$1:$K$14</definedName>
    <definedName name="_xlnm.Print_Titles" localSheetId="5">'1164SF 2Sty'!$1:$5</definedName>
    <definedName name="_xlnm.Print_Titles" localSheetId="6">'1302SF 2Sty'!$1:$16</definedName>
    <definedName name="_xlnm.Print_Titles" localSheetId="11">'1335 ExtCt-1Sty'!$1:$4</definedName>
    <definedName name="_xlnm.Print_Titles" localSheetId="10">'1335 IntCt-1Sty'!$1:$4</definedName>
    <definedName name="_xlnm.Print_Titles" localSheetId="7">'1358SF 2Sty'!$1:$16</definedName>
    <definedName name="_xlnm.Print_Titles" localSheetId="9">'1463 IntCt-1Sty'!$1:$4</definedName>
    <definedName name="_xlnm.Print_Titles" localSheetId="4">'A&amp;D Costs'!$1:$6</definedName>
    <definedName name="_xlnm.Print_Titles" localSheetId="2">'Cash Flow Forecast'!$B:$B</definedName>
    <definedName name="ProfessionalFees">'A&amp;D Costs'!$E$20</definedName>
    <definedName name="Projected_Profit">'Project Summary'!$B$30</definedName>
    <definedName name="Slscomm">Assumptions!$C$26</definedName>
    <definedName name="SpecLoan75">'Project Summary'!$C$51</definedName>
    <definedName name="TCSF" localSheetId="6">'1302SF 2Sty'!$B$15</definedName>
    <definedName name="TCSF" localSheetId="10">'1335 IntCt-1Sty'!$B$15</definedName>
    <definedName name="TCSF" localSheetId="7">'1358SF 2Sty'!$B$15</definedName>
    <definedName name="TCSF" localSheetId="9">'1463 IntCt-1Sty'!$B$15</definedName>
    <definedName name="TLU">Assumptions!$C$7</definedName>
    <definedName name="Totequity">'Cash Flow Forecast'!$AM$26</definedName>
    <definedName name="TotImpLotCost">'Project Summary'!$B$42</definedName>
    <definedName name="Walk" localSheetId="6">'1302SF 2Sty'!#REF!</definedName>
    <definedName name="Walk" localSheetId="10">'1335 IntCt-1Sty'!#REF!</definedName>
    <definedName name="Walk" localSheetId="7">'1358SF 2Sty'!$G$10</definedName>
  </definedNames>
  <calcPr calcId="152511" fullCalcOnLoad="1"/>
</workbook>
</file>

<file path=xl/calcChain.xml><?xml version="1.0" encoding="utf-8"?>
<calcChain xmlns="http://schemas.openxmlformats.org/spreadsheetml/2006/main">
  <c r="G6" i="24" l="1"/>
  <c r="G9" i="24"/>
  <c r="G8" i="24" s="1"/>
  <c r="B54" i="24" s="1"/>
  <c r="E54" i="24" s="1"/>
  <c r="B10" i="24"/>
  <c r="G11" i="24"/>
  <c r="G12" i="24"/>
  <c r="B55" i="24" s="1"/>
  <c r="E55" i="24" s="1"/>
  <c r="B15" i="24"/>
  <c r="B16" i="24" s="1"/>
  <c r="G16" i="24"/>
  <c r="D19" i="24"/>
  <c r="E19" i="24"/>
  <c r="F19" i="24"/>
  <c r="G19" i="24"/>
  <c r="H19" i="24"/>
  <c r="E21" i="24"/>
  <c r="F21" i="24"/>
  <c r="G21" i="24"/>
  <c r="H21" i="24" s="1"/>
  <c r="E22" i="24"/>
  <c r="G22" i="24" s="1"/>
  <c r="H22" i="24" s="1"/>
  <c r="F22" i="24"/>
  <c r="E25" i="24"/>
  <c r="F25" i="24"/>
  <c r="G25" i="24"/>
  <c r="H25" i="24" s="1"/>
  <c r="E26" i="24"/>
  <c r="G26" i="24" s="1"/>
  <c r="H26" i="24" s="1"/>
  <c r="F26" i="24"/>
  <c r="E27" i="24"/>
  <c r="F27" i="24"/>
  <c r="G27" i="24"/>
  <c r="H27" i="24" s="1"/>
  <c r="B30" i="24"/>
  <c r="D30" i="24"/>
  <c r="E30" i="24" s="1"/>
  <c r="E31" i="24"/>
  <c r="B34" i="24"/>
  <c r="E34" i="24" s="1"/>
  <c r="F34" i="24" s="1"/>
  <c r="G34" i="24"/>
  <c r="H34" i="24" s="1"/>
  <c r="B35" i="24"/>
  <c r="E35" i="24" s="1"/>
  <c r="B36" i="24"/>
  <c r="D36" i="24"/>
  <c r="E36" i="24"/>
  <c r="E39" i="24"/>
  <c r="F39" i="24" s="1"/>
  <c r="G39" i="24"/>
  <c r="H39" i="24"/>
  <c r="B40" i="24"/>
  <c r="E40" i="24" s="1"/>
  <c r="E43" i="24"/>
  <c r="F43" i="24"/>
  <c r="G43" i="24"/>
  <c r="H43" i="24"/>
  <c r="E44" i="24"/>
  <c r="F44" i="24" s="1"/>
  <c r="G44" i="24"/>
  <c r="H44" i="24" s="1"/>
  <c r="E45" i="24"/>
  <c r="F45" i="24"/>
  <c r="G45" i="24"/>
  <c r="H45" i="24"/>
  <c r="E46" i="24"/>
  <c r="F46" i="24" s="1"/>
  <c r="G46" i="24"/>
  <c r="H46" i="24" s="1"/>
  <c r="E47" i="24"/>
  <c r="G47" i="24"/>
  <c r="H47" i="24"/>
  <c r="E48" i="24"/>
  <c r="E49" i="24"/>
  <c r="F49" i="24" s="1"/>
  <c r="G49" i="24"/>
  <c r="H49" i="24"/>
  <c r="E53" i="24"/>
  <c r="F53" i="24"/>
  <c r="G53" i="24"/>
  <c r="H53" i="24" s="1"/>
  <c r="B59" i="24"/>
  <c r="E59" i="24" s="1"/>
  <c r="E62" i="24"/>
  <c r="B63" i="24"/>
  <c r="E63" i="24" s="1"/>
  <c r="B64" i="24"/>
  <c r="E64" i="24" s="1"/>
  <c r="B65" i="24"/>
  <c r="E65" i="24"/>
  <c r="F65" i="24"/>
  <c r="G65" i="24"/>
  <c r="H65" i="24" s="1"/>
  <c r="B66" i="24"/>
  <c r="E66" i="24"/>
  <c r="F66" i="24" s="1"/>
  <c r="E67" i="24"/>
  <c r="G67" i="24" s="1"/>
  <c r="H67" i="24" s="1"/>
  <c r="E68" i="24"/>
  <c r="F68" i="24" s="1"/>
  <c r="B71" i="24"/>
  <c r="E72" i="24"/>
  <c r="F72" i="24" s="1"/>
  <c r="G72" i="24"/>
  <c r="H72" i="24"/>
  <c r="E73" i="24"/>
  <c r="B76" i="24"/>
  <c r="E76" i="24" s="1"/>
  <c r="F76" i="24" s="1"/>
  <c r="G76" i="24"/>
  <c r="H76" i="24"/>
  <c r="E77" i="24"/>
  <c r="F77" i="24" s="1"/>
  <c r="G77" i="24"/>
  <c r="H77" i="24" s="1"/>
  <c r="B78" i="24"/>
  <c r="E78" i="24"/>
  <c r="F78" i="24"/>
  <c r="G78" i="24"/>
  <c r="H78" i="24" s="1"/>
  <c r="B79" i="24"/>
  <c r="E79" i="24"/>
  <c r="F79" i="24" s="1"/>
  <c r="B82" i="24"/>
  <c r="E82" i="24"/>
  <c r="B83" i="24"/>
  <c r="E83" i="24" s="1"/>
  <c r="F83" i="24" s="1"/>
  <c r="G83" i="24"/>
  <c r="H83" i="24"/>
  <c r="E85" i="24"/>
  <c r="F85" i="24"/>
  <c r="G85" i="24"/>
  <c r="H85" i="24" s="1"/>
  <c r="B86" i="24"/>
  <c r="E86" i="24"/>
  <c r="F86" i="24" s="1"/>
  <c r="E87" i="24"/>
  <c r="G87" i="24" s="1"/>
  <c r="H87" i="24" s="1"/>
  <c r="F87" i="24"/>
  <c r="E88" i="24"/>
  <c r="F88" i="24" s="1"/>
  <c r="E89" i="24"/>
  <c r="G89" i="24" s="1"/>
  <c r="H89" i="24" s="1"/>
  <c r="F89" i="24"/>
  <c r="E90" i="24"/>
  <c r="F90" i="24" s="1"/>
  <c r="E91" i="24"/>
  <c r="G91" i="24" s="1"/>
  <c r="H91" i="24" s="1"/>
  <c r="F91" i="24"/>
  <c r="E93" i="24"/>
  <c r="E96" i="24"/>
  <c r="F96" i="24" s="1"/>
  <c r="G96" i="24"/>
  <c r="H96" i="24"/>
  <c r="E97" i="24"/>
  <c r="E98" i="24"/>
  <c r="F98" i="24" s="1"/>
  <c r="G98" i="24"/>
  <c r="H98" i="24"/>
  <c r="E102" i="24"/>
  <c r="F102" i="24"/>
  <c r="G102" i="24"/>
  <c r="H102" i="24"/>
  <c r="E103" i="24"/>
  <c r="F103" i="24"/>
  <c r="G103" i="24"/>
  <c r="H103" i="24" s="1"/>
  <c r="E106" i="24"/>
  <c r="F106" i="24"/>
  <c r="G106" i="24"/>
  <c r="H106" i="24"/>
  <c r="E107" i="24"/>
  <c r="F107" i="24"/>
  <c r="G107" i="24"/>
  <c r="H107" i="24" s="1"/>
  <c r="E108" i="24"/>
  <c r="F108" i="24"/>
  <c r="G108" i="24"/>
  <c r="H108" i="24" s="1"/>
  <c r="E109" i="24"/>
  <c r="F109" i="24"/>
  <c r="G109" i="24"/>
  <c r="H109" i="24" s="1"/>
  <c r="B110" i="24"/>
  <c r="E110" i="24"/>
  <c r="F110" i="24"/>
  <c r="G110" i="24"/>
  <c r="H110" i="24" s="1"/>
  <c r="B111" i="24"/>
  <c r="D111" i="24"/>
  <c r="E111" i="24" s="1"/>
  <c r="G5" i="29"/>
  <c r="G7" i="29"/>
  <c r="B8" i="29"/>
  <c r="G8" i="29"/>
  <c r="G10" i="29"/>
  <c r="G11" i="29"/>
  <c r="B12" i="29"/>
  <c r="B13" i="29"/>
  <c r="B14" i="29"/>
  <c r="G15" i="29"/>
  <c r="D18" i="29"/>
  <c r="E18" i="29"/>
  <c r="E20" i="29"/>
  <c r="G20" i="29"/>
  <c r="E21" i="29"/>
  <c r="E24" i="29"/>
  <c r="G24" i="29"/>
  <c r="E25" i="29"/>
  <c r="G25" i="29"/>
  <c r="E26" i="29"/>
  <c r="G26" i="29"/>
  <c r="B29" i="29"/>
  <c r="D29" i="29"/>
  <c r="E30" i="29"/>
  <c r="G30" i="29"/>
  <c r="B33" i="29"/>
  <c r="E33" i="29"/>
  <c r="G33" i="29"/>
  <c r="B34" i="29"/>
  <c r="G34" i="29" s="1"/>
  <c r="B35" i="29"/>
  <c r="E35" i="29" s="1"/>
  <c r="G35" i="29"/>
  <c r="E38" i="29"/>
  <c r="G38" i="29"/>
  <c r="E42" i="29"/>
  <c r="G42" i="29"/>
  <c r="E43" i="29"/>
  <c r="G43" i="29"/>
  <c r="E44" i="29"/>
  <c r="G44" i="29"/>
  <c r="E45" i="29"/>
  <c r="G45" i="29"/>
  <c r="E46" i="29"/>
  <c r="G46" i="29"/>
  <c r="E47" i="29"/>
  <c r="G47" i="29"/>
  <c r="E48" i="29"/>
  <c r="G48" i="29"/>
  <c r="E52" i="29"/>
  <c r="G52" i="29"/>
  <c r="B53" i="29"/>
  <c r="G53" i="29" s="1"/>
  <c r="E53" i="29"/>
  <c r="B54" i="29"/>
  <c r="E54" i="29" s="1"/>
  <c r="G54" i="29" s="1"/>
  <c r="E61" i="29"/>
  <c r="G61" i="29"/>
  <c r="B62" i="29"/>
  <c r="E62" i="29"/>
  <c r="G62" i="29"/>
  <c r="B64" i="29"/>
  <c r="E64" i="29" s="1"/>
  <c r="E66" i="29"/>
  <c r="G66" i="29"/>
  <c r="E67" i="29"/>
  <c r="G67" i="29"/>
  <c r="B70" i="29"/>
  <c r="E70" i="29"/>
  <c r="G70" i="29"/>
  <c r="E71" i="29"/>
  <c r="G71" i="29"/>
  <c r="E72" i="29"/>
  <c r="G72" i="29"/>
  <c r="E76" i="29"/>
  <c r="G76" i="29"/>
  <c r="B81" i="29"/>
  <c r="E81" i="29"/>
  <c r="G81" i="29"/>
  <c r="E84" i="29"/>
  <c r="E86" i="29"/>
  <c r="G86" i="29"/>
  <c r="E87" i="29"/>
  <c r="G87" i="29"/>
  <c r="E88" i="29"/>
  <c r="G88" i="29"/>
  <c r="E89" i="29"/>
  <c r="G89" i="29"/>
  <c r="E90" i="29"/>
  <c r="G90" i="29"/>
  <c r="B91" i="29"/>
  <c r="E91" i="29"/>
  <c r="G91" i="29"/>
  <c r="E92" i="29"/>
  <c r="G92" i="29"/>
  <c r="E95" i="29"/>
  <c r="G95" i="29"/>
  <c r="E96" i="29"/>
  <c r="G96" i="29"/>
  <c r="E97" i="29"/>
  <c r="G97" i="29"/>
  <c r="E101" i="29"/>
  <c r="G101" i="29"/>
  <c r="E102" i="29"/>
  <c r="G102" i="29" s="1"/>
  <c r="E105" i="29"/>
  <c r="E106" i="29"/>
  <c r="G106" i="29" s="1"/>
  <c r="E107" i="29"/>
  <c r="E108" i="29"/>
  <c r="G108" i="29"/>
  <c r="B110" i="29"/>
  <c r="G110" i="29" s="1"/>
  <c r="D110" i="29"/>
  <c r="E110" i="29" s="1"/>
  <c r="G5" i="25"/>
  <c r="G6" i="25"/>
  <c r="B19" i="25" s="1"/>
  <c r="E19" i="25" s="1"/>
  <c r="G8" i="25"/>
  <c r="G7" i="25" s="1"/>
  <c r="B53" i="25" s="1"/>
  <c r="B9" i="25"/>
  <c r="G10" i="25"/>
  <c r="G11" i="25"/>
  <c r="B14" i="25"/>
  <c r="B15" i="25"/>
  <c r="G15" i="25"/>
  <c r="D18" i="25"/>
  <c r="E18" i="25"/>
  <c r="F18" i="25"/>
  <c r="G18" i="25"/>
  <c r="H18" i="25" s="1"/>
  <c r="K18" i="25"/>
  <c r="J18" i="25" s="1"/>
  <c r="L18" i="25"/>
  <c r="G19" i="25"/>
  <c r="H19" i="25" s="1"/>
  <c r="K19" i="25"/>
  <c r="L19" i="25"/>
  <c r="E20" i="25"/>
  <c r="F20" i="25" s="1"/>
  <c r="J20" i="25"/>
  <c r="K20" i="25"/>
  <c r="E21" i="25"/>
  <c r="F21" i="25"/>
  <c r="G21" i="25"/>
  <c r="H21" i="25" s="1"/>
  <c r="E24" i="25"/>
  <c r="F24" i="25"/>
  <c r="G24" i="25"/>
  <c r="H24" i="25" s="1"/>
  <c r="E25" i="25"/>
  <c r="G25" i="25"/>
  <c r="H25" i="25" s="1"/>
  <c r="E26" i="25"/>
  <c r="F26" i="25"/>
  <c r="G26" i="25"/>
  <c r="H26" i="25" s="1"/>
  <c r="B29" i="25"/>
  <c r="D29" i="25"/>
  <c r="G29" i="25" s="1"/>
  <c r="H29" i="25" s="1"/>
  <c r="E29" i="25"/>
  <c r="F29" i="25" s="1"/>
  <c r="E30" i="25"/>
  <c r="B33" i="25"/>
  <c r="E33" i="25" s="1"/>
  <c r="F33" i="25" s="1"/>
  <c r="G33" i="25"/>
  <c r="H33" i="25" s="1"/>
  <c r="B34" i="25"/>
  <c r="E34" i="25" s="1"/>
  <c r="F34" i="25"/>
  <c r="G34" i="25"/>
  <c r="H34" i="25" s="1"/>
  <c r="B35" i="25"/>
  <c r="E35" i="25"/>
  <c r="G35" i="25" s="1"/>
  <c r="H35" i="25" s="1"/>
  <c r="E38" i="25"/>
  <c r="F38" i="25" s="1"/>
  <c r="G38" i="25"/>
  <c r="H38" i="25"/>
  <c r="B39" i="25"/>
  <c r="E39" i="25"/>
  <c r="E42" i="25"/>
  <c r="F42" i="25" s="1"/>
  <c r="E43" i="25"/>
  <c r="E44" i="25"/>
  <c r="F44" i="25" s="1"/>
  <c r="G44" i="25"/>
  <c r="H44" i="25"/>
  <c r="E45" i="25"/>
  <c r="E46" i="25"/>
  <c r="F46" i="25" s="1"/>
  <c r="G46" i="25"/>
  <c r="H46" i="25"/>
  <c r="E47" i="25"/>
  <c r="F47" i="25" s="1"/>
  <c r="G47" i="25"/>
  <c r="H47" i="25"/>
  <c r="E48" i="25"/>
  <c r="F48" i="25" s="1"/>
  <c r="G48" i="25"/>
  <c r="H48" i="25" s="1"/>
  <c r="B51" i="25"/>
  <c r="E51" i="25" s="1"/>
  <c r="F51" i="25" s="1"/>
  <c r="G51" i="25"/>
  <c r="H51" i="25" s="1"/>
  <c r="E52" i="25"/>
  <c r="F52" i="25"/>
  <c r="G52" i="25"/>
  <c r="H52" i="25"/>
  <c r="B54" i="25"/>
  <c r="E54" i="25" s="1"/>
  <c r="B57" i="25"/>
  <c r="E57" i="25" s="1"/>
  <c r="B58" i="25"/>
  <c r="E58" i="25" s="1"/>
  <c r="F58" i="25" s="1"/>
  <c r="G58" i="25"/>
  <c r="H58" i="25" s="1"/>
  <c r="B59" i="25"/>
  <c r="E59" i="25"/>
  <c r="E61" i="25"/>
  <c r="G61" i="25" s="1"/>
  <c r="H61" i="25" s="1"/>
  <c r="F61" i="25"/>
  <c r="B62" i="25"/>
  <c r="E62" i="25" s="1"/>
  <c r="G62" i="25" s="1"/>
  <c r="H62" i="25" s="1"/>
  <c r="F62" i="25"/>
  <c r="B63" i="25"/>
  <c r="E63" i="25" s="1"/>
  <c r="B64" i="25"/>
  <c r="E64" i="25" s="1"/>
  <c r="E66" i="25"/>
  <c r="F66" i="25" s="1"/>
  <c r="G66" i="25"/>
  <c r="H66" i="25" s="1"/>
  <c r="E67" i="25"/>
  <c r="F67" i="25"/>
  <c r="G67" i="25"/>
  <c r="H67" i="25" s="1"/>
  <c r="B70" i="25"/>
  <c r="G70" i="25" s="1"/>
  <c r="E70" i="25"/>
  <c r="F70" i="25" s="1"/>
  <c r="H70" i="25"/>
  <c r="E71" i="25"/>
  <c r="F71" i="25" s="1"/>
  <c r="G71" i="25"/>
  <c r="H71" i="25"/>
  <c r="E72" i="25"/>
  <c r="B75" i="25"/>
  <c r="E75" i="25"/>
  <c r="G75" i="25" s="1"/>
  <c r="H75" i="25" s="1"/>
  <c r="E76" i="25"/>
  <c r="F76" i="25" s="1"/>
  <c r="G76" i="25"/>
  <c r="H76" i="25"/>
  <c r="B77" i="25"/>
  <c r="G77" i="25" s="1"/>
  <c r="H77" i="25" s="1"/>
  <c r="E77" i="25"/>
  <c r="F77" i="25" s="1"/>
  <c r="B81" i="25"/>
  <c r="E81" i="25"/>
  <c r="B82" i="25"/>
  <c r="E82" i="25"/>
  <c r="G82" i="25" s="1"/>
  <c r="H82" i="25" s="1"/>
  <c r="F82" i="25"/>
  <c r="E84" i="25"/>
  <c r="F84" i="25"/>
  <c r="G84" i="25"/>
  <c r="H84" i="25" s="1"/>
  <c r="E86" i="25"/>
  <c r="E87" i="25"/>
  <c r="G87" i="25" s="1"/>
  <c r="H87" i="25" s="1"/>
  <c r="F87" i="25"/>
  <c r="E88" i="25"/>
  <c r="E89" i="25"/>
  <c r="E90" i="25"/>
  <c r="F90" i="25"/>
  <c r="G90" i="25"/>
  <c r="H90" i="25" s="1"/>
  <c r="B91" i="25"/>
  <c r="G91" i="25" s="1"/>
  <c r="E91" i="25"/>
  <c r="F91" i="25" s="1"/>
  <c r="H91" i="25"/>
  <c r="E92" i="25"/>
  <c r="F92" i="25"/>
  <c r="G92" i="25"/>
  <c r="H92" i="25" s="1"/>
  <c r="E95" i="25"/>
  <c r="F95" i="25" s="1"/>
  <c r="G95" i="25"/>
  <c r="H95" i="25"/>
  <c r="E96" i="25"/>
  <c r="F96" i="25"/>
  <c r="G96" i="25"/>
  <c r="H96" i="25"/>
  <c r="E97" i="25"/>
  <c r="B100" i="25"/>
  <c r="E100" i="25"/>
  <c r="F100" i="25"/>
  <c r="G100" i="25"/>
  <c r="H100" i="25" s="1"/>
  <c r="E101" i="25"/>
  <c r="F101" i="25"/>
  <c r="G101" i="25"/>
  <c r="H101" i="25" s="1"/>
  <c r="E102" i="25"/>
  <c r="F102" i="25"/>
  <c r="G102" i="25"/>
  <c r="H102" i="25"/>
  <c r="E105" i="25"/>
  <c r="F105" i="25"/>
  <c r="G105" i="25"/>
  <c r="H105" i="25" s="1"/>
  <c r="E106" i="25"/>
  <c r="F106" i="25"/>
  <c r="G106" i="25"/>
  <c r="H106" i="25" s="1"/>
  <c r="E107" i="25"/>
  <c r="F107" i="25"/>
  <c r="G107" i="25"/>
  <c r="H107" i="25" s="1"/>
  <c r="E108" i="25"/>
  <c r="F108" i="25"/>
  <c r="G108" i="25"/>
  <c r="H108" i="25"/>
  <c r="B109" i="25"/>
  <c r="E109" i="25"/>
  <c r="F109" i="25"/>
  <c r="G109" i="25"/>
  <c r="H109" i="25"/>
  <c r="B110" i="25"/>
  <c r="D110" i="25"/>
  <c r="E110" i="25"/>
  <c r="F110" i="25" s="1"/>
  <c r="G5" i="31"/>
  <c r="G7" i="31"/>
  <c r="B53" i="31" s="1"/>
  <c r="E53" i="31" s="1"/>
  <c r="G53" i="31" s="1"/>
  <c r="H53" i="31" s="1"/>
  <c r="G8" i="31"/>
  <c r="B9" i="31"/>
  <c r="B77" i="31" s="1"/>
  <c r="E77" i="31" s="1"/>
  <c r="G10" i="31"/>
  <c r="G11" i="31"/>
  <c r="B14" i="31"/>
  <c r="G15" i="31"/>
  <c r="E18" i="31"/>
  <c r="E20" i="31"/>
  <c r="F20" i="31"/>
  <c r="G20" i="31"/>
  <c r="H20" i="31" s="1"/>
  <c r="E21" i="31"/>
  <c r="E24" i="31"/>
  <c r="F24" i="31"/>
  <c r="G24" i="31"/>
  <c r="H24" i="31" s="1"/>
  <c r="E25" i="31"/>
  <c r="E26" i="31"/>
  <c r="F26" i="31"/>
  <c r="G26" i="31"/>
  <c r="H26" i="31" s="1"/>
  <c r="B29" i="31"/>
  <c r="E29" i="31" s="1"/>
  <c r="D29" i="31"/>
  <c r="E30" i="31"/>
  <c r="G30" i="31" s="1"/>
  <c r="H30" i="31" s="1"/>
  <c r="F30" i="31"/>
  <c r="B33" i="31"/>
  <c r="E33" i="31"/>
  <c r="B34" i="31"/>
  <c r="E34" i="31"/>
  <c r="B35" i="31"/>
  <c r="D35" i="31"/>
  <c r="E35" i="31"/>
  <c r="F35" i="31" s="1"/>
  <c r="G35" i="31"/>
  <c r="H35" i="31" s="1"/>
  <c r="E38" i="31"/>
  <c r="G38" i="31" s="1"/>
  <c r="H38" i="31" s="1"/>
  <c r="F38" i="31"/>
  <c r="B39" i="31"/>
  <c r="E39" i="31"/>
  <c r="E42" i="31"/>
  <c r="E43" i="31"/>
  <c r="E44" i="31"/>
  <c r="E45" i="31"/>
  <c r="E46" i="31"/>
  <c r="E48" i="31"/>
  <c r="F48" i="31"/>
  <c r="G48" i="31"/>
  <c r="H48" i="31"/>
  <c r="E52" i="31"/>
  <c r="F52" i="31"/>
  <c r="G52" i="31"/>
  <c r="H52" i="31"/>
  <c r="B54" i="31"/>
  <c r="E54" i="31" s="1"/>
  <c r="G54" i="31" s="1"/>
  <c r="H54" i="31" s="1"/>
  <c r="B58" i="31"/>
  <c r="E58" i="31" s="1"/>
  <c r="E61" i="31"/>
  <c r="G61" i="31" s="1"/>
  <c r="H61" i="31" s="1"/>
  <c r="F61" i="31"/>
  <c r="B62" i="31"/>
  <c r="E62" i="31" s="1"/>
  <c r="F62" i="31" s="1"/>
  <c r="G62" i="31"/>
  <c r="H62" i="31" s="1"/>
  <c r="B63" i="31"/>
  <c r="E63" i="31" s="1"/>
  <c r="B64" i="31"/>
  <c r="E64" i="31"/>
  <c r="G64" i="31" s="1"/>
  <c r="H64" i="31" s="1"/>
  <c r="F64" i="31"/>
  <c r="L64" i="31"/>
  <c r="B65" i="31"/>
  <c r="E65" i="31" s="1"/>
  <c r="F65" i="31" s="1"/>
  <c r="G65" i="31"/>
  <c r="H65" i="31" s="1"/>
  <c r="B70" i="31"/>
  <c r="E70" i="31"/>
  <c r="E71" i="31"/>
  <c r="G71" i="31" s="1"/>
  <c r="H71" i="31"/>
  <c r="B72" i="31"/>
  <c r="E72" i="31" s="1"/>
  <c r="F72" i="31"/>
  <c r="G72" i="31"/>
  <c r="H72" i="31"/>
  <c r="B75" i="31"/>
  <c r="E75" i="31" s="1"/>
  <c r="F75" i="31"/>
  <c r="G75" i="31"/>
  <c r="H75" i="31" s="1"/>
  <c r="E76" i="31"/>
  <c r="F76" i="31" s="1"/>
  <c r="G76" i="31"/>
  <c r="H76" i="31" s="1"/>
  <c r="B78" i="31"/>
  <c r="E78" i="31"/>
  <c r="B81" i="31"/>
  <c r="E81" i="31"/>
  <c r="F81" i="31"/>
  <c r="G81" i="31"/>
  <c r="H81" i="31"/>
  <c r="E82" i="31"/>
  <c r="F82" i="31"/>
  <c r="G82" i="31"/>
  <c r="H82" i="31" s="1"/>
  <c r="D84" i="31"/>
  <c r="B85" i="31"/>
  <c r="E85" i="31" s="1"/>
  <c r="F85" i="31"/>
  <c r="G85" i="31"/>
  <c r="H85" i="31" s="1"/>
  <c r="E86" i="31"/>
  <c r="F86" i="31" s="1"/>
  <c r="G86" i="31"/>
  <c r="H86" i="31" s="1"/>
  <c r="D87" i="31"/>
  <c r="E89" i="31"/>
  <c r="F89" i="31"/>
  <c r="G89" i="31"/>
  <c r="H89" i="31" s="1"/>
  <c r="D90" i="31"/>
  <c r="B91" i="31"/>
  <c r="E91" i="31"/>
  <c r="E92" i="31"/>
  <c r="F92" i="31" s="1"/>
  <c r="G92" i="31"/>
  <c r="H92" i="31" s="1"/>
  <c r="E95" i="31"/>
  <c r="E96" i="31"/>
  <c r="F96" i="31" s="1"/>
  <c r="G96" i="31"/>
  <c r="H96" i="31" s="1"/>
  <c r="E97" i="31"/>
  <c r="E101" i="31"/>
  <c r="F101" i="31" s="1"/>
  <c r="G101" i="31"/>
  <c r="H101" i="31" s="1"/>
  <c r="E102" i="31"/>
  <c r="F102" i="31"/>
  <c r="G102" i="31"/>
  <c r="H102" i="31" s="1"/>
  <c r="E105" i="31"/>
  <c r="E106" i="31"/>
  <c r="F106" i="31"/>
  <c r="G106" i="31"/>
  <c r="H106" i="31"/>
  <c r="E107" i="31"/>
  <c r="F107" i="31" s="1"/>
  <c r="G107" i="31"/>
  <c r="H107" i="31" s="1"/>
  <c r="K107" i="31"/>
  <c r="E108" i="31"/>
  <c r="G108" i="31" s="1"/>
  <c r="F108" i="31"/>
  <c r="H108" i="31"/>
  <c r="B110" i="31"/>
  <c r="E110" i="31" s="1"/>
  <c r="D110" i="31"/>
  <c r="G5" i="23"/>
  <c r="G8" i="23"/>
  <c r="B9" i="23"/>
  <c r="B65" i="23" s="1"/>
  <c r="G10" i="23"/>
  <c r="G7" i="23" s="1"/>
  <c r="G11" i="23"/>
  <c r="B14" i="23"/>
  <c r="B15" i="23" s="1"/>
  <c r="G15" i="23"/>
  <c r="E18" i="23"/>
  <c r="E20" i="23"/>
  <c r="F20" i="23"/>
  <c r="G20" i="23"/>
  <c r="H20" i="23"/>
  <c r="E21" i="23"/>
  <c r="F21" i="23" s="1"/>
  <c r="G21" i="23"/>
  <c r="H21" i="23" s="1"/>
  <c r="E24" i="23"/>
  <c r="G24" i="23"/>
  <c r="H24" i="23" s="1"/>
  <c r="E25" i="23"/>
  <c r="F25" i="23" s="1"/>
  <c r="G25" i="23"/>
  <c r="H25" i="23"/>
  <c r="E26" i="23"/>
  <c r="F26" i="23"/>
  <c r="G26" i="23"/>
  <c r="H26" i="23"/>
  <c r="B29" i="23"/>
  <c r="G29" i="23" s="1"/>
  <c r="H29" i="23" s="1"/>
  <c r="D29" i="23"/>
  <c r="E29" i="23"/>
  <c r="F29" i="23"/>
  <c r="E30" i="23"/>
  <c r="F30" i="23" s="1"/>
  <c r="G30" i="23"/>
  <c r="H30" i="23" s="1"/>
  <c r="B33" i="23"/>
  <c r="E33" i="23"/>
  <c r="F33" i="23" s="1"/>
  <c r="G33" i="23"/>
  <c r="H33" i="23"/>
  <c r="B34" i="23"/>
  <c r="E34" i="23"/>
  <c r="F34" i="23" s="1"/>
  <c r="G34" i="23"/>
  <c r="H34" i="23"/>
  <c r="B35" i="23"/>
  <c r="D35" i="23"/>
  <c r="E35" i="23" s="1"/>
  <c r="E38" i="23"/>
  <c r="F38" i="23" s="1"/>
  <c r="G38" i="23"/>
  <c r="B39" i="23"/>
  <c r="E39" i="23" s="1"/>
  <c r="G39" i="23" s="1"/>
  <c r="H39" i="23" s="1"/>
  <c r="E42" i="23"/>
  <c r="E43" i="23"/>
  <c r="G43" i="23" s="1"/>
  <c r="F43" i="23"/>
  <c r="H43" i="23"/>
  <c r="E44" i="23"/>
  <c r="E45" i="23"/>
  <c r="G45" i="23" s="1"/>
  <c r="H45" i="23" s="1"/>
  <c r="F45" i="23"/>
  <c r="E46" i="23"/>
  <c r="F46" i="23" s="1"/>
  <c r="G46" i="23"/>
  <c r="H46" i="23"/>
  <c r="E47" i="23"/>
  <c r="F47" i="23"/>
  <c r="G47" i="23"/>
  <c r="H47" i="23"/>
  <c r="E48" i="23"/>
  <c r="G48" i="23"/>
  <c r="H48" i="23" s="1"/>
  <c r="E52" i="23"/>
  <c r="G52" i="23"/>
  <c r="H52" i="23" s="1"/>
  <c r="B53" i="23"/>
  <c r="E53" i="23" s="1"/>
  <c r="F53" i="23" s="1"/>
  <c r="B54" i="23"/>
  <c r="E54" i="23"/>
  <c r="F54" i="23" s="1"/>
  <c r="G54" i="23"/>
  <c r="H54" i="23" s="1"/>
  <c r="B58" i="23"/>
  <c r="E58" i="23"/>
  <c r="E61" i="23"/>
  <c r="F61" i="23" s="1"/>
  <c r="G61" i="23"/>
  <c r="H61" i="23" s="1"/>
  <c r="B62" i="23"/>
  <c r="E62" i="23"/>
  <c r="B64" i="23"/>
  <c r="E64" i="23"/>
  <c r="F64" i="23" s="1"/>
  <c r="G64" i="23"/>
  <c r="H64" i="23" s="1"/>
  <c r="F65" i="23"/>
  <c r="G65" i="23"/>
  <c r="H65" i="23" s="1"/>
  <c r="F66" i="23"/>
  <c r="G66" i="23"/>
  <c r="H66" i="23"/>
  <c r="E67" i="23"/>
  <c r="F67" i="23" s="1"/>
  <c r="G67" i="23"/>
  <c r="H67" i="23" s="1"/>
  <c r="B70" i="23"/>
  <c r="E70" i="23"/>
  <c r="F70" i="23"/>
  <c r="G70" i="23"/>
  <c r="H70" i="23"/>
  <c r="E71" i="23"/>
  <c r="F71" i="23"/>
  <c r="G71" i="23"/>
  <c r="H71" i="23" s="1"/>
  <c r="E72" i="23"/>
  <c r="F72" i="23" s="1"/>
  <c r="B75" i="23"/>
  <c r="E75" i="23"/>
  <c r="G75" i="23" s="1"/>
  <c r="H75" i="23" s="1"/>
  <c r="F75" i="23"/>
  <c r="E76" i="23"/>
  <c r="F76" i="23" s="1"/>
  <c r="G76" i="23"/>
  <c r="H76" i="23" s="1"/>
  <c r="B78" i="23"/>
  <c r="E78" i="23"/>
  <c r="B81" i="23"/>
  <c r="E81" i="23"/>
  <c r="F81" i="23" s="1"/>
  <c r="G81" i="23"/>
  <c r="H81" i="23" s="1"/>
  <c r="E82" i="23"/>
  <c r="F82" i="23"/>
  <c r="G82" i="23"/>
  <c r="H82" i="23" s="1"/>
  <c r="E84" i="23"/>
  <c r="G84" i="23" s="1"/>
  <c r="F84" i="23"/>
  <c r="H84" i="23"/>
  <c r="B85" i="23"/>
  <c r="E85" i="23" s="1"/>
  <c r="G85" i="23" s="1"/>
  <c r="H85" i="23" s="1"/>
  <c r="F85" i="23"/>
  <c r="E86" i="23"/>
  <c r="E87" i="23"/>
  <c r="G87" i="23" s="1"/>
  <c r="H87" i="23" s="1"/>
  <c r="F87" i="23"/>
  <c r="E88" i="23"/>
  <c r="E89" i="23"/>
  <c r="G89" i="23" s="1"/>
  <c r="F89" i="23"/>
  <c r="H89" i="23"/>
  <c r="E90" i="23"/>
  <c r="F90" i="23" s="1"/>
  <c r="G90" i="23"/>
  <c r="H90" i="23"/>
  <c r="B91" i="23"/>
  <c r="G91" i="23" s="1"/>
  <c r="H91" i="23" s="1"/>
  <c r="E91" i="23"/>
  <c r="F91" i="23" s="1"/>
  <c r="E92" i="23"/>
  <c r="G92" i="23" s="1"/>
  <c r="F92" i="23"/>
  <c r="H92" i="23"/>
  <c r="E95" i="23"/>
  <c r="F95" i="23" s="1"/>
  <c r="G95" i="23"/>
  <c r="H95" i="23" s="1"/>
  <c r="E96" i="23"/>
  <c r="F96" i="23" s="1"/>
  <c r="G96" i="23"/>
  <c r="H96" i="23" s="1"/>
  <c r="E97" i="23"/>
  <c r="F97" i="23" s="1"/>
  <c r="G97" i="23"/>
  <c r="H97" i="23" s="1"/>
  <c r="E101" i="23"/>
  <c r="F101" i="23"/>
  <c r="G101" i="23"/>
  <c r="H101" i="23"/>
  <c r="E102" i="23"/>
  <c r="G102" i="23" s="1"/>
  <c r="H102" i="23" s="1"/>
  <c r="F102" i="23"/>
  <c r="E105" i="23"/>
  <c r="G105" i="23" s="1"/>
  <c r="F105" i="23"/>
  <c r="H105" i="23"/>
  <c r="E106" i="23"/>
  <c r="G106" i="23" s="1"/>
  <c r="H106" i="23" s="1"/>
  <c r="F106" i="23"/>
  <c r="E107" i="23"/>
  <c r="G107" i="23" s="1"/>
  <c r="F107" i="23"/>
  <c r="H107" i="23"/>
  <c r="E108" i="23"/>
  <c r="F108" i="23"/>
  <c r="G108" i="23"/>
  <c r="H108" i="23"/>
  <c r="B109" i="23"/>
  <c r="E109" i="23"/>
  <c r="F109" i="23" s="1"/>
  <c r="G109" i="23"/>
  <c r="H109" i="23" s="1"/>
  <c r="B110" i="23"/>
  <c r="D110" i="23"/>
  <c r="E110" i="23"/>
  <c r="F110" i="23" s="1"/>
  <c r="G110" i="23"/>
  <c r="H110" i="23" s="1"/>
  <c r="G5" i="28"/>
  <c r="B7" i="28"/>
  <c r="G6" i="28" s="1"/>
  <c r="B51" i="28" s="1"/>
  <c r="E51" i="28" s="1"/>
  <c r="G8" i="28"/>
  <c r="G7" i="28" s="1"/>
  <c r="B53" i="28" s="1"/>
  <c r="G10" i="28"/>
  <c r="G11" i="28"/>
  <c r="B12" i="28"/>
  <c r="B13" i="28"/>
  <c r="B14" i="28" s="1"/>
  <c r="G15" i="28"/>
  <c r="D18" i="28"/>
  <c r="E18" i="28" s="1"/>
  <c r="E20" i="28"/>
  <c r="G20" i="28" s="1"/>
  <c r="E21" i="28"/>
  <c r="G21" i="28"/>
  <c r="E24" i="28"/>
  <c r="G24" i="28"/>
  <c r="E25" i="28"/>
  <c r="G25" i="28"/>
  <c r="E26" i="28"/>
  <c r="B29" i="28"/>
  <c r="E29" i="28" s="1"/>
  <c r="D29" i="28"/>
  <c r="E30" i="28"/>
  <c r="G30" i="28" s="1"/>
  <c r="B33" i="28"/>
  <c r="B34" i="28"/>
  <c r="E34" i="28"/>
  <c r="G34" i="28"/>
  <c r="B35" i="28"/>
  <c r="E35" i="28" s="1"/>
  <c r="E38" i="28"/>
  <c r="G38" i="28"/>
  <c r="E42" i="28"/>
  <c r="E43" i="28"/>
  <c r="G43" i="28" s="1"/>
  <c r="E44" i="28"/>
  <c r="G44" i="28"/>
  <c r="E45" i="28"/>
  <c r="G45" i="28"/>
  <c r="E46" i="28"/>
  <c r="G46" i="28"/>
  <c r="E47" i="28"/>
  <c r="G47" i="28"/>
  <c r="E48" i="28"/>
  <c r="G48" i="28"/>
  <c r="E52" i="28"/>
  <c r="G52" i="28"/>
  <c r="B54" i="28"/>
  <c r="E54" i="28" s="1"/>
  <c r="G54" i="28" s="1"/>
  <c r="E61" i="28"/>
  <c r="G61" i="28" s="1"/>
  <c r="B62" i="28"/>
  <c r="E62" i="28"/>
  <c r="B64" i="28"/>
  <c r="E64" i="28"/>
  <c r="G64" i="28" s="1"/>
  <c r="E66" i="28"/>
  <c r="G66" i="28"/>
  <c r="E67" i="28"/>
  <c r="G67" i="28" s="1"/>
  <c r="B70" i="28"/>
  <c r="G70" i="28" s="1"/>
  <c r="E70" i="28"/>
  <c r="E71" i="28"/>
  <c r="G71" i="28"/>
  <c r="E72" i="28"/>
  <c r="E76" i="28"/>
  <c r="G76" i="28"/>
  <c r="B81" i="28"/>
  <c r="E81" i="28" s="1"/>
  <c r="G81" i="28"/>
  <c r="E84" i="28"/>
  <c r="G84" i="28"/>
  <c r="E86" i="28"/>
  <c r="E87" i="28"/>
  <c r="G87" i="28" s="1"/>
  <c r="E88" i="28"/>
  <c r="E89" i="28"/>
  <c r="G89" i="28" s="1"/>
  <c r="E90" i="28"/>
  <c r="G90" i="28"/>
  <c r="B91" i="28"/>
  <c r="E92" i="28"/>
  <c r="E95" i="28"/>
  <c r="G95" i="28"/>
  <c r="E96" i="28"/>
  <c r="G96" i="28"/>
  <c r="E97" i="28"/>
  <c r="G97" i="28"/>
  <c r="E101" i="28"/>
  <c r="G101" i="28"/>
  <c r="E102" i="28"/>
  <c r="G102" i="28"/>
  <c r="E105" i="28"/>
  <c r="G105" i="28"/>
  <c r="E106" i="28"/>
  <c r="G106" i="28"/>
  <c r="E107" i="28"/>
  <c r="G107" i="28"/>
  <c r="E108" i="28"/>
  <c r="G108" i="28"/>
  <c r="B110" i="28"/>
  <c r="D110" i="28"/>
  <c r="E110" i="28" s="1"/>
  <c r="G110" i="28"/>
  <c r="G5" i="22"/>
  <c r="G7" i="22"/>
  <c r="B53" i="22" s="1"/>
  <c r="G8" i="22"/>
  <c r="B9" i="22"/>
  <c r="G10" i="22"/>
  <c r="G11" i="22"/>
  <c r="B13" i="22"/>
  <c r="B14" i="22" s="1"/>
  <c r="G6" i="22" s="1"/>
  <c r="B59" i="22" s="1"/>
  <c r="J14" i="22"/>
  <c r="K14" i="22"/>
  <c r="B15" i="22"/>
  <c r="G15" i="22"/>
  <c r="E18" i="22"/>
  <c r="G18" i="22" s="1"/>
  <c r="F18" i="22"/>
  <c r="B19" i="22"/>
  <c r="E19" i="22" s="1"/>
  <c r="G19" i="22" s="1"/>
  <c r="H19" i="22" s="1"/>
  <c r="F19" i="22"/>
  <c r="E20" i="22"/>
  <c r="F20" i="22" s="1"/>
  <c r="G20" i="22"/>
  <c r="H20" i="22" s="1"/>
  <c r="E21" i="22"/>
  <c r="E24" i="22"/>
  <c r="F24" i="22"/>
  <c r="G24" i="22"/>
  <c r="H24" i="22"/>
  <c r="E25" i="22"/>
  <c r="F25" i="22"/>
  <c r="G25" i="22"/>
  <c r="H25" i="22"/>
  <c r="E26" i="22"/>
  <c r="G26" i="22" s="1"/>
  <c r="F26" i="22"/>
  <c r="H26" i="22"/>
  <c r="B29" i="22"/>
  <c r="D29" i="22"/>
  <c r="E29" i="22" s="1"/>
  <c r="F29" i="22" s="1"/>
  <c r="G29" i="22"/>
  <c r="H29" i="22" s="1"/>
  <c r="E30" i="22"/>
  <c r="F30" i="22" s="1"/>
  <c r="B33" i="22"/>
  <c r="E33" i="22"/>
  <c r="F33" i="22"/>
  <c r="G33" i="22"/>
  <c r="H33" i="22"/>
  <c r="B34" i="22"/>
  <c r="G34" i="22" s="1"/>
  <c r="E34" i="22"/>
  <c r="F34" i="22" s="1"/>
  <c r="H34" i="22"/>
  <c r="B35" i="22"/>
  <c r="D35" i="22"/>
  <c r="E35" i="22" s="1"/>
  <c r="G35" i="22" s="1"/>
  <c r="F35" i="22"/>
  <c r="H35" i="22"/>
  <c r="E38" i="22"/>
  <c r="F38" i="22"/>
  <c r="G38" i="22"/>
  <c r="H38" i="22"/>
  <c r="B39" i="22"/>
  <c r="E39" i="22"/>
  <c r="F39" i="22" s="1"/>
  <c r="G39" i="22"/>
  <c r="H39" i="22" s="1"/>
  <c r="E42" i="22"/>
  <c r="F42" i="22"/>
  <c r="G42" i="22"/>
  <c r="H42" i="22"/>
  <c r="E43" i="22"/>
  <c r="G43" i="22" s="1"/>
  <c r="H43" i="22" s="1"/>
  <c r="F43" i="22"/>
  <c r="E44" i="22"/>
  <c r="F44" i="22"/>
  <c r="G44" i="22"/>
  <c r="H44" i="22"/>
  <c r="E45" i="22"/>
  <c r="G45" i="22" s="1"/>
  <c r="F45" i="22"/>
  <c r="H45" i="22"/>
  <c r="E46" i="22"/>
  <c r="F46" i="22"/>
  <c r="G46" i="22"/>
  <c r="H46" i="22"/>
  <c r="E48" i="22"/>
  <c r="F48" i="22" s="1"/>
  <c r="G48" i="22"/>
  <c r="H48" i="22" s="1"/>
  <c r="B51" i="22"/>
  <c r="E51" i="22" s="1"/>
  <c r="G51" i="22" s="1"/>
  <c r="F51" i="22"/>
  <c r="H51" i="22"/>
  <c r="E52" i="22"/>
  <c r="F52" i="22"/>
  <c r="G52" i="22"/>
  <c r="H52" i="22"/>
  <c r="E53" i="22"/>
  <c r="F53" i="22" s="1"/>
  <c r="G53" i="22"/>
  <c r="H53" i="22" s="1"/>
  <c r="B54" i="22"/>
  <c r="E54" i="22" s="1"/>
  <c r="G54" i="22" s="1"/>
  <c r="H54" i="22" s="1"/>
  <c r="E55" i="22"/>
  <c r="G55" i="22"/>
  <c r="E56" i="22"/>
  <c r="G56" i="22"/>
  <c r="B58" i="22"/>
  <c r="E58" i="22" s="1"/>
  <c r="E59" i="22"/>
  <c r="F59" i="22" s="1"/>
  <c r="B60" i="22"/>
  <c r="E60" i="22" s="1"/>
  <c r="G60" i="22" s="1"/>
  <c r="H60" i="22"/>
  <c r="E61" i="22"/>
  <c r="F61" i="22"/>
  <c r="G61" i="22"/>
  <c r="H61" i="22"/>
  <c r="B62" i="22"/>
  <c r="E62" i="22"/>
  <c r="F62" i="22" s="1"/>
  <c r="B63" i="22"/>
  <c r="E63" i="22" s="1"/>
  <c r="B64" i="22"/>
  <c r="E64" i="22"/>
  <c r="F64" i="22" s="1"/>
  <c r="B65" i="22"/>
  <c r="E66" i="22"/>
  <c r="F66" i="22"/>
  <c r="G66" i="22"/>
  <c r="H66" i="22"/>
  <c r="E67" i="22"/>
  <c r="G67" i="22" s="1"/>
  <c r="H67" i="22" s="1"/>
  <c r="F67" i="22"/>
  <c r="B70" i="22"/>
  <c r="E70" i="22"/>
  <c r="F70" i="22" s="1"/>
  <c r="G70" i="22"/>
  <c r="H70" i="22" s="1"/>
  <c r="E71" i="22"/>
  <c r="F71" i="22" s="1"/>
  <c r="G71" i="22"/>
  <c r="H71" i="22" s="1"/>
  <c r="E72" i="22"/>
  <c r="F72" i="22" s="1"/>
  <c r="G72" i="22"/>
  <c r="H72" i="22" s="1"/>
  <c r="B75" i="22"/>
  <c r="E75" i="22" s="1"/>
  <c r="G75" i="22" s="1"/>
  <c r="F75" i="22"/>
  <c r="H75" i="22"/>
  <c r="E76" i="22"/>
  <c r="F76" i="22"/>
  <c r="G76" i="22"/>
  <c r="H76" i="22"/>
  <c r="B77" i="22"/>
  <c r="E77" i="22"/>
  <c r="F77" i="22" s="1"/>
  <c r="G77" i="22"/>
  <c r="H77" i="22" s="1"/>
  <c r="B78" i="22"/>
  <c r="E78" i="22" s="1"/>
  <c r="B81" i="22"/>
  <c r="E81" i="22"/>
  <c r="F81" i="22" s="1"/>
  <c r="G81" i="22"/>
  <c r="H81" i="22" s="1"/>
  <c r="E82" i="22"/>
  <c r="F82" i="22" s="1"/>
  <c r="G82" i="22"/>
  <c r="H82" i="22" s="1"/>
  <c r="B83" i="22"/>
  <c r="E83" i="22" s="1"/>
  <c r="E84" i="22"/>
  <c r="G84" i="22" s="1"/>
  <c r="F84" i="22"/>
  <c r="H84" i="22"/>
  <c r="B85" i="22"/>
  <c r="E85" i="22"/>
  <c r="E86" i="22"/>
  <c r="F86" i="22" s="1"/>
  <c r="G86" i="22"/>
  <c r="H86" i="22" s="1"/>
  <c r="E87" i="22"/>
  <c r="F87" i="22" s="1"/>
  <c r="E88" i="22"/>
  <c r="F88" i="22" s="1"/>
  <c r="E89" i="22"/>
  <c r="F89" i="22" s="1"/>
  <c r="G89" i="22"/>
  <c r="H89" i="22" s="1"/>
  <c r="E90" i="22"/>
  <c r="F90" i="22" s="1"/>
  <c r="G90" i="22"/>
  <c r="H90" i="22" s="1"/>
  <c r="B91" i="22"/>
  <c r="E92" i="22"/>
  <c r="F92" i="22"/>
  <c r="G92" i="22"/>
  <c r="H92" i="22"/>
  <c r="E95" i="22"/>
  <c r="F95" i="22"/>
  <c r="G95" i="22"/>
  <c r="H95" i="22"/>
  <c r="E96" i="22"/>
  <c r="F96" i="22"/>
  <c r="G96" i="22"/>
  <c r="H96" i="22"/>
  <c r="E97" i="22"/>
  <c r="G97" i="22" s="1"/>
  <c r="F97" i="22"/>
  <c r="H97" i="22"/>
  <c r="E101" i="22"/>
  <c r="F101" i="22" s="1"/>
  <c r="G101" i="22"/>
  <c r="H101" i="22" s="1"/>
  <c r="E102" i="22"/>
  <c r="F102" i="22" s="1"/>
  <c r="G102" i="22"/>
  <c r="H102" i="22" s="1"/>
  <c r="E105" i="22"/>
  <c r="F105" i="22" s="1"/>
  <c r="E106" i="22"/>
  <c r="F106" i="22" s="1"/>
  <c r="E107" i="22"/>
  <c r="E108" i="22"/>
  <c r="F108" i="22" s="1"/>
  <c r="G108" i="22"/>
  <c r="H108" i="22" s="1"/>
  <c r="B109" i="22"/>
  <c r="B110" i="22"/>
  <c r="D110" i="22"/>
  <c r="E9" i="20"/>
  <c r="V11" i="20"/>
  <c r="W11" i="20"/>
  <c r="X11" i="20" s="1"/>
  <c r="Y11" i="20"/>
  <c r="Z11" i="20" s="1"/>
  <c r="AA11" i="20" s="1"/>
  <c r="AB11" i="20" s="1"/>
  <c r="AC11" i="20"/>
  <c r="AD11" i="20" s="1"/>
  <c r="AE11" i="20" s="1"/>
  <c r="AF11" i="20" s="1"/>
  <c r="AG11" i="20" s="1"/>
  <c r="AH11" i="20" s="1"/>
  <c r="AI11" i="20" s="1"/>
  <c r="AJ11" i="20" s="1"/>
  <c r="AK11" i="20" s="1"/>
  <c r="E15" i="20"/>
  <c r="E16" i="20"/>
  <c r="E17" i="20"/>
  <c r="D19" i="20"/>
  <c r="E22" i="20"/>
  <c r="E25" i="20"/>
  <c r="B26" i="20"/>
  <c r="E26" i="20"/>
  <c r="B27" i="20"/>
  <c r="E27" i="20" s="1"/>
  <c r="B36" i="20"/>
  <c r="E36" i="20" s="1"/>
  <c r="F36" i="20" s="1"/>
  <c r="E41" i="20"/>
  <c r="E46" i="20"/>
  <c r="E47" i="20"/>
  <c r="E51" i="20"/>
  <c r="B52" i="20"/>
  <c r="E52" i="20"/>
  <c r="B53" i="20"/>
  <c r="E53" i="20" s="1"/>
  <c r="B54" i="20"/>
  <c r="E54" i="20"/>
  <c r="B55" i="20"/>
  <c r="E55" i="20" s="1"/>
  <c r="B56" i="20"/>
  <c r="E56" i="20"/>
  <c r="B57" i="20"/>
  <c r="E57" i="20"/>
  <c r="B58" i="20"/>
  <c r="E58" i="20"/>
  <c r="E73" i="20"/>
  <c r="E74" i="20"/>
  <c r="E76" i="20" s="1"/>
  <c r="E75" i="20"/>
  <c r="E82" i="20"/>
  <c r="E89" i="20"/>
  <c r="B93" i="20"/>
  <c r="E93" i="20" s="1"/>
  <c r="B94" i="20"/>
  <c r="E94" i="20" s="1"/>
  <c r="F94" i="20" s="1"/>
  <c r="B95" i="20"/>
  <c r="E95" i="20" s="1"/>
  <c r="E96" i="20"/>
  <c r="E97" i="20"/>
  <c r="D102" i="20"/>
  <c r="E102" i="20" s="1"/>
  <c r="B109" i="20"/>
  <c r="E109" i="20"/>
  <c r="F109" i="20" s="1"/>
  <c r="B110" i="20"/>
  <c r="D110" i="20"/>
  <c r="E110" i="20"/>
  <c r="F110" i="20" s="1"/>
  <c r="E111" i="20"/>
  <c r="F111" i="20"/>
  <c r="B2" i="20" s="1"/>
  <c r="B112" i="20"/>
  <c r="B113" i="20"/>
  <c r="B114" i="20"/>
  <c r="B115" i="20"/>
  <c r="E130" i="20"/>
  <c r="F130" i="20" s="1"/>
  <c r="B133" i="20"/>
  <c r="E133" i="20" s="1"/>
  <c r="B134" i="20"/>
  <c r="E134" i="20" s="1"/>
  <c r="F134" i="20" s="1"/>
  <c r="B135" i="20"/>
  <c r="E135" i="20" s="1"/>
  <c r="F135" i="20"/>
  <c r="B136" i="20"/>
  <c r="E136" i="20" s="1"/>
  <c r="F136" i="20" s="1"/>
  <c r="B137" i="20"/>
  <c r="E137" i="20"/>
  <c r="F137" i="20" s="1"/>
  <c r="B138" i="20"/>
  <c r="E138" i="20"/>
  <c r="F138" i="20" s="1"/>
  <c r="B139" i="20"/>
  <c r="E139" i="20"/>
  <c r="F139" i="20"/>
  <c r="B140" i="20"/>
  <c r="E140" i="20" s="1"/>
  <c r="F140" i="20" s="1"/>
  <c r="B141" i="20"/>
  <c r="E141" i="20"/>
  <c r="F141" i="20" s="1"/>
  <c r="B142" i="20"/>
  <c r="E142" i="20"/>
  <c r="F142" i="20" s="1"/>
  <c r="E143" i="20"/>
  <c r="F143" i="20" s="1"/>
  <c r="B144" i="20"/>
  <c r="E144" i="20" s="1"/>
  <c r="F144" i="20" s="1"/>
  <c r="B145" i="20"/>
  <c r="E145" i="20"/>
  <c r="F145" i="20" s="1"/>
  <c r="B146" i="20"/>
  <c r="E146" i="20" s="1"/>
  <c r="F146" i="20" s="1"/>
  <c r="B147" i="20"/>
  <c r="E147" i="20" s="1"/>
  <c r="F147" i="20" s="1"/>
  <c r="E148" i="20"/>
  <c r="F148" i="20"/>
  <c r="E149" i="20"/>
  <c r="F149" i="20" s="1"/>
  <c r="B153" i="20"/>
  <c r="E153" i="20"/>
  <c r="E161" i="20" s="1"/>
  <c r="F153" i="20"/>
  <c r="F161" i="20" s="1"/>
  <c r="B154" i="20"/>
  <c r="E154" i="20"/>
  <c r="F154" i="20" s="1"/>
  <c r="B155" i="20"/>
  <c r="E155" i="20" s="1"/>
  <c r="F155" i="20" s="1"/>
  <c r="B156" i="20"/>
  <c r="E156" i="20" s="1"/>
  <c r="F156" i="20" s="1"/>
  <c r="B157" i="20"/>
  <c r="E157" i="20" s="1"/>
  <c r="F157" i="20" s="1"/>
  <c r="B158" i="20"/>
  <c r="E158" i="20" s="1"/>
  <c r="F158" i="20"/>
  <c r="B159" i="20"/>
  <c r="E159" i="20"/>
  <c r="F159" i="20" s="1"/>
  <c r="B160" i="20"/>
  <c r="E160" i="20"/>
  <c r="F160" i="20" s="1"/>
  <c r="E164" i="20"/>
  <c r="F164" i="20" s="1"/>
  <c r="B165" i="20"/>
  <c r="E165" i="20" s="1"/>
  <c r="F165" i="20" s="1"/>
  <c r="B166" i="20"/>
  <c r="E166" i="20" s="1"/>
  <c r="F166" i="20"/>
  <c r="B167" i="20"/>
  <c r="E167" i="20"/>
  <c r="F167" i="20"/>
  <c r="B168" i="20"/>
  <c r="E168" i="20"/>
  <c r="F168" i="20" s="1"/>
  <c r="B169" i="20"/>
  <c r="E169" i="20"/>
  <c r="F169" i="20" s="1"/>
  <c r="B170" i="20"/>
  <c r="E170" i="20"/>
  <c r="F170" i="20" s="1"/>
  <c r="B171" i="20"/>
  <c r="E171" i="20"/>
  <c r="F171" i="20" s="1"/>
  <c r="F172" i="20"/>
  <c r="B175" i="20"/>
  <c r="E175" i="20" s="1"/>
  <c r="F175" i="20" s="1"/>
  <c r="F182" i="20" s="1"/>
  <c r="B176" i="20"/>
  <c r="E176" i="20"/>
  <c r="F176" i="20" s="1"/>
  <c r="B177" i="20"/>
  <c r="E177" i="20"/>
  <c r="F177" i="20" s="1"/>
  <c r="E178" i="20"/>
  <c r="F178" i="20" s="1"/>
  <c r="B179" i="20"/>
  <c r="B181" i="20"/>
  <c r="E181" i="20" s="1"/>
  <c r="F181" i="20" s="1"/>
  <c r="E182" i="20"/>
  <c r="E185" i="20"/>
  <c r="E189" i="20"/>
  <c r="F189" i="20"/>
  <c r="F192" i="20" s="1"/>
  <c r="B190" i="20"/>
  <c r="E190" i="20" s="1"/>
  <c r="F190" i="20"/>
  <c r="B191" i="20"/>
  <c r="E191" i="20" s="1"/>
  <c r="F191" i="20" s="1"/>
  <c r="B195" i="20"/>
  <c r="B196" i="20"/>
  <c r="F197" i="20"/>
  <c r="C6" i="32"/>
  <c r="C10" i="32"/>
  <c r="C16" i="32"/>
  <c r="AM21" i="8"/>
  <c r="AM23" i="8"/>
  <c r="P24" i="8"/>
  <c r="Q24" i="8"/>
  <c r="R24" i="8"/>
  <c r="S24" i="8"/>
  <c r="T24" i="8"/>
  <c r="U24" i="8"/>
  <c r="V24" i="8"/>
  <c r="W24" i="8"/>
  <c r="X24" i="8"/>
  <c r="Y24" i="8"/>
  <c r="Z24" i="8"/>
  <c r="AA24" i="8"/>
  <c r="AB24" i="8"/>
  <c r="AC24" i="8"/>
  <c r="AD24" i="8"/>
  <c r="AE24" i="8"/>
  <c r="AF24" i="8"/>
  <c r="AG24" i="8"/>
  <c r="AH24" i="8"/>
  <c r="AI24" i="8"/>
  <c r="AJ24" i="8"/>
  <c r="AK24" i="8"/>
  <c r="AL24" i="8"/>
  <c r="C26" i="8"/>
  <c r="AM26" i="8"/>
  <c r="C30" i="8"/>
  <c r="C34" i="8" s="1"/>
  <c r="D30" i="8"/>
  <c r="E30" i="8"/>
  <c r="F30" i="8"/>
  <c r="G30" i="8"/>
  <c r="G34" i="8" s="1"/>
  <c r="H30" i="8"/>
  <c r="H34" i="8" s="1"/>
  <c r="J30" i="8"/>
  <c r="J34" i="8" s="1"/>
  <c r="L30" i="8"/>
  <c r="AH30" i="8"/>
  <c r="AI30" i="8"/>
  <c r="AJ30" i="8"/>
  <c r="AK30" i="8"/>
  <c r="AL30" i="8"/>
  <c r="D34" i="8"/>
  <c r="E34" i="8"/>
  <c r="F34" i="8"/>
  <c r="L34" i="8"/>
  <c r="I37" i="8"/>
  <c r="AM37" i="8" s="1"/>
  <c r="I41" i="8"/>
  <c r="S41" i="8"/>
  <c r="C42" i="8"/>
  <c r="D42" i="8"/>
  <c r="E42" i="8"/>
  <c r="F42" i="8"/>
  <c r="G42" i="8"/>
  <c r="H42" i="8"/>
  <c r="I42" i="8"/>
  <c r="J42" i="8"/>
  <c r="K42" i="8"/>
  <c r="L42" i="8"/>
  <c r="M42" i="8"/>
  <c r="N42" i="8"/>
  <c r="O42" i="8"/>
  <c r="C43" i="8"/>
  <c r="D43" i="8"/>
  <c r="E43" i="8"/>
  <c r="F43" i="8"/>
  <c r="G43" i="8"/>
  <c r="H43" i="8"/>
  <c r="I43" i="8"/>
  <c r="J43" i="8"/>
  <c r="K43" i="8"/>
  <c r="L43" i="8"/>
  <c r="M43" i="8"/>
  <c r="N43" i="8"/>
  <c r="O43" i="8"/>
  <c r="L44" i="8"/>
  <c r="AH44" i="8"/>
  <c r="AI44" i="8"/>
  <c r="AJ44" i="8"/>
  <c r="AK44" i="8"/>
  <c r="AL44" i="8"/>
  <c r="I45" i="8"/>
  <c r="AM46" i="8"/>
  <c r="Q48" i="8"/>
  <c r="AC49" i="8"/>
  <c r="AC59" i="8" s="1"/>
  <c r="AM50" i="8"/>
  <c r="C59" i="8"/>
  <c r="D59" i="8"/>
  <c r="E59" i="8"/>
  <c r="F59" i="8"/>
  <c r="G59" i="8"/>
  <c r="H59" i="8"/>
  <c r="H61" i="8" s="1"/>
  <c r="I59" i="8"/>
  <c r="I61" i="8" s="1"/>
  <c r="J59" i="8"/>
  <c r="K59" i="8"/>
  <c r="L59" i="8"/>
  <c r="M59" i="8"/>
  <c r="N59" i="8"/>
  <c r="O59" i="8"/>
  <c r="C61" i="8"/>
  <c r="C62" i="8" s="1"/>
  <c r="E61" i="8"/>
  <c r="F61" i="8"/>
  <c r="G61" i="8"/>
  <c r="J61" i="8"/>
  <c r="K61" i="8"/>
  <c r="L61" i="8"/>
  <c r="M61" i="8"/>
  <c r="N61" i="8"/>
  <c r="O61" i="8"/>
  <c r="I67" i="8"/>
  <c r="J67" i="8"/>
  <c r="B108" i="8"/>
  <c r="AG12" i="19"/>
  <c r="AG13" i="19"/>
  <c r="AG14" i="19"/>
  <c r="AG15" i="19"/>
  <c r="AG16" i="19"/>
  <c r="AG17" i="19"/>
  <c r="AG18" i="19"/>
  <c r="AG19" i="19"/>
  <c r="AG20" i="19"/>
  <c r="AG21" i="19"/>
  <c r="AG22" i="19"/>
  <c r="AG23" i="19"/>
  <c r="D40" i="19"/>
  <c r="B41" i="19"/>
  <c r="C41" i="19"/>
  <c r="A53" i="19"/>
  <c r="A61" i="19"/>
  <c r="C5" i="33"/>
  <c r="J5" i="33" s="1"/>
  <c r="K5" i="33" s="1"/>
  <c r="G5" i="33"/>
  <c r="N5" i="33"/>
  <c r="C6" i="33"/>
  <c r="M6" i="33" s="1"/>
  <c r="G6" i="33"/>
  <c r="J6" i="33"/>
  <c r="K6" i="33" s="1"/>
  <c r="N6" i="33"/>
  <c r="G7" i="33"/>
  <c r="G8" i="33"/>
  <c r="C10" i="33"/>
  <c r="J10" i="33" s="1"/>
  <c r="K10" i="33" s="1"/>
  <c r="G10" i="33"/>
  <c r="N10" i="33"/>
  <c r="C11" i="33"/>
  <c r="J11" i="33" s="1"/>
  <c r="K11" i="33" s="1"/>
  <c r="G11" i="33"/>
  <c r="N11" i="33"/>
  <c r="C12" i="33"/>
  <c r="M12" i="33" s="1"/>
  <c r="G12" i="33"/>
  <c r="J12" i="33"/>
  <c r="K12" i="33"/>
  <c r="N12" i="33"/>
  <c r="F14" i="33"/>
  <c r="C7" i="32" s="1"/>
  <c r="Y49" i="8" s="1"/>
  <c r="Y59" i="8" s="1"/>
  <c r="G14" i="33"/>
  <c r="F107" i="22" l="1"/>
  <c r="G107" i="22"/>
  <c r="H107" i="22" s="1"/>
  <c r="B4" i="19"/>
  <c r="M11" i="33"/>
  <c r="D61" i="8"/>
  <c r="AG49" i="8"/>
  <c r="AG59" i="8" s="1"/>
  <c r="F95" i="20"/>
  <c r="F85" i="22"/>
  <c r="G85" i="22"/>
  <c r="H85" i="22" s="1"/>
  <c r="Z49" i="8"/>
  <c r="Z59" i="8" s="1"/>
  <c r="F76" i="20"/>
  <c r="AN50" i="8"/>
  <c r="F42" i="23"/>
  <c r="G42" i="23"/>
  <c r="H42" i="23" s="1"/>
  <c r="B31" i="20"/>
  <c r="E31" i="20" s="1"/>
  <c r="B39" i="20"/>
  <c r="E39" i="20" s="1"/>
  <c r="F39" i="20" s="1"/>
  <c r="B42" i="20"/>
  <c r="E42" i="20" s="1"/>
  <c r="F42" i="20" s="1"/>
  <c r="B69" i="20"/>
  <c r="E69" i="20" s="1"/>
  <c r="F69" i="20" s="1"/>
  <c r="B80" i="20"/>
  <c r="E80" i="20" s="1"/>
  <c r="F80" i="20" s="1"/>
  <c r="B83" i="20"/>
  <c r="B37" i="20"/>
  <c r="E37" i="20" s="1"/>
  <c r="F37" i="20" s="1"/>
  <c r="B35" i="20"/>
  <c r="E35" i="20" s="1"/>
  <c r="F35" i="20" s="1"/>
  <c r="B19" i="20"/>
  <c r="B33" i="20"/>
  <c r="E33" i="20" s="1"/>
  <c r="F33" i="20" s="1"/>
  <c r="B44" i="20"/>
  <c r="E44" i="20" s="1"/>
  <c r="F44" i="20" s="1"/>
  <c r="B63" i="20"/>
  <c r="E63" i="20" s="1"/>
  <c r="F63" i="20" s="1"/>
  <c r="B85" i="20"/>
  <c r="E85" i="20" s="1"/>
  <c r="F85" i="20" s="1"/>
  <c r="B18" i="20"/>
  <c r="E18" i="20" s="1"/>
  <c r="F18" i="20" s="1"/>
  <c r="F25" i="20"/>
  <c r="B38" i="20"/>
  <c r="E38" i="20" s="1"/>
  <c r="F38" i="20" s="1"/>
  <c r="B43" i="20"/>
  <c r="E43" i="20" s="1"/>
  <c r="F43" i="20" s="1"/>
  <c r="F47" i="20"/>
  <c r="B79" i="20"/>
  <c r="E79" i="20" s="1"/>
  <c r="F82" i="20"/>
  <c r="F57" i="20"/>
  <c r="B34" i="20"/>
  <c r="E34" i="20" s="1"/>
  <c r="F34" i="20" s="1"/>
  <c r="B64" i="20"/>
  <c r="E64" i="20" s="1"/>
  <c r="F64" i="20" s="1"/>
  <c r="B68" i="20"/>
  <c r="E68" i="20" s="1"/>
  <c r="F68" i="20" s="1"/>
  <c r="B81" i="20"/>
  <c r="E81" i="20" s="1"/>
  <c r="F81" i="20" s="1"/>
  <c r="F96" i="20"/>
  <c r="AE41" i="8"/>
  <c r="AM41" i="8" s="1"/>
  <c r="B32" i="20"/>
  <c r="E32" i="20" s="1"/>
  <c r="F32" i="20" s="1"/>
  <c r="B66" i="20"/>
  <c r="E66" i="20" s="1"/>
  <c r="F66" i="20" s="1"/>
  <c r="AJ49" i="8"/>
  <c r="AJ59" i="8" s="1"/>
  <c r="F9" i="20"/>
  <c r="F41" i="20"/>
  <c r="F56" i="20"/>
  <c r="B65" i="20"/>
  <c r="E65" i="20" s="1"/>
  <c r="F65" i="20" s="1"/>
  <c r="F89" i="20"/>
  <c r="B45" i="20"/>
  <c r="E45" i="20" s="1"/>
  <c r="F45" i="20" s="1"/>
  <c r="AL41" i="8"/>
  <c r="V49" i="8"/>
  <c r="V59" i="8" s="1"/>
  <c r="AD49" i="8"/>
  <c r="AD59" i="8" s="1"/>
  <c r="AL49" i="8"/>
  <c r="AL59" i="8" s="1"/>
  <c r="B67" i="20"/>
  <c r="E67" i="20" s="1"/>
  <c r="F67" i="20" s="1"/>
  <c r="F75" i="20"/>
  <c r="W49" i="8"/>
  <c r="W59" i="8" s="1"/>
  <c r="AE49" i="8"/>
  <c r="AE59" i="8" s="1"/>
  <c r="F46" i="20"/>
  <c r="F93" i="20"/>
  <c r="B4" i="20"/>
  <c r="B40" i="20"/>
  <c r="E40" i="20" s="1"/>
  <c r="F40" i="20" s="1"/>
  <c r="F51" i="20"/>
  <c r="B62" i="20"/>
  <c r="E62" i="20" s="1"/>
  <c r="C32" i="19"/>
  <c r="T49" i="8"/>
  <c r="T59" i="8" s="1"/>
  <c r="AB49" i="8"/>
  <c r="AB59" i="8" s="1"/>
  <c r="D41" i="19"/>
  <c r="C45" i="19"/>
  <c r="U49" i="8"/>
  <c r="U59" i="8" s="1"/>
  <c r="P49" i="8"/>
  <c r="E186" i="20"/>
  <c r="F185" i="20"/>
  <c r="F186" i="20" s="1"/>
  <c r="F102" i="20"/>
  <c r="E110" i="22"/>
  <c r="F110" i="22" s="1"/>
  <c r="G110" i="22"/>
  <c r="H110" i="22" s="1"/>
  <c r="R49" i="8"/>
  <c r="R59" i="8" s="1"/>
  <c r="AN37" i="8"/>
  <c r="F55" i="20"/>
  <c r="F54" i="22"/>
  <c r="I28" i="8"/>
  <c r="K47" i="8"/>
  <c r="M10" i="33"/>
  <c r="AK49" i="8"/>
  <c r="AK59" i="8" s="1"/>
  <c r="Q49" i="8"/>
  <c r="Q59" i="8" s="1"/>
  <c r="F97" i="20"/>
  <c r="F22" i="20"/>
  <c r="G63" i="22"/>
  <c r="H63" i="22" s="1"/>
  <c r="F63" i="22"/>
  <c r="M5" i="33"/>
  <c r="B40" i="19"/>
  <c r="AH49" i="8"/>
  <c r="AH59" i="8" s="1"/>
  <c r="B180" i="20"/>
  <c r="E180" i="20" s="1"/>
  <c r="F180" i="20" s="1"/>
  <c r="E179" i="20"/>
  <c r="F179" i="20" s="1"/>
  <c r="F133" i="20"/>
  <c r="F150" i="20" s="1"/>
  <c r="E150" i="20"/>
  <c r="F58" i="20"/>
  <c r="AN47" i="8"/>
  <c r="AI49" i="8"/>
  <c r="AI59" i="8" s="1"/>
  <c r="AA49" i="8"/>
  <c r="AA59" i="8" s="1"/>
  <c r="S49" i="8"/>
  <c r="S59" i="8" s="1"/>
  <c r="B3" i="20"/>
  <c r="F15" i="20"/>
  <c r="AF49" i="8"/>
  <c r="AF59" i="8" s="1"/>
  <c r="X49" i="8"/>
  <c r="X59" i="8" s="1"/>
  <c r="E192" i="20"/>
  <c r="E172" i="20"/>
  <c r="G58" i="22"/>
  <c r="H58" i="22" s="1"/>
  <c r="F58" i="22"/>
  <c r="E91" i="28"/>
  <c r="G91" i="28"/>
  <c r="E98" i="20"/>
  <c r="F98" i="20" s="1"/>
  <c r="G78" i="22"/>
  <c r="H78" i="22" s="1"/>
  <c r="F78" i="22"/>
  <c r="F53" i="20"/>
  <c r="F74" i="20"/>
  <c r="F52" i="20"/>
  <c r="E59" i="20"/>
  <c r="F59" i="20" s="1"/>
  <c r="F27" i="20"/>
  <c r="G83" i="22"/>
  <c r="H83" i="22" s="1"/>
  <c r="F83" i="22"/>
  <c r="AN26" i="8"/>
  <c r="AM24" i="8"/>
  <c r="B67" i="31"/>
  <c r="E67" i="31" s="1"/>
  <c r="B87" i="31"/>
  <c r="E87" i="31" s="1"/>
  <c r="B66" i="31"/>
  <c r="E66" i="31" s="1"/>
  <c r="K17" i="22"/>
  <c r="K79" i="31"/>
  <c r="B90" i="31"/>
  <c r="E90" i="31" s="1"/>
  <c r="L15" i="22"/>
  <c r="B47" i="22"/>
  <c r="B84" i="31"/>
  <c r="K15" i="22"/>
  <c r="B88" i="31"/>
  <c r="E88" i="31" s="1"/>
  <c r="M15" i="22"/>
  <c r="B47" i="31"/>
  <c r="E47" i="31" s="1"/>
  <c r="F73" i="20"/>
  <c r="F16" i="20"/>
  <c r="D10" i="20"/>
  <c r="E10" i="20" s="1"/>
  <c r="F17" i="20"/>
  <c r="B57" i="22"/>
  <c r="E57" i="22" s="1"/>
  <c r="B100" i="22"/>
  <c r="G106" i="22"/>
  <c r="H106" i="22" s="1"/>
  <c r="G88" i="22"/>
  <c r="H88" i="22" s="1"/>
  <c r="G62" i="22"/>
  <c r="H62" i="22" s="1"/>
  <c r="F60" i="22"/>
  <c r="G86" i="28"/>
  <c r="G35" i="28"/>
  <c r="G29" i="28"/>
  <c r="G95" i="31"/>
  <c r="H95" i="31" s="1"/>
  <c r="F95" i="31"/>
  <c r="F57" i="25"/>
  <c r="G57" i="25"/>
  <c r="H57" i="25" s="1"/>
  <c r="G6" i="29"/>
  <c r="B15" i="29"/>
  <c r="G55" i="24"/>
  <c r="H55" i="24" s="1"/>
  <c r="F55" i="24"/>
  <c r="E65" i="22"/>
  <c r="F65" i="22" s="1"/>
  <c r="G65" i="22"/>
  <c r="H65" i="22" s="1"/>
  <c r="H18" i="22"/>
  <c r="G53" i="28"/>
  <c r="E53" i="28"/>
  <c r="G77" i="31"/>
  <c r="H77" i="31" s="1"/>
  <c r="F77" i="31"/>
  <c r="F26" i="20"/>
  <c r="E28" i="20"/>
  <c r="F28" i="20" s="1"/>
  <c r="E19" i="20"/>
  <c r="F19" i="20" s="1"/>
  <c r="G105" i="22"/>
  <c r="H105" i="22" s="1"/>
  <c r="G87" i="22"/>
  <c r="H87" i="22" s="1"/>
  <c r="G64" i="22"/>
  <c r="H64" i="22" s="1"/>
  <c r="G59" i="22"/>
  <c r="H59" i="22" s="1"/>
  <c r="G30" i="22"/>
  <c r="H30" i="22" s="1"/>
  <c r="G62" i="28"/>
  <c r="G26" i="28"/>
  <c r="G51" i="28"/>
  <c r="F54" i="20"/>
  <c r="E109" i="22"/>
  <c r="F109" i="22" s="1"/>
  <c r="G109" i="22"/>
  <c r="H109" i="22" s="1"/>
  <c r="E91" i="22"/>
  <c r="F91" i="22" s="1"/>
  <c r="G91" i="22"/>
  <c r="H91" i="22" s="1"/>
  <c r="G21" i="22"/>
  <c r="H21" i="22" s="1"/>
  <c r="F21" i="22"/>
  <c r="G72" i="28"/>
  <c r="G42" i="28"/>
  <c r="G18" i="28"/>
  <c r="G35" i="23"/>
  <c r="H35" i="23" s="1"/>
  <c r="F35" i="23"/>
  <c r="F18" i="23"/>
  <c r="G18" i="23"/>
  <c r="G45" i="31"/>
  <c r="H45" i="31" s="1"/>
  <c r="F45" i="31"/>
  <c r="G92" i="28"/>
  <c r="G88" i="28"/>
  <c r="F110" i="31"/>
  <c r="G110" i="31"/>
  <c r="H110" i="31" s="1"/>
  <c r="G88" i="25"/>
  <c r="H88" i="25" s="1"/>
  <c r="F88" i="25"/>
  <c r="E33" i="28"/>
  <c r="G33" i="28"/>
  <c r="F88" i="23"/>
  <c r="G88" i="23"/>
  <c r="H88" i="23" s="1"/>
  <c r="G6" i="23"/>
  <c r="F46" i="31"/>
  <c r="G46" i="31"/>
  <c r="H46" i="31" s="1"/>
  <c r="G81" i="25"/>
  <c r="H81" i="25" s="1"/>
  <c r="F81" i="25"/>
  <c r="G62" i="24"/>
  <c r="H62" i="24" s="1"/>
  <c r="F62" i="24"/>
  <c r="B8" i="28"/>
  <c r="G53" i="23"/>
  <c r="H53" i="23" s="1"/>
  <c r="F39" i="23"/>
  <c r="F70" i="31"/>
  <c r="G70" i="31"/>
  <c r="H70" i="31" s="1"/>
  <c r="H96" i="29"/>
  <c r="B59" i="28"/>
  <c r="E59" i="28" s="1"/>
  <c r="B19" i="28"/>
  <c r="E19" i="28" s="1"/>
  <c r="F78" i="23"/>
  <c r="G78" i="23"/>
  <c r="H78" i="23" s="1"/>
  <c r="F62" i="23"/>
  <c r="G62" i="23"/>
  <c r="H62" i="23" s="1"/>
  <c r="F58" i="23"/>
  <c r="G58" i="23"/>
  <c r="H58" i="23" s="1"/>
  <c r="B60" i="23"/>
  <c r="E60" i="23" s="1"/>
  <c r="B57" i="23"/>
  <c r="E57" i="23" s="1"/>
  <c r="B83" i="23"/>
  <c r="E83" i="23" s="1"/>
  <c r="F58" i="31"/>
  <c r="G58" i="31"/>
  <c r="H58" i="31" s="1"/>
  <c r="G43" i="31"/>
  <c r="H43" i="31" s="1"/>
  <c r="F43" i="31"/>
  <c r="G59" i="25"/>
  <c r="H59" i="25" s="1"/>
  <c r="F59" i="25"/>
  <c r="B100" i="23"/>
  <c r="F86" i="23"/>
  <c r="G86" i="23"/>
  <c r="H86" i="23" s="1"/>
  <c r="G72" i="23"/>
  <c r="H72" i="23" s="1"/>
  <c r="F44" i="23"/>
  <c r="G44" i="23"/>
  <c r="H44" i="23" s="1"/>
  <c r="F105" i="31"/>
  <c r="G105" i="31"/>
  <c r="H105" i="31" s="1"/>
  <c r="G78" i="31"/>
  <c r="H78" i="31" s="1"/>
  <c r="F78" i="31"/>
  <c r="F63" i="31"/>
  <c r="G63" i="31"/>
  <c r="H63" i="31" s="1"/>
  <c r="F54" i="31"/>
  <c r="F42" i="31"/>
  <c r="G42" i="31"/>
  <c r="H42" i="31" s="1"/>
  <c r="G97" i="31"/>
  <c r="H97" i="31" s="1"/>
  <c r="F97" i="31"/>
  <c r="G91" i="31"/>
  <c r="H91" i="31" s="1"/>
  <c r="F91" i="31"/>
  <c r="G39" i="31"/>
  <c r="H39" i="31" s="1"/>
  <c r="F39" i="31"/>
  <c r="G29" i="31"/>
  <c r="H29" i="31" s="1"/>
  <c r="F29" i="31"/>
  <c r="G89" i="25"/>
  <c r="H89" i="25" s="1"/>
  <c r="F89" i="25"/>
  <c r="G64" i="25"/>
  <c r="H64" i="25" s="1"/>
  <c r="F64" i="25"/>
  <c r="B63" i="23"/>
  <c r="E63" i="23" s="1"/>
  <c r="F52" i="23"/>
  <c r="F48" i="23"/>
  <c r="H38" i="23"/>
  <c r="G6" i="31"/>
  <c r="B15" i="31"/>
  <c r="F63" i="25"/>
  <c r="G63" i="25"/>
  <c r="H63" i="25" s="1"/>
  <c r="G54" i="25"/>
  <c r="H54" i="25" s="1"/>
  <c r="F54" i="25"/>
  <c r="G45" i="25"/>
  <c r="H45" i="25" s="1"/>
  <c r="F45" i="25"/>
  <c r="E53" i="25"/>
  <c r="F53" i="25" s="1"/>
  <c r="G53" i="25"/>
  <c r="H53" i="25" s="1"/>
  <c r="F84" i="29"/>
  <c r="G97" i="24"/>
  <c r="H97" i="24" s="1"/>
  <c r="F97" i="24"/>
  <c r="F24" i="23"/>
  <c r="F33" i="31"/>
  <c r="G33" i="31"/>
  <c r="H33" i="31" s="1"/>
  <c r="B77" i="23"/>
  <c r="E84" i="31"/>
  <c r="F53" i="31"/>
  <c r="G110" i="25"/>
  <c r="H110" i="25" s="1"/>
  <c r="F75" i="25"/>
  <c r="G31" i="24"/>
  <c r="H31" i="24" s="1"/>
  <c r="F31" i="24"/>
  <c r="G21" i="31"/>
  <c r="H21" i="31" s="1"/>
  <c r="F21" i="31"/>
  <c r="F26" i="29"/>
  <c r="G82" i="24"/>
  <c r="H82" i="24" s="1"/>
  <c r="F82" i="24"/>
  <c r="F71" i="31"/>
  <c r="F18" i="31"/>
  <c r="G18" i="31"/>
  <c r="G97" i="25"/>
  <c r="H97" i="25" s="1"/>
  <c r="F97" i="25"/>
  <c r="G86" i="25"/>
  <c r="H86" i="25" s="1"/>
  <c r="F86" i="25"/>
  <c r="G42" i="25"/>
  <c r="H42" i="25" s="1"/>
  <c r="F35" i="25"/>
  <c r="F76" i="29"/>
  <c r="B92" i="24"/>
  <c r="E92" i="24" s="1"/>
  <c r="E71" i="24"/>
  <c r="F44" i="31"/>
  <c r="G44" i="31"/>
  <c r="H44" i="31" s="1"/>
  <c r="G34" i="31"/>
  <c r="H34" i="31" s="1"/>
  <c r="F34" i="31"/>
  <c r="G25" i="31"/>
  <c r="H25" i="31" s="1"/>
  <c r="F25" i="31"/>
  <c r="F25" i="29"/>
  <c r="B109" i="31"/>
  <c r="E109" i="31" s="1"/>
  <c r="B65" i="25"/>
  <c r="B78" i="25"/>
  <c r="E78" i="25" s="1"/>
  <c r="B85" i="25"/>
  <c r="E85" i="25" s="1"/>
  <c r="H110" i="29"/>
  <c r="F105" i="29"/>
  <c r="H53" i="29"/>
  <c r="H38" i="29"/>
  <c r="G48" i="24"/>
  <c r="H48" i="24" s="1"/>
  <c r="F48" i="24"/>
  <c r="F40" i="24"/>
  <c r="G40" i="24"/>
  <c r="H40" i="24" s="1"/>
  <c r="H71" i="29"/>
  <c r="H62" i="29"/>
  <c r="H30" i="29"/>
  <c r="F20" i="29"/>
  <c r="B61" i="24"/>
  <c r="E61" i="24" s="1"/>
  <c r="B58" i="24"/>
  <c r="E58" i="24" s="1"/>
  <c r="B84" i="24"/>
  <c r="E84" i="24" s="1"/>
  <c r="G39" i="25"/>
  <c r="H39" i="25" s="1"/>
  <c r="F39" i="25"/>
  <c r="G30" i="25"/>
  <c r="H30" i="25" s="1"/>
  <c r="F30" i="25"/>
  <c r="F19" i="25"/>
  <c r="B60" i="25"/>
  <c r="E60" i="25" s="1"/>
  <c r="B83" i="25"/>
  <c r="E83" i="25" s="1"/>
  <c r="F101" i="29"/>
  <c r="H95" i="29"/>
  <c r="H45" i="29"/>
  <c r="H42" i="29"/>
  <c r="F35" i="29"/>
  <c r="F111" i="24"/>
  <c r="G111" i="24"/>
  <c r="H111" i="24" s="1"/>
  <c r="F59" i="24"/>
  <c r="G59" i="24"/>
  <c r="H59" i="24" s="1"/>
  <c r="G36" i="24"/>
  <c r="H36" i="24" s="1"/>
  <c r="F36" i="24"/>
  <c r="G72" i="25"/>
  <c r="H72" i="25" s="1"/>
  <c r="F72" i="25"/>
  <c r="F25" i="25"/>
  <c r="F107" i="29"/>
  <c r="E34" i="29"/>
  <c r="F34" i="29" s="1"/>
  <c r="F18" i="29"/>
  <c r="F67" i="24"/>
  <c r="F64" i="24"/>
  <c r="G64" i="24"/>
  <c r="H64" i="24" s="1"/>
  <c r="F30" i="24"/>
  <c r="G30" i="24"/>
  <c r="H30" i="24" s="1"/>
  <c r="H81" i="29"/>
  <c r="F54" i="29"/>
  <c r="H34" i="29"/>
  <c r="E29" i="29"/>
  <c r="G29" i="29"/>
  <c r="H29" i="29" s="1"/>
  <c r="F24" i="29"/>
  <c r="G73" i="24"/>
  <c r="H73" i="24" s="1"/>
  <c r="F73" i="24"/>
  <c r="F54" i="24"/>
  <c r="G54" i="24"/>
  <c r="H54" i="24" s="1"/>
  <c r="G43" i="25"/>
  <c r="H43" i="25" s="1"/>
  <c r="F43" i="25"/>
  <c r="H106" i="29"/>
  <c r="H97" i="29"/>
  <c r="F64" i="29"/>
  <c r="G64" i="29"/>
  <c r="H64" i="29" s="1"/>
  <c r="F53" i="29"/>
  <c r="H44" i="29"/>
  <c r="G21" i="29"/>
  <c r="H21" i="29" s="1"/>
  <c r="B9" i="29"/>
  <c r="B58" i="29"/>
  <c r="E58" i="29" s="1"/>
  <c r="B101" i="24"/>
  <c r="E101" i="24" s="1"/>
  <c r="G93" i="24"/>
  <c r="H93" i="24" s="1"/>
  <c r="F93" i="24"/>
  <c r="F63" i="24"/>
  <c r="G63" i="24"/>
  <c r="H63" i="24" s="1"/>
  <c r="F35" i="24"/>
  <c r="G35" i="24"/>
  <c r="H35" i="24" s="1"/>
  <c r="G20" i="25"/>
  <c r="G84" i="29"/>
  <c r="H84" i="29" s="1"/>
  <c r="G107" i="29"/>
  <c r="H107" i="29" s="1"/>
  <c r="G105" i="29"/>
  <c r="G18" i="29"/>
  <c r="G90" i="24"/>
  <c r="H90" i="24" s="1"/>
  <c r="G88" i="24"/>
  <c r="H88" i="24" s="1"/>
  <c r="G86" i="24"/>
  <c r="H86" i="24" s="1"/>
  <c r="G79" i="24"/>
  <c r="H79" i="24" s="1"/>
  <c r="G68" i="24"/>
  <c r="H68" i="24" s="1"/>
  <c r="G66" i="24"/>
  <c r="H66" i="24" s="1"/>
  <c r="G7" i="24"/>
  <c r="F87" i="31" l="1"/>
  <c r="G87" i="31"/>
  <c r="H87" i="31" s="1"/>
  <c r="E11" i="20"/>
  <c r="F11" i="20" s="1"/>
  <c r="AN41" i="8"/>
  <c r="B100" i="29"/>
  <c r="B57" i="29"/>
  <c r="E57" i="29" s="1"/>
  <c r="B83" i="29"/>
  <c r="E83" i="29" s="1"/>
  <c r="B60" i="29"/>
  <c r="E60" i="29" s="1"/>
  <c r="N8" i="33"/>
  <c r="H18" i="29"/>
  <c r="G77" i="23"/>
  <c r="H77" i="23" s="1"/>
  <c r="E77" i="23"/>
  <c r="F77" i="23" s="1"/>
  <c r="B59" i="29"/>
  <c r="E59" i="29" s="1"/>
  <c r="B51" i="29"/>
  <c r="E51" i="29" s="1"/>
  <c r="B19" i="29"/>
  <c r="E19" i="29" s="1"/>
  <c r="G58" i="29"/>
  <c r="H58" i="29" s="1"/>
  <c r="F58" i="29"/>
  <c r="F38" i="29"/>
  <c r="F67" i="29"/>
  <c r="B75" i="29"/>
  <c r="E75" i="29" s="1"/>
  <c r="H76" i="29"/>
  <c r="B82" i="29"/>
  <c r="E82" i="29" s="1"/>
  <c r="F87" i="29"/>
  <c r="F89" i="29"/>
  <c r="H108" i="29"/>
  <c r="H25" i="29"/>
  <c r="F42" i="29"/>
  <c r="F44" i="29"/>
  <c r="F46" i="29"/>
  <c r="F48" i="29"/>
  <c r="F62" i="29"/>
  <c r="F71" i="29"/>
  <c r="B77" i="29"/>
  <c r="F91" i="29"/>
  <c r="F95" i="29"/>
  <c r="F97" i="29"/>
  <c r="B109" i="29"/>
  <c r="B39" i="29"/>
  <c r="E39" i="29" s="1"/>
  <c r="H33" i="29"/>
  <c r="H52" i="29"/>
  <c r="F61" i="29"/>
  <c r="B63" i="29"/>
  <c r="E63" i="29" s="1"/>
  <c r="F66" i="29"/>
  <c r="F86" i="29"/>
  <c r="F88" i="29"/>
  <c r="F90" i="29"/>
  <c r="H101" i="29"/>
  <c r="H26" i="29"/>
  <c r="F81" i="29"/>
  <c r="F92" i="29"/>
  <c r="H86" i="29"/>
  <c r="F106" i="29"/>
  <c r="F45" i="29"/>
  <c r="B65" i="29"/>
  <c r="F70" i="29"/>
  <c r="H24" i="29"/>
  <c r="H90" i="29"/>
  <c r="F43" i="29"/>
  <c r="B78" i="29"/>
  <c r="E78" i="29" s="1"/>
  <c r="F96" i="29"/>
  <c r="H20" i="29"/>
  <c r="F47" i="29"/>
  <c r="F72" i="29"/>
  <c r="B85" i="29"/>
  <c r="E85" i="29" s="1"/>
  <c r="F102" i="29"/>
  <c r="F30" i="29"/>
  <c r="H88" i="29"/>
  <c r="F108" i="29"/>
  <c r="F110" i="29"/>
  <c r="C8" i="33"/>
  <c r="H72" i="29"/>
  <c r="H92" i="29"/>
  <c r="H70" i="29"/>
  <c r="G78" i="25"/>
  <c r="H78" i="25" s="1"/>
  <c r="F78" i="25"/>
  <c r="F63" i="23"/>
  <c r="G63" i="23"/>
  <c r="H63" i="23" s="1"/>
  <c r="F21" i="29"/>
  <c r="H89" i="29"/>
  <c r="H48" i="29"/>
  <c r="H87" i="29"/>
  <c r="F52" i="29"/>
  <c r="F33" i="29"/>
  <c r="E65" i="25"/>
  <c r="F65" i="25" s="1"/>
  <c r="G65" i="25"/>
  <c r="H65" i="25" s="1"/>
  <c r="H66" i="29"/>
  <c r="H43" i="29"/>
  <c r="F33" i="28"/>
  <c r="H92" i="28"/>
  <c r="F88" i="31"/>
  <c r="G88" i="31"/>
  <c r="H88" i="31" s="1"/>
  <c r="F66" i="31"/>
  <c r="G66" i="31"/>
  <c r="H66" i="31" s="1"/>
  <c r="E20" i="20"/>
  <c r="L47" i="8"/>
  <c r="I30" i="8"/>
  <c r="I34" i="8" s="1"/>
  <c r="I44" i="8"/>
  <c r="AM28" i="8"/>
  <c r="G84" i="31"/>
  <c r="H84" i="31" s="1"/>
  <c r="F84" i="31"/>
  <c r="F84" i="24"/>
  <c r="G84" i="24"/>
  <c r="H84" i="24" s="1"/>
  <c r="F67" i="31"/>
  <c r="G67" i="31"/>
  <c r="H67" i="31" s="1"/>
  <c r="F79" i="20"/>
  <c r="B60" i="24"/>
  <c r="E60" i="24" s="1"/>
  <c r="B20" i="24"/>
  <c r="E20" i="24" s="1"/>
  <c r="B52" i="24"/>
  <c r="E52" i="24" s="1"/>
  <c r="H105" i="29"/>
  <c r="H47" i="29"/>
  <c r="F29" i="29"/>
  <c r="F83" i="25"/>
  <c r="G83" i="25"/>
  <c r="H83" i="25" s="1"/>
  <c r="F58" i="24"/>
  <c r="G58" i="24"/>
  <c r="H58" i="24" s="1"/>
  <c r="H102" i="29"/>
  <c r="H67" i="29"/>
  <c r="H61" i="29"/>
  <c r="F92" i="24"/>
  <c r="G92" i="24"/>
  <c r="H92" i="24" s="1"/>
  <c r="H18" i="31"/>
  <c r="B59" i="31"/>
  <c r="E59" i="31" s="1"/>
  <c r="B19" i="31"/>
  <c r="E19" i="31" s="1"/>
  <c r="B51" i="31"/>
  <c r="E51" i="31" s="1"/>
  <c r="H35" i="29"/>
  <c r="F83" i="23"/>
  <c r="G83" i="23"/>
  <c r="H83" i="23" s="1"/>
  <c r="E47" i="22"/>
  <c r="G47" i="22"/>
  <c r="H47" i="22" s="1"/>
  <c r="H111" i="22" s="1"/>
  <c r="E10" i="33" s="1"/>
  <c r="P59" i="8"/>
  <c r="AM59" i="8" s="1"/>
  <c r="AM49" i="8"/>
  <c r="F62" i="20"/>
  <c r="E70" i="20"/>
  <c r="F70" i="20" s="1"/>
  <c r="G71" i="24"/>
  <c r="H71" i="24" s="1"/>
  <c r="F71" i="24"/>
  <c r="G60" i="25"/>
  <c r="H60" i="25" s="1"/>
  <c r="F60" i="25"/>
  <c r="F61" i="24"/>
  <c r="G61" i="24"/>
  <c r="H61" i="24" s="1"/>
  <c r="E111" i="25"/>
  <c r="F111" i="25" s="1"/>
  <c r="F57" i="23"/>
  <c r="G57" i="23"/>
  <c r="H57" i="23" s="1"/>
  <c r="G19" i="28"/>
  <c r="B59" i="23"/>
  <c r="E59" i="23" s="1"/>
  <c r="B19" i="23"/>
  <c r="E19" i="23" s="1"/>
  <c r="B51" i="23"/>
  <c r="E51" i="23" s="1"/>
  <c r="H54" i="29"/>
  <c r="K67" i="8"/>
  <c r="E48" i="20"/>
  <c r="F48" i="20" s="1"/>
  <c r="F31" i="20"/>
  <c r="G109" i="31"/>
  <c r="H109" i="31" s="1"/>
  <c r="F109" i="31"/>
  <c r="H35" i="28"/>
  <c r="F101" i="24"/>
  <c r="G101" i="24"/>
  <c r="H101" i="24" s="1"/>
  <c r="G60" i="23"/>
  <c r="H60" i="23" s="1"/>
  <c r="F60" i="23"/>
  <c r="F59" i="28"/>
  <c r="G59" i="28"/>
  <c r="H59" i="28" s="1"/>
  <c r="H42" i="28"/>
  <c r="G90" i="31"/>
  <c r="H90" i="31" s="1"/>
  <c r="F90" i="31"/>
  <c r="F91" i="28"/>
  <c r="H20" i="25"/>
  <c r="H111" i="25" s="1"/>
  <c r="E6" i="33" s="1"/>
  <c r="G111" i="25"/>
  <c r="F85" i="25"/>
  <c r="G85" i="25"/>
  <c r="H85" i="25" s="1"/>
  <c r="B58" i="28"/>
  <c r="E58" i="28" s="1"/>
  <c r="B9" i="28"/>
  <c r="H91" i="29"/>
  <c r="E100" i="22"/>
  <c r="F100" i="22" s="1"/>
  <c r="G100" i="22"/>
  <c r="H100" i="22" s="1"/>
  <c r="G47" i="31"/>
  <c r="H47" i="31" s="1"/>
  <c r="F47" i="31"/>
  <c r="C60" i="19"/>
  <c r="B45" i="19"/>
  <c r="D45" i="19"/>
  <c r="C52" i="19"/>
  <c r="Q12" i="20"/>
  <c r="Y12" i="20"/>
  <c r="AG12" i="20"/>
  <c r="AO12" i="20"/>
  <c r="K12" i="20"/>
  <c r="S12" i="20"/>
  <c r="AA12" i="20"/>
  <c r="AI12" i="20"/>
  <c r="AQ12" i="20"/>
  <c r="M12" i="20"/>
  <c r="U12" i="20"/>
  <c r="AC12" i="20"/>
  <c r="AK12" i="20"/>
  <c r="AS12" i="20"/>
  <c r="O12" i="20"/>
  <c r="W12" i="20"/>
  <c r="AE12" i="20"/>
  <c r="AM12" i="20"/>
  <c r="T12" i="20"/>
  <c r="AJ12" i="20"/>
  <c r="V12" i="20"/>
  <c r="AL12" i="20"/>
  <c r="X12" i="20"/>
  <c r="AN12" i="20"/>
  <c r="L12" i="20"/>
  <c r="AB12" i="20"/>
  <c r="AR12" i="20"/>
  <c r="R12" i="20"/>
  <c r="AH12" i="20"/>
  <c r="J12" i="20"/>
  <c r="N12" i="20"/>
  <c r="P12" i="20"/>
  <c r="Z12" i="20"/>
  <c r="AD12" i="20"/>
  <c r="AF12" i="20"/>
  <c r="AP12" i="20"/>
  <c r="F10" i="20"/>
  <c r="B60" i="31"/>
  <c r="E60" i="31" s="1"/>
  <c r="B57" i="31"/>
  <c r="E57" i="31" s="1"/>
  <c r="B100" i="31"/>
  <c r="E100" i="31" s="1"/>
  <c r="B83" i="31"/>
  <c r="E83" i="31" s="1"/>
  <c r="H46" i="29"/>
  <c r="E100" i="23"/>
  <c r="F100" i="23" s="1"/>
  <c r="G100" i="23"/>
  <c r="H100" i="23" s="1"/>
  <c r="H33" i="28"/>
  <c r="H88" i="28"/>
  <c r="H18" i="23"/>
  <c r="F57" i="22"/>
  <c r="G57" i="22"/>
  <c r="H57" i="22" s="1"/>
  <c r="E83" i="20"/>
  <c r="F83" i="20" s="1"/>
  <c r="B84" i="20"/>
  <c r="E84" i="20" s="1"/>
  <c r="F84" i="20" s="1"/>
  <c r="D62" i="8"/>
  <c r="E62" i="8" s="1"/>
  <c r="F62" i="8" s="1"/>
  <c r="G62" i="8" s="1"/>
  <c r="H62" i="8" s="1"/>
  <c r="I62" i="8" s="1"/>
  <c r="J62" i="8" s="1"/>
  <c r="K62" i="8" s="1"/>
  <c r="L62" i="8" s="1"/>
  <c r="M62" i="8" s="1"/>
  <c r="N62" i="8" s="1"/>
  <c r="O62" i="8" s="1"/>
  <c r="E112" i="25" l="1"/>
  <c r="D6" i="33"/>
  <c r="H6" i="33" s="1"/>
  <c r="E12" i="20"/>
  <c r="F51" i="23"/>
  <c r="G51" i="23"/>
  <c r="H51" i="23" s="1"/>
  <c r="F47" i="22"/>
  <c r="F111" i="22" s="1"/>
  <c r="E111" i="22"/>
  <c r="B77" i="28"/>
  <c r="B109" i="28"/>
  <c r="B39" i="28"/>
  <c r="E39" i="28" s="1"/>
  <c r="F38" i="28"/>
  <c r="B63" i="28"/>
  <c r="E63" i="28" s="1"/>
  <c r="B65" i="28"/>
  <c r="B78" i="28"/>
  <c r="E78" i="28" s="1"/>
  <c r="B82" i="28"/>
  <c r="E82" i="28" s="1"/>
  <c r="H89" i="28"/>
  <c r="B15" i="28"/>
  <c r="F25" i="28"/>
  <c r="F34" i="28"/>
  <c r="H38" i="28"/>
  <c r="F61" i="28"/>
  <c r="H87" i="28"/>
  <c r="F101" i="28"/>
  <c r="F105" i="28"/>
  <c r="F107" i="28"/>
  <c r="B75" i="28"/>
  <c r="E75" i="28" s="1"/>
  <c r="H90" i="28"/>
  <c r="H66" i="28"/>
  <c r="F102" i="28"/>
  <c r="F106" i="28"/>
  <c r="F108" i="28"/>
  <c r="H61" i="28"/>
  <c r="F84" i="28"/>
  <c r="H52" i="28"/>
  <c r="B85" i="28"/>
  <c r="E85" i="28" s="1"/>
  <c r="H47" i="28"/>
  <c r="H54" i="28"/>
  <c r="H67" i="28"/>
  <c r="F89" i="28"/>
  <c r="F52" i="28"/>
  <c r="H76" i="28"/>
  <c r="F87" i="28"/>
  <c r="H70" i="28"/>
  <c r="F64" i="28"/>
  <c r="H96" i="28"/>
  <c r="H30" i="28"/>
  <c r="C7" i="33"/>
  <c r="F76" i="28"/>
  <c r="F96" i="28"/>
  <c r="F21" i="28"/>
  <c r="F29" i="28"/>
  <c r="F81" i="28"/>
  <c r="F24" i="28"/>
  <c r="H25" i="28"/>
  <c r="H84" i="28"/>
  <c r="F67" i="28"/>
  <c r="F70" i="28"/>
  <c r="H64" i="28"/>
  <c r="F90" i="28"/>
  <c r="H20" i="28"/>
  <c r="F62" i="28"/>
  <c r="F42" i="28"/>
  <c r="F88" i="28"/>
  <c r="F20" i="28"/>
  <c r="H24" i="28"/>
  <c r="F51" i="28"/>
  <c r="H48" i="28"/>
  <c r="H21" i="28"/>
  <c r="H45" i="28"/>
  <c r="H71" i="28"/>
  <c r="H95" i="28"/>
  <c r="F86" i="28"/>
  <c r="H43" i="28"/>
  <c r="F66" i="28"/>
  <c r="F54" i="28"/>
  <c r="H107" i="28"/>
  <c r="F44" i="28"/>
  <c r="H108" i="28"/>
  <c r="H44" i="28"/>
  <c r="F26" i="28"/>
  <c r="F18" i="28"/>
  <c r="H105" i="28"/>
  <c r="F95" i="28"/>
  <c r="F97" i="28"/>
  <c r="H102" i="28"/>
  <c r="H110" i="28"/>
  <c r="H97" i="28"/>
  <c r="F48" i="28"/>
  <c r="F35" i="28"/>
  <c r="F92" i="28"/>
  <c r="H101" i="28"/>
  <c r="H81" i="28"/>
  <c r="H106" i="28"/>
  <c r="F72" i="28"/>
  <c r="F71" i="28"/>
  <c r="H34" i="28"/>
  <c r="F47" i="28"/>
  <c r="H46" i="28"/>
  <c r="F46" i="28"/>
  <c r="F30" i="28"/>
  <c r="F43" i="28"/>
  <c r="F110" i="28"/>
  <c r="F45" i="28"/>
  <c r="G100" i="31"/>
  <c r="H100" i="31" s="1"/>
  <c r="F100" i="31"/>
  <c r="H53" i="28"/>
  <c r="H18" i="28"/>
  <c r="F51" i="31"/>
  <c r="G51" i="31"/>
  <c r="H51" i="31" s="1"/>
  <c r="H26" i="28"/>
  <c r="H51" i="28"/>
  <c r="F78" i="29"/>
  <c r="G78" i="29"/>
  <c r="H78" i="29" s="1"/>
  <c r="F20" i="20"/>
  <c r="E38" i="8"/>
  <c r="E51" i="8" s="1"/>
  <c r="E53" i="8" s="1"/>
  <c r="H38" i="8"/>
  <c r="H51" i="8" s="1"/>
  <c r="H53" i="8" s="1"/>
  <c r="C38" i="8"/>
  <c r="G38" i="8"/>
  <c r="G51" i="8" s="1"/>
  <c r="G53" i="8" s="1"/>
  <c r="D38" i="8"/>
  <c r="D51" i="8" s="1"/>
  <c r="D53" i="8" s="1"/>
  <c r="F38" i="8"/>
  <c r="F51" i="8" s="1"/>
  <c r="F53" i="8" s="1"/>
  <c r="F57" i="31"/>
  <c r="G57" i="31"/>
  <c r="H57" i="31" s="1"/>
  <c r="H62" i="28"/>
  <c r="G19" i="31"/>
  <c r="F19" i="31"/>
  <c r="E111" i="31"/>
  <c r="F52" i="24"/>
  <c r="G52" i="24"/>
  <c r="H52" i="24" s="1"/>
  <c r="L67" i="8"/>
  <c r="M47" i="8"/>
  <c r="G63" i="29"/>
  <c r="H63" i="29" s="1"/>
  <c r="F63" i="29"/>
  <c r="F85" i="29"/>
  <c r="G85" i="29"/>
  <c r="H85" i="29" s="1"/>
  <c r="I12" i="20"/>
  <c r="D11" i="20" s="1"/>
  <c r="F19" i="23"/>
  <c r="F111" i="23" s="1"/>
  <c r="G19" i="23"/>
  <c r="E111" i="23"/>
  <c r="AN49" i="8"/>
  <c r="G111" i="22"/>
  <c r="G19" i="29"/>
  <c r="F19" i="29"/>
  <c r="F60" i="29"/>
  <c r="G60" i="29"/>
  <c r="H60" i="29" s="1"/>
  <c r="F20" i="24"/>
  <c r="G20" i="24"/>
  <c r="E112" i="24"/>
  <c r="F112" i="24" s="1"/>
  <c r="B60" i="19"/>
  <c r="H91" i="28"/>
  <c r="G59" i="23"/>
  <c r="H59" i="23" s="1"/>
  <c r="F59" i="23"/>
  <c r="E86" i="20"/>
  <c r="M8" i="33"/>
  <c r="J8" i="33"/>
  <c r="K8" i="33" s="1"/>
  <c r="G65" i="29"/>
  <c r="H65" i="29" s="1"/>
  <c r="E65" i="29"/>
  <c r="F65" i="29" s="1"/>
  <c r="F39" i="29"/>
  <c r="G39" i="29"/>
  <c r="H39" i="29" s="1"/>
  <c r="F82" i="29"/>
  <c r="G82" i="29"/>
  <c r="H82" i="29" s="1"/>
  <c r="G51" i="29"/>
  <c r="H51" i="29" s="1"/>
  <c r="F51" i="29"/>
  <c r="G83" i="29"/>
  <c r="H83" i="29" s="1"/>
  <c r="F83" i="29"/>
  <c r="B52" i="19"/>
  <c r="G60" i="24"/>
  <c r="H60" i="24" s="1"/>
  <c r="F60" i="24"/>
  <c r="H19" i="28"/>
  <c r="AN28" i="8"/>
  <c r="E109" i="29"/>
  <c r="F109" i="29" s="1"/>
  <c r="G109" i="29"/>
  <c r="H109" i="29" s="1"/>
  <c r="F59" i="29"/>
  <c r="G59" i="29"/>
  <c r="H59" i="29" s="1"/>
  <c r="F57" i="29"/>
  <c r="G57" i="29"/>
  <c r="H57" i="29" s="1"/>
  <c r="F60" i="31"/>
  <c r="G60" i="31"/>
  <c r="H60" i="31" s="1"/>
  <c r="F59" i="31"/>
  <c r="G59" i="31"/>
  <c r="H59" i="31" s="1"/>
  <c r="E77" i="29"/>
  <c r="F77" i="29" s="1"/>
  <c r="G77" i="29"/>
  <c r="H77" i="29" s="1"/>
  <c r="H72" i="28"/>
  <c r="F83" i="31"/>
  <c r="G83" i="31"/>
  <c r="H83" i="31" s="1"/>
  <c r="F58" i="28"/>
  <c r="G58" i="28"/>
  <c r="H58" i="28" s="1"/>
  <c r="H86" i="28"/>
  <c r="F53" i="28"/>
  <c r="F19" i="28"/>
  <c r="H29" i="28"/>
  <c r="F75" i="29"/>
  <c r="G75" i="29"/>
  <c r="H75" i="29" s="1"/>
  <c r="G100" i="29"/>
  <c r="H100" i="29" s="1"/>
  <c r="E100" i="29"/>
  <c r="F100" i="29" s="1"/>
  <c r="H19" i="23" l="1"/>
  <c r="H111" i="23" s="1"/>
  <c r="E11" i="33" s="1"/>
  <c r="B94" i="33" s="1"/>
  <c r="G111" i="23"/>
  <c r="D11" i="33" s="1"/>
  <c r="H11" i="33" s="1"/>
  <c r="H20" i="24"/>
  <c r="H112" i="24" s="1"/>
  <c r="E5" i="33" s="1"/>
  <c r="G112" i="24"/>
  <c r="M67" i="8"/>
  <c r="N47" i="8"/>
  <c r="G78" i="28"/>
  <c r="H78" i="28" s="1"/>
  <c r="F78" i="28"/>
  <c r="G65" i="28"/>
  <c r="H65" i="28" s="1"/>
  <c r="E65" i="28"/>
  <c r="F65" i="28" s="1"/>
  <c r="F63" i="28"/>
  <c r="G63" i="28"/>
  <c r="H63" i="28" s="1"/>
  <c r="F12" i="20"/>
  <c r="B18" i="19"/>
  <c r="E111" i="29"/>
  <c r="F111" i="29" s="1"/>
  <c r="H19" i="31"/>
  <c r="H111" i="31" s="1"/>
  <c r="E12" i="33" s="1"/>
  <c r="G111" i="31"/>
  <c r="G75" i="28"/>
  <c r="H75" i="28" s="1"/>
  <c r="F75" i="28"/>
  <c r="F39" i="28"/>
  <c r="G39" i="28"/>
  <c r="H19" i="29"/>
  <c r="H111" i="29" s="1"/>
  <c r="E8" i="33" s="1"/>
  <c r="G111" i="29"/>
  <c r="AM38" i="8"/>
  <c r="C51" i="8"/>
  <c r="C53" i="8" s="1"/>
  <c r="C57" i="8" s="1"/>
  <c r="D55" i="8" s="1"/>
  <c r="D57" i="8" s="1"/>
  <c r="E55" i="8" s="1"/>
  <c r="E57" i="8" s="1"/>
  <c r="F55" i="8" s="1"/>
  <c r="F57" i="8" s="1"/>
  <c r="G55" i="8" s="1"/>
  <c r="G57" i="8" s="1"/>
  <c r="H55" i="8" s="1"/>
  <c r="H57" i="8" s="1"/>
  <c r="I55" i="8" s="1"/>
  <c r="B83" i="28"/>
  <c r="E83" i="28" s="1"/>
  <c r="B57" i="28"/>
  <c r="E57" i="28" s="1"/>
  <c r="B100" i="28"/>
  <c r="B60" i="28"/>
  <c r="E60" i="28" s="1"/>
  <c r="N7" i="33"/>
  <c r="N14" i="33" s="1"/>
  <c r="G109" i="28"/>
  <c r="H109" i="28" s="1"/>
  <c r="E109" i="28"/>
  <c r="F109" i="28" s="1"/>
  <c r="F111" i="31"/>
  <c r="G85" i="28"/>
  <c r="H85" i="28" s="1"/>
  <c r="F85" i="28"/>
  <c r="E77" i="28"/>
  <c r="F77" i="28" s="1"/>
  <c r="G77" i="28"/>
  <c r="H77" i="28" s="1"/>
  <c r="F86" i="20"/>
  <c r="E90" i="20"/>
  <c r="F90" i="20" s="1"/>
  <c r="E112" i="22"/>
  <c r="D10" i="33"/>
  <c r="H10" i="33" s="1"/>
  <c r="J7" i="33"/>
  <c r="K7" i="33" s="1"/>
  <c r="K14" i="33" s="1"/>
  <c r="M7" i="33"/>
  <c r="M14" i="33" s="1"/>
  <c r="C14" i="33"/>
  <c r="F82" i="28"/>
  <c r="G82" i="28"/>
  <c r="H82" i="28" s="1"/>
  <c r="C18" i="19" l="1"/>
  <c r="E112" i="29"/>
  <c r="D8" i="33"/>
  <c r="H8" i="33" s="1"/>
  <c r="G60" i="28"/>
  <c r="H60" i="28" s="1"/>
  <c r="F60" i="28"/>
  <c r="B100" i="20"/>
  <c r="E100" i="20" s="1"/>
  <c r="B194" i="20"/>
  <c r="E194" i="20" s="1"/>
  <c r="C19" i="32"/>
  <c r="C18" i="32"/>
  <c r="B5" i="19"/>
  <c r="C5" i="19" s="1"/>
  <c r="D32" i="19"/>
  <c r="H39" i="28"/>
  <c r="F57" i="28"/>
  <c r="G57" i="28"/>
  <c r="H57" i="28" s="1"/>
  <c r="N67" i="8"/>
  <c r="Q47" i="8"/>
  <c r="Q67" i="8" s="1"/>
  <c r="P47" i="8"/>
  <c r="O47" i="8"/>
  <c r="E113" i="24"/>
  <c r="D5" i="33"/>
  <c r="H5" i="33" s="1"/>
  <c r="I14" i="33"/>
  <c r="B8" i="19"/>
  <c r="E18" i="19" s="1"/>
  <c r="J14" i="33"/>
  <c r="F83" i="28"/>
  <c r="G83" i="28"/>
  <c r="H83" i="28" s="1"/>
  <c r="E100" i="28"/>
  <c r="F100" i="28" s="1"/>
  <c r="G100" i="28"/>
  <c r="H100" i="28" s="1"/>
  <c r="AN38" i="8"/>
  <c r="E112" i="31"/>
  <c r="D12" i="33"/>
  <c r="H12" i="33" s="1"/>
  <c r="R47" i="8" l="1"/>
  <c r="E111" i="28"/>
  <c r="F111" i="28" s="1"/>
  <c r="F194" i="20"/>
  <c r="E197" i="20"/>
  <c r="F100" i="20"/>
  <c r="E103" i="20"/>
  <c r="O67" i="8"/>
  <c r="G111" i="28"/>
  <c r="D18" i="19"/>
  <c r="C8" i="19"/>
  <c r="B11" i="19"/>
  <c r="B25" i="19"/>
  <c r="E32" i="19"/>
  <c r="E8" i="19"/>
  <c r="B12" i="19"/>
  <c r="D8" i="19"/>
  <c r="H111" i="28"/>
  <c r="E7" i="33" s="1"/>
  <c r="E112" i="28" l="1"/>
  <c r="D7" i="33"/>
  <c r="H7" i="33" s="1"/>
  <c r="H14" i="33" s="1"/>
  <c r="E104" i="20"/>
  <c r="F104" i="20" s="1"/>
  <c r="F103" i="20"/>
  <c r="B19" i="19"/>
  <c r="C12" i="19"/>
  <c r="D12" i="19"/>
  <c r="E12" i="19"/>
  <c r="B13" i="19"/>
  <c r="C25" i="19"/>
  <c r="D25" i="19"/>
  <c r="E25" i="19"/>
  <c r="E11" i="19"/>
  <c r="B122" i="19" s="1"/>
  <c r="C11" i="19"/>
  <c r="D11" i="19"/>
  <c r="S47" i="8"/>
  <c r="W32" i="8"/>
  <c r="AE32" i="8"/>
  <c r="R32" i="8"/>
  <c r="Z32" i="8"/>
  <c r="AH32" i="8"/>
  <c r="P32" i="8"/>
  <c r="AA32" i="8"/>
  <c r="Q32" i="8"/>
  <c r="AB32" i="8"/>
  <c r="T32" i="8"/>
  <c r="AJ32" i="8"/>
  <c r="C59" i="19"/>
  <c r="X32" i="8"/>
  <c r="AG32" i="8"/>
  <c r="AI32" i="8"/>
  <c r="C50" i="19"/>
  <c r="Y32" i="8"/>
  <c r="AK32" i="8"/>
  <c r="AD32" i="8"/>
  <c r="S32" i="8"/>
  <c r="AC32" i="8"/>
  <c r="U32" i="8"/>
  <c r="AF32" i="8"/>
  <c r="AL32" i="8"/>
  <c r="V32" i="8"/>
  <c r="U43" i="8" l="1"/>
  <c r="U42" i="8"/>
  <c r="AM32" i="8"/>
  <c r="P42" i="8"/>
  <c r="P43" i="8"/>
  <c r="T47" i="8"/>
  <c r="Q42" i="8"/>
  <c r="Q43" i="8"/>
  <c r="AI34" i="8"/>
  <c r="AI42" i="8"/>
  <c r="AI43" i="8"/>
  <c r="AG42" i="8"/>
  <c r="AG43" i="8"/>
  <c r="J39" i="8"/>
  <c r="M39" i="8"/>
  <c r="I39" i="8"/>
  <c r="K39" i="8"/>
  <c r="D19" i="19"/>
  <c r="L39" i="8"/>
  <c r="C19" i="19"/>
  <c r="E19" i="19"/>
  <c r="B21" i="19"/>
  <c r="AC42" i="8"/>
  <c r="AC43" i="8"/>
  <c r="X42" i="8"/>
  <c r="X43" i="8"/>
  <c r="AH43" i="8"/>
  <c r="AH34" i="8"/>
  <c r="AH42" i="8"/>
  <c r="S42" i="8"/>
  <c r="S43" i="8"/>
  <c r="S29" i="8"/>
  <c r="AA29" i="8"/>
  <c r="N29" i="8"/>
  <c r="V29" i="8"/>
  <c r="AD29" i="8"/>
  <c r="P29" i="8"/>
  <c r="Z29" i="8"/>
  <c r="Q29" i="8"/>
  <c r="AB29" i="8"/>
  <c r="R29" i="8"/>
  <c r="AC29" i="8"/>
  <c r="T29" i="8"/>
  <c r="AE29" i="8"/>
  <c r="U29" i="8"/>
  <c r="AF29" i="8"/>
  <c r="B59" i="19"/>
  <c r="O29" i="8"/>
  <c r="Y29" i="8"/>
  <c r="D59" i="19"/>
  <c r="M29" i="8"/>
  <c r="W29" i="8"/>
  <c r="X29" i="8"/>
  <c r="AG29" i="8"/>
  <c r="Z43" i="8"/>
  <c r="Z42" i="8"/>
  <c r="AA42" i="8"/>
  <c r="AA43" i="8"/>
  <c r="AD42" i="8"/>
  <c r="AD43" i="8"/>
  <c r="AJ42" i="8"/>
  <c r="AJ43" i="8"/>
  <c r="AJ34" i="8"/>
  <c r="R43" i="8"/>
  <c r="R42" i="8"/>
  <c r="B50" i="19"/>
  <c r="D50" i="19"/>
  <c r="C51" i="19"/>
  <c r="D60" i="19"/>
  <c r="D52" i="19"/>
  <c r="AL42" i="8"/>
  <c r="AL43" i="8"/>
  <c r="AL34" i="8"/>
  <c r="AF42" i="8"/>
  <c r="AF43" i="8"/>
  <c r="AK42" i="8"/>
  <c r="AK43" i="8"/>
  <c r="AK34" i="8"/>
  <c r="T42" i="8"/>
  <c r="T43" i="8"/>
  <c r="AE43" i="8"/>
  <c r="AE42" i="8"/>
  <c r="E13" i="19"/>
  <c r="C13" i="19"/>
  <c r="D13" i="19"/>
  <c r="B15" i="19"/>
  <c r="B20" i="19"/>
  <c r="D14" i="33"/>
  <c r="E14" i="33"/>
  <c r="V42" i="8"/>
  <c r="V43" i="8"/>
  <c r="Y42" i="8"/>
  <c r="Y43" i="8"/>
  <c r="AB42" i="8"/>
  <c r="AB43" i="8"/>
  <c r="W43" i="8"/>
  <c r="W42" i="8"/>
  <c r="W44" i="8" l="1"/>
  <c r="W30" i="8"/>
  <c r="AM39" i="8"/>
  <c r="I51" i="8"/>
  <c r="I53" i="8" s="1"/>
  <c r="I57" i="8" s="1"/>
  <c r="J55" i="8" s="1"/>
  <c r="P44" i="8"/>
  <c r="P30" i="8"/>
  <c r="M44" i="8"/>
  <c r="M30" i="8"/>
  <c r="T30" i="8"/>
  <c r="T44" i="8"/>
  <c r="E21" i="19"/>
  <c r="B24" i="19"/>
  <c r="D21" i="19"/>
  <c r="C21" i="19"/>
  <c r="AM42" i="8"/>
  <c r="AC44" i="8"/>
  <c r="AC30" i="8"/>
  <c r="N44" i="8"/>
  <c r="N30" i="8"/>
  <c r="AD30" i="8"/>
  <c r="AD44" i="8"/>
  <c r="B51" i="19"/>
  <c r="K29" i="8"/>
  <c r="D51" i="19"/>
  <c r="Y30" i="8"/>
  <c r="Y44" i="8"/>
  <c r="R44" i="8"/>
  <c r="R30" i="8"/>
  <c r="AA44" i="8"/>
  <c r="AA30" i="8"/>
  <c r="C44" i="19"/>
  <c r="C42" i="19"/>
  <c r="U47" i="8"/>
  <c r="AO26" i="8"/>
  <c r="AN32" i="8"/>
  <c r="AO32" i="8"/>
  <c r="AO46" i="8"/>
  <c r="AO37" i="8"/>
  <c r="AO50" i="8"/>
  <c r="AO41" i="8"/>
  <c r="AO28" i="8"/>
  <c r="AO49" i="8"/>
  <c r="AO38" i="8"/>
  <c r="O44" i="8"/>
  <c r="O30" i="8"/>
  <c r="AB30" i="8"/>
  <c r="AB44" i="8"/>
  <c r="S44" i="8"/>
  <c r="S30" i="8"/>
  <c r="AG30" i="8"/>
  <c r="AG44" i="8"/>
  <c r="Q30" i="8"/>
  <c r="Q44" i="8"/>
  <c r="U30" i="8"/>
  <c r="U44" i="8"/>
  <c r="AE44" i="8"/>
  <c r="AE30" i="8"/>
  <c r="AM43" i="8"/>
  <c r="V30" i="8"/>
  <c r="V44" i="8"/>
  <c r="C20" i="19"/>
  <c r="D20" i="19"/>
  <c r="E20" i="19"/>
  <c r="C15" i="19"/>
  <c r="D15" i="19"/>
  <c r="E15" i="19"/>
  <c r="X44" i="8"/>
  <c r="X30" i="8"/>
  <c r="AF30" i="8"/>
  <c r="AF44" i="8"/>
  <c r="Z44" i="8"/>
  <c r="Z30" i="8"/>
  <c r="AK48" i="8" l="1"/>
  <c r="AF34" i="8"/>
  <c r="AA48" i="8"/>
  <c r="V34" i="8"/>
  <c r="AG48" i="8"/>
  <c r="AB34" i="8"/>
  <c r="U67" i="8"/>
  <c r="V47" i="8"/>
  <c r="N34" i="8"/>
  <c r="S48" i="8"/>
  <c r="S67" i="8" s="1"/>
  <c r="AE48" i="8"/>
  <c r="Z34" i="8"/>
  <c r="AN43" i="8"/>
  <c r="AO43" i="8"/>
  <c r="V48" i="8"/>
  <c r="Q34" i="8"/>
  <c r="T48" i="8"/>
  <c r="T67" i="8" s="1"/>
  <c r="O34" i="8"/>
  <c r="AD48" i="8"/>
  <c r="Y34" i="8"/>
  <c r="C24" i="19"/>
  <c r="E24" i="19"/>
  <c r="D24" i="19"/>
  <c r="B26" i="19"/>
  <c r="U48" i="8"/>
  <c r="P34" i="8"/>
  <c r="AJ48" i="8"/>
  <c r="AE34" i="8"/>
  <c r="D42" i="19"/>
  <c r="B42" i="19"/>
  <c r="C43" i="19"/>
  <c r="AH48" i="8"/>
  <c r="AC34" i="8"/>
  <c r="AL48" i="8"/>
  <c r="AG34" i="8"/>
  <c r="D44" i="19"/>
  <c r="B44" i="19"/>
  <c r="K30" i="8"/>
  <c r="AM29" i="8"/>
  <c r="K44" i="8"/>
  <c r="AM44" i="8" s="1"/>
  <c r="AC48" i="8"/>
  <c r="X34" i="8"/>
  <c r="X48" i="8"/>
  <c r="S34" i="8"/>
  <c r="Y48" i="8"/>
  <c r="T34" i="8"/>
  <c r="AF48" i="8"/>
  <c r="AA34" i="8"/>
  <c r="AO42" i="8"/>
  <c r="AN42" i="8"/>
  <c r="L40" i="8"/>
  <c r="T40" i="8"/>
  <c r="AB40" i="8"/>
  <c r="AJ40" i="8"/>
  <c r="O40" i="8"/>
  <c r="W40" i="8"/>
  <c r="AE40" i="8"/>
  <c r="U40" i="8"/>
  <c r="K40" i="8"/>
  <c r="V40" i="8"/>
  <c r="AG40" i="8"/>
  <c r="M40" i="8"/>
  <c r="X40" i="8"/>
  <c r="AH40" i="8"/>
  <c r="N40" i="8"/>
  <c r="Y40" i="8"/>
  <c r="AI40" i="8"/>
  <c r="P40" i="8"/>
  <c r="Z40" i="8"/>
  <c r="AK40" i="8"/>
  <c r="C53" i="19"/>
  <c r="C61" i="19"/>
  <c r="S40" i="8"/>
  <c r="AD40" i="8"/>
  <c r="AF40" i="8"/>
  <c r="R40" i="8"/>
  <c r="AA40" i="8"/>
  <c r="AC40" i="8"/>
  <c r="AL40" i="8"/>
  <c r="Q40" i="8"/>
  <c r="Z48" i="8"/>
  <c r="U34" i="8"/>
  <c r="W48" i="8"/>
  <c r="R34" i="8"/>
  <c r="AO39" i="8"/>
  <c r="AN39" i="8"/>
  <c r="AI48" i="8"/>
  <c r="AD34" i="8"/>
  <c r="M34" i="8"/>
  <c r="R48" i="8"/>
  <c r="R67" i="8" s="1"/>
  <c r="AB48" i="8"/>
  <c r="W34" i="8"/>
  <c r="AM40" i="8" l="1"/>
  <c r="B61" i="19"/>
  <c r="D61" i="19"/>
  <c r="C63" i="19"/>
  <c r="D53" i="19"/>
  <c r="B53" i="19"/>
  <c r="AN44" i="8"/>
  <c r="AO44" i="8"/>
  <c r="C26" i="19"/>
  <c r="B28" i="19"/>
  <c r="D26" i="19"/>
  <c r="E26" i="19"/>
  <c r="V67" i="8"/>
  <c r="W47" i="8"/>
  <c r="AN29" i="8"/>
  <c r="AO29" i="8"/>
  <c r="AM30" i="8"/>
  <c r="B43" i="19"/>
  <c r="I66" i="8" s="1"/>
  <c r="D43" i="19"/>
  <c r="K34" i="8"/>
  <c r="P48" i="8"/>
  <c r="I68" i="8" l="1"/>
  <c r="W67" i="8"/>
  <c r="X47" i="8"/>
  <c r="B63" i="19"/>
  <c r="D63" i="19"/>
  <c r="C54" i="19"/>
  <c r="C62" i="19"/>
  <c r="AO40" i="8"/>
  <c r="AN40" i="8"/>
  <c r="AO30" i="8"/>
  <c r="AN30" i="8"/>
  <c r="AM34" i="8"/>
  <c r="E28" i="19"/>
  <c r="C28" i="19"/>
  <c r="D28" i="19"/>
  <c r="B30" i="19"/>
  <c r="AM48" i="8"/>
  <c r="P67" i="8"/>
  <c r="C30" i="19" l="1"/>
  <c r="B33" i="19"/>
  <c r="D30" i="19"/>
  <c r="E30" i="19"/>
  <c r="J69" i="8"/>
  <c r="J66" i="8"/>
  <c r="B62" i="19"/>
  <c r="D62" i="19"/>
  <c r="AN34" i="8"/>
  <c r="AO34" i="8"/>
  <c r="B54" i="19"/>
  <c r="D54" i="19"/>
  <c r="C55" i="19"/>
  <c r="X67" i="8"/>
  <c r="Y47" i="8"/>
  <c r="AN48" i="8"/>
  <c r="AO48" i="8"/>
  <c r="B55" i="19" l="1"/>
  <c r="D55" i="19"/>
  <c r="J45" i="8"/>
  <c r="J68" i="8"/>
  <c r="K69" i="8"/>
  <c r="K45" i="8" s="1"/>
  <c r="K51" i="8" s="1"/>
  <c r="K53" i="8" s="1"/>
  <c r="D33" i="19"/>
  <c r="C33" i="19"/>
  <c r="E33" i="19"/>
  <c r="B34" i="19"/>
  <c r="B35" i="19" s="1"/>
  <c r="Y67" i="8"/>
  <c r="Z47" i="8"/>
  <c r="K66" i="8" l="1"/>
  <c r="Z67" i="8"/>
  <c r="AA47" i="8"/>
  <c r="J51" i="8"/>
  <c r="J53" i="8" s="1"/>
  <c r="J57" i="8" s="1"/>
  <c r="K55" i="8" s="1"/>
  <c r="K57" i="8" s="1"/>
  <c r="L55" i="8" s="1"/>
  <c r="AA67" i="8" l="1"/>
  <c r="AB47" i="8"/>
  <c r="L69" i="8"/>
  <c r="K68" i="8"/>
  <c r="L45" i="8" l="1"/>
  <c r="L66" i="8"/>
  <c r="AB67" i="8"/>
  <c r="AC47" i="8"/>
  <c r="AC67" i="8" l="1"/>
  <c r="AD47" i="8"/>
  <c r="M69" i="8"/>
  <c r="L68" i="8"/>
  <c r="L51" i="8"/>
  <c r="L53" i="8" s="1"/>
  <c r="L57" i="8" s="1"/>
  <c r="M55" i="8" s="1"/>
  <c r="M45" i="8" l="1"/>
  <c r="AD67" i="8"/>
  <c r="AE47" i="8"/>
  <c r="AE67" i="8" l="1"/>
  <c r="AF47" i="8"/>
  <c r="M51" i="8"/>
  <c r="M53" i="8" s="1"/>
  <c r="M57" i="8" s="1"/>
  <c r="N55" i="8" s="1"/>
  <c r="M66" i="8"/>
  <c r="N69" i="8" l="1"/>
  <c r="M68" i="8"/>
  <c r="AF67" i="8"/>
  <c r="AG47" i="8"/>
  <c r="AG67" i="8" l="1"/>
  <c r="AH47" i="8"/>
  <c r="N45" i="8"/>
  <c r="N51" i="8" l="1"/>
  <c r="N53" i="8" s="1"/>
  <c r="N57" i="8" s="1"/>
  <c r="O55" i="8" s="1"/>
  <c r="N66" i="8"/>
  <c r="AH67" i="8"/>
  <c r="AI47" i="8"/>
  <c r="O69" i="8" l="1"/>
  <c r="O45" i="8" s="1"/>
  <c r="N68" i="8"/>
  <c r="O66" i="8" s="1"/>
  <c r="AI67" i="8"/>
  <c r="AJ47" i="8"/>
  <c r="O51" i="8" l="1"/>
  <c r="O53" i="8" s="1"/>
  <c r="O57" i="8" s="1"/>
  <c r="P55" i="8" s="1"/>
  <c r="P69" i="8"/>
  <c r="P45" i="8" s="1"/>
  <c r="P51" i="8" s="1"/>
  <c r="P53" i="8" s="1"/>
  <c r="P60" i="8" s="1"/>
  <c r="O68" i="8"/>
  <c r="P66" i="8" s="1"/>
  <c r="AJ67" i="8"/>
  <c r="AK47" i="8"/>
  <c r="Q69" i="8" l="1"/>
  <c r="Q45" i="8" s="1"/>
  <c r="Q51" i="8" s="1"/>
  <c r="Q53" i="8" s="1"/>
  <c r="Q60" i="8" s="1"/>
  <c r="Q61" i="8" s="1"/>
  <c r="P68" i="8"/>
  <c r="Q66" i="8" s="1"/>
  <c r="P57" i="8"/>
  <c r="Q55" i="8" s="1"/>
  <c r="Q57" i="8" s="1"/>
  <c r="R55" i="8" s="1"/>
  <c r="P61" i="8"/>
  <c r="AK67" i="8"/>
  <c r="AL47" i="8"/>
  <c r="AL67" i="8" l="1"/>
  <c r="AM47" i="8"/>
  <c r="AO47" i="8" s="1"/>
  <c r="P62" i="8"/>
  <c r="Q62" i="8" s="1"/>
  <c r="R69" i="8"/>
  <c r="R45" i="8" s="1"/>
  <c r="R51" i="8" s="1"/>
  <c r="R53" i="8" s="1"/>
  <c r="R60" i="8" s="1"/>
  <c r="Q68" i="8"/>
  <c r="R61" i="8" l="1"/>
  <c r="R57" i="8"/>
  <c r="S55" i="8" s="1"/>
  <c r="R66" i="8"/>
  <c r="AM67" i="8"/>
  <c r="R62" i="8" l="1"/>
  <c r="S69" i="8"/>
  <c r="S45" i="8" s="1"/>
  <c r="S51" i="8" s="1"/>
  <c r="S53" i="8" s="1"/>
  <c r="S60" i="8" s="1"/>
  <c r="R68" i="8"/>
  <c r="S61" i="8" l="1"/>
  <c r="S57" i="8"/>
  <c r="T55" i="8" s="1"/>
  <c r="S66" i="8"/>
  <c r="T69" i="8" l="1"/>
  <c r="T45" i="8" s="1"/>
  <c r="T51" i="8" s="1"/>
  <c r="T53" i="8" s="1"/>
  <c r="T60" i="8" s="1"/>
  <c r="S68" i="8"/>
  <c r="S62" i="8"/>
  <c r="T61" i="8" l="1"/>
  <c r="T57" i="8"/>
  <c r="U55" i="8" s="1"/>
  <c r="T66" i="8"/>
  <c r="U69" i="8" l="1"/>
  <c r="U45" i="8" s="1"/>
  <c r="U51" i="8" s="1"/>
  <c r="U53" i="8" s="1"/>
  <c r="U60" i="8" s="1"/>
  <c r="T68" i="8"/>
  <c r="U66" i="8" s="1"/>
  <c r="T62" i="8"/>
  <c r="U61" i="8" l="1"/>
  <c r="U62" i="8" s="1"/>
  <c r="U57" i="8"/>
  <c r="V55" i="8" s="1"/>
  <c r="V69" i="8"/>
  <c r="V45" i="8" s="1"/>
  <c r="V51" i="8" s="1"/>
  <c r="V53" i="8" s="1"/>
  <c r="V60" i="8" s="1"/>
  <c r="V61" i="8" s="1"/>
  <c r="V62" i="8" s="1"/>
  <c r="U68" i="8"/>
  <c r="V57" i="8" l="1"/>
  <c r="W55" i="8" s="1"/>
  <c r="V66" i="8"/>
  <c r="W69" i="8" l="1"/>
  <c r="W45" i="8" s="1"/>
  <c r="W51" i="8" s="1"/>
  <c r="W53" i="8" s="1"/>
  <c r="W60" i="8" s="1"/>
  <c r="W61" i="8" s="1"/>
  <c r="W62" i="8" s="1"/>
  <c r="V68" i="8"/>
  <c r="W66" i="8" s="1"/>
  <c r="W57" i="8" l="1"/>
  <c r="X55" i="8" s="1"/>
  <c r="X69" i="8"/>
  <c r="X45" i="8" s="1"/>
  <c r="X51" i="8" s="1"/>
  <c r="X53" i="8" s="1"/>
  <c r="X60" i="8" s="1"/>
  <c r="X61" i="8" s="1"/>
  <c r="X62" i="8" s="1"/>
  <c r="W68" i="8"/>
  <c r="X66" i="8" l="1"/>
  <c r="X57" i="8"/>
  <c r="Y55" i="8" s="1"/>
  <c r="Y57" i="8" l="1"/>
  <c r="Z55" i="8" s="1"/>
  <c r="Y69" i="8"/>
  <c r="Y45" i="8" s="1"/>
  <c r="Y51" i="8" s="1"/>
  <c r="Y53" i="8" s="1"/>
  <c r="Y60" i="8" s="1"/>
  <c r="Y61" i="8" s="1"/>
  <c r="Y62" i="8" s="1"/>
  <c r="X68" i="8"/>
  <c r="Y66" i="8" s="1"/>
  <c r="Z69" i="8" l="1"/>
  <c r="Z45" i="8" s="1"/>
  <c r="Z51" i="8" s="1"/>
  <c r="Z53" i="8" s="1"/>
  <c r="Z60" i="8" s="1"/>
  <c r="Z61" i="8" s="1"/>
  <c r="Z62" i="8" s="1"/>
  <c r="Y68" i="8"/>
  <c r="Z66" i="8" s="1"/>
  <c r="AA69" i="8" l="1"/>
  <c r="AA45" i="8" s="1"/>
  <c r="AA51" i="8" s="1"/>
  <c r="AA53" i="8" s="1"/>
  <c r="AA60" i="8" s="1"/>
  <c r="AA61" i="8" s="1"/>
  <c r="AA62" i="8" s="1"/>
  <c r="Z68" i="8"/>
  <c r="Z57" i="8"/>
  <c r="AA55" i="8" s="1"/>
  <c r="AA57" i="8" l="1"/>
  <c r="AB55" i="8" s="1"/>
  <c r="AA66" i="8"/>
  <c r="AB69" i="8" l="1"/>
  <c r="AB45" i="8" s="1"/>
  <c r="AB51" i="8" s="1"/>
  <c r="AB53" i="8" s="1"/>
  <c r="AB60" i="8" s="1"/>
  <c r="AB61" i="8" s="1"/>
  <c r="AB62" i="8" s="1"/>
  <c r="AA68" i="8"/>
  <c r="AB57" i="8" l="1"/>
  <c r="AC55" i="8" s="1"/>
  <c r="AB66" i="8"/>
  <c r="AC69" i="8" l="1"/>
  <c r="AC45" i="8" s="1"/>
  <c r="AC51" i="8" s="1"/>
  <c r="AC53" i="8" s="1"/>
  <c r="AC60" i="8" s="1"/>
  <c r="AC61" i="8" s="1"/>
  <c r="AC62" i="8" s="1"/>
  <c r="AB68" i="8"/>
  <c r="AC57" i="8" l="1"/>
  <c r="AD55" i="8" s="1"/>
  <c r="AC66" i="8"/>
  <c r="AD69" i="8" l="1"/>
  <c r="AD45" i="8" s="1"/>
  <c r="AD51" i="8" s="1"/>
  <c r="AD53" i="8" s="1"/>
  <c r="AD60" i="8" s="1"/>
  <c r="AD61" i="8" s="1"/>
  <c r="AD62" i="8" s="1"/>
  <c r="AC68" i="8"/>
  <c r="AD66" i="8" s="1"/>
  <c r="AD57" i="8"/>
  <c r="AE55" i="8" s="1"/>
  <c r="AE69" i="8" l="1"/>
  <c r="AE45" i="8" s="1"/>
  <c r="AE51" i="8" s="1"/>
  <c r="AE53" i="8" s="1"/>
  <c r="AE60" i="8" s="1"/>
  <c r="AE61" i="8" s="1"/>
  <c r="AE62" i="8" s="1"/>
  <c r="AD68" i="8"/>
  <c r="AE66" i="8" s="1"/>
  <c r="AF69" i="8" l="1"/>
  <c r="AF45" i="8" s="1"/>
  <c r="AF51" i="8" s="1"/>
  <c r="AF53" i="8" s="1"/>
  <c r="AF60" i="8" s="1"/>
  <c r="AF61" i="8" s="1"/>
  <c r="AF62" i="8" s="1"/>
  <c r="AE68" i="8"/>
  <c r="AF66" i="8" s="1"/>
  <c r="AE57" i="8"/>
  <c r="AF55" i="8" s="1"/>
  <c r="AF57" i="8" s="1"/>
  <c r="AG55" i="8" s="1"/>
  <c r="AG69" i="8" l="1"/>
  <c r="AG45" i="8" s="1"/>
  <c r="AG51" i="8" s="1"/>
  <c r="AG53" i="8" s="1"/>
  <c r="AG60" i="8" s="1"/>
  <c r="AG61" i="8" s="1"/>
  <c r="AG62" i="8" s="1"/>
  <c r="AF68" i="8"/>
  <c r="AG66" i="8" s="1"/>
  <c r="AH69" i="8" l="1"/>
  <c r="AH45" i="8" s="1"/>
  <c r="AH51" i="8" s="1"/>
  <c r="AH53" i="8" s="1"/>
  <c r="AH60" i="8" s="1"/>
  <c r="AH61" i="8" s="1"/>
  <c r="AH62" i="8" s="1"/>
  <c r="AG68" i="8"/>
  <c r="AH66" i="8" s="1"/>
  <c r="AG57" i="8"/>
  <c r="AH55" i="8" s="1"/>
  <c r="AH57" i="8" s="1"/>
  <c r="AI55" i="8" s="1"/>
  <c r="AI69" i="8" l="1"/>
  <c r="AI45" i="8" s="1"/>
  <c r="AI51" i="8" s="1"/>
  <c r="AI53" i="8" s="1"/>
  <c r="AI60" i="8" s="1"/>
  <c r="AI61" i="8" s="1"/>
  <c r="AI62" i="8" s="1"/>
  <c r="AH68" i="8"/>
  <c r="AI66" i="8" s="1"/>
  <c r="AJ69" i="8" l="1"/>
  <c r="AJ45" i="8" s="1"/>
  <c r="AJ51" i="8" s="1"/>
  <c r="AJ53" i="8" s="1"/>
  <c r="AJ60" i="8" s="1"/>
  <c r="AJ61" i="8" s="1"/>
  <c r="AJ62" i="8" s="1"/>
  <c r="AI68" i="8"/>
  <c r="AJ66" i="8" s="1"/>
  <c r="AI57" i="8"/>
  <c r="AJ55" i="8" s="1"/>
  <c r="AJ57" i="8" s="1"/>
  <c r="AK55" i="8" s="1"/>
  <c r="AK69" i="8" l="1"/>
  <c r="AK45" i="8" s="1"/>
  <c r="AK51" i="8" s="1"/>
  <c r="AK53" i="8" s="1"/>
  <c r="AK60" i="8" s="1"/>
  <c r="AK61" i="8" s="1"/>
  <c r="AK62" i="8" s="1"/>
  <c r="AJ68" i="8"/>
  <c r="AK66" i="8" s="1"/>
  <c r="AL69" i="8" l="1"/>
  <c r="AK68" i="8"/>
  <c r="AK57" i="8"/>
  <c r="AL55" i="8" s="1"/>
  <c r="AL45" i="8" l="1"/>
  <c r="AM69" i="8"/>
  <c r="AL51" i="8" l="1"/>
  <c r="AL53" i="8" s="1"/>
  <c r="AM45" i="8"/>
  <c r="AL66" i="8"/>
  <c r="AM66" i="8" l="1"/>
  <c r="AL68" i="8"/>
  <c r="AM68" i="8" s="1"/>
  <c r="AP45" i="8"/>
  <c r="AO45" i="8"/>
  <c r="AN45" i="8"/>
  <c r="AN51" i="8" s="1"/>
  <c r="AM51" i="8"/>
  <c r="AL60" i="8"/>
  <c r="AL57" i="8"/>
  <c r="AO51" i="8" l="1"/>
  <c r="AM53" i="8"/>
  <c r="AN53" i="8" s="1"/>
  <c r="AL61" i="8"/>
  <c r="AM60" i="8"/>
  <c r="AL62" i="8" l="1"/>
  <c r="AM61" i="8"/>
  <c r="C63" i="8"/>
</calcChain>
</file>

<file path=xl/comments1.xml><?xml version="1.0" encoding="utf-8"?>
<comments xmlns="http://schemas.openxmlformats.org/spreadsheetml/2006/main">
  <authors>
    <author>George W. Richards</author>
  </authors>
  <commentList>
    <comment ref="AE41" authorId="0" shapeId="0">
      <text>
        <r>
          <rPr>
            <b/>
            <sz val="8"/>
            <color indexed="81"/>
            <rFont val="Tahoma"/>
          </rPr>
          <t>2.5% x $25K est lot value x lots owned as of 1/1/02 x 50% assuming 4 closed/mo</t>
        </r>
      </text>
    </comment>
    <comment ref="AL41" authorId="0" shapeId="0">
      <text>
        <r>
          <rPr>
            <b/>
            <sz val="8"/>
            <color indexed="81"/>
            <rFont val="Tahoma"/>
          </rPr>
          <t>2.5% x $25K est lot value x lots owned as of 1/1/03 x 10mos x 50% assuming 4 closed/mo</t>
        </r>
      </text>
    </comment>
  </commentList>
</comments>
</file>

<file path=xl/comments2.xml><?xml version="1.0" encoding="utf-8"?>
<comments xmlns="http://schemas.openxmlformats.org/spreadsheetml/2006/main">
  <authors>
    <author>George W. Richards</author>
  </authors>
  <commentList>
    <comment ref="B25" authorId="0" shapeId="0">
      <text>
        <r>
          <rPr>
            <b/>
            <sz val="8"/>
            <color indexed="81"/>
            <rFont val="Tahoma"/>
          </rPr>
          <t>Entire perimeter of property.</t>
        </r>
      </text>
    </comment>
    <comment ref="B41" authorId="0" shapeId="0">
      <text>
        <r>
          <rPr>
            <b/>
            <sz val="8"/>
            <color indexed="81"/>
            <rFont val="Tahoma"/>
          </rPr>
          <t>12.5 for TWJV None for Westgate</t>
        </r>
      </text>
    </comment>
    <comment ref="B46" authorId="0" shapeId="0">
      <text>
        <r>
          <rPr>
            <b/>
            <sz val="8"/>
            <color indexed="81"/>
            <rFont val="Tahoma"/>
          </rPr>
          <t>1 for twjv</t>
        </r>
      </text>
    </comment>
    <comment ref="B47" authorId="0" shapeId="0">
      <text>
        <r>
          <rPr>
            <b/>
            <sz val="8"/>
            <color indexed="81"/>
            <rFont val="Tahoma"/>
          </rPr>
          <t>1 for twjv</t>
        </r>
      </text>
    </comment>
    <comment ref="B89" authorId="0" shapeId="0">
      <text>
        <r>
          <rPr>
            <b/>
            <sz val="8"/>
            <color indexed="81"/>
            <rFont val="Tahoma"/>
          </rPr>
          <t>Cameron Loop is 13.5" or 675 LFand Westgate is 9" or 450LF</t>
        </r>
      </text>
    </comment>
    <comment ref="B143" authorId="0" shapeId="0">
      <text>
        <r>
          <rPr>
            <b/>
            <sz val="8"/>
            <color indexed="81"/>
            <rFont val="Tahoma"/>
          </rPr>
          <t>12.5 for TWJV None for Westgate</t>
        </r>
      </text>
    </comment>
    <comment ref="B148" authorId="0" shapeId="0">
      <text>
        <r>
          <rPr>
            <b/>
            <sz val="8"/>
            <color indexed="81"/>
            <rFont val="Tahoma"/>
          </rPr>
          <t>1 for twjv</t>
        </r>
      </text>
    </comment>
    <comment ref="B149" authorId="0" shapeId="0">
      <text>
        <r>
          <rPr>
            <b/>
            <sz val="8"/>
            <color indexed="81"/>
            <rFont val="Tahoma"/>
          </rPr>
          <t>1 for twjv</t>
        </r>
      </text>
    </comment>
    <comment ref="B185" authorId="0" shapeId="0">
      <text>
        <r>
          <rPr>
            <b/>
            <sz val="8"/>
            <color indexed="81"/>
            <rFont val="Tahoma"/>
          </rPr>
          <t>Cameron Loop is 13.5" or 675 LFand Westgate is 9" or 450LF</t>
        </r>
      </text>
    </comment>
    <comment ref="B189" authorId="0" shapeId="0">
      <text>
        <r>
          <rPr>
            <b/>
            <sz val="8"/>
            <color indexed="81"/>
            <rFont val="Tahoma"/>
          </rPr>
          <t>Entire perimeter of property.</t>
        </r>
      </text>
    </comment>
  </commentList>
</comments>
</file>

<file path=xl/comments3.xml><?xml version="1.0" encoding="utf-8"?>
<comments xmlns="http://schemas.openxmlformats.org/spreadsheetml/2006/main">
  <authors>
    <author>George W. Richards</author>
  </authors>
  <commentList>
    <comment ref="A71" authorId="0" shapeId="0">
      <text>
        <r>
          <rPr>
            <b/>
            <sz val="8"/>
            <color indexed="81"/>
            <rFont val="Tahoma"/>
          </rPr>
          <t>Shower over Tub</t>
        </r>
      </text>
    </comment>
  </commentList>
</comments>
</file>

<file path=xl/sharedStrings.xml><?xml version="1.0" encoding="utf-8"?>
<sst xmlns="http://schemas.openxmlformats.org/spreadsheetml/2006/main" count="1848" uniqueCount="439">
  <si>
    <t>Total Cost</t>
  </si>
  <si>
    <t>Windows</t>
  </si>
  <si>
    <t>Exterior Doors</t>
  </si>
  <si>
    <t>HVAC</t>
  </si>
  <si>
    <t>Hardware</t>
  </si>
  <si>
    <t>Per Unit</t>
  </si>
  <si>
    <t>Builder's Risk</t>
  </si>
  <si>
    <t>Sitework</t>
  </si>
  <si>
    <t>Foundation</t>
  </si>
  <si>
    <t>Supervision</t>
  </si>
  <si>
    <t>Months</t>
  </si>
  <si>
    <t>Framing Labor</t>
  </si>
  <si>
    <t>TOTALS</t>
  </si>
  <si>
    <t>Per SF</t>
  </si>
  <si>
    <t>UNIT</t>
  </si>
  <si>
    <t>Drywall</t>
  </si>
  <si>
    <t>Unit</t>
  </si>
  <si>
    <t>Microsoft Business Planner</t>
  </si>
  <si>
    <t>Go to Article:</t>
  </si>
  <si>
    <t>Cash Flow Projections</t>
  </si>
  <si>
    <t>Cash Flow Forecast -12 Months</t>
  </si>
  <si>
    <t>This template provides a pro forma cash flow forecast. Enter your figures in the month you realistically expect them to take place. Start by entering the definite amounts first. You can customize the form by changing the row labels or adding rows.
To add a row, select one of the rows labeled "Other," click Insert on the Excel menu bar, and then click Rows. You will then need to use the fill handle (see Excel Help) to fill in the formula in the "Totals" column. The cells displaying zeros contain formulas to perform automatic calculations on your data. Do not enter data into these cells because doing so will erase the formulas in them.</t>
  </si>
  <si>
    <t>© Microsoft, 1998.</t>
  </si>
  <si>
    <t>Month:</t>
  </si>
  <si>
    <t xml:space="preserve"> </t>
  </si>
  <si>
    <t>Other</t>
  </si>
  <si>
    <t>Total Receipts</t>
  </si>
  <si>
    <t>Land</t>
  </si>
  <si>
    <t>Loan Interest</t>
  </si>
  <si>
    <t>Loan repayments</t>
  </si>
  <si>
    <t>Total Payments</t>
  </si>
  <si>
    <t>Cashflow Surplus/Deficit (-)</t>
  </si>
  <si>
    <t>Opening Cash Balance</t>
  </si>
  <si>
    <t>Closing Cash Balance</t>
  </si>
  <si>
    <t>Loan Cost</t>
  </si>
  <si>
    <t>Loan Funds</t>
  </si>
  <si>
    <t>Equity Repayment</t>
  </si>
  <si>
    <t>Total # of Units</t>
  </si>
  <si>
    <t>Total Sq.Ftg Heated Area</t>
  </si>
  <si>
    <t>Development Costs</t>
  </si>
  <si>
    <t xml:space="preserve">Total </t>
  </si>
  <si>
    <t>Building Construction Cost</t>
  </si>
  <si>
    <t>Total Development Costs</t>
  </si>
  <si>
    <t>Interim Construction Loan Fee</t>
  </si>
  <si>
    <t>Interim Interest</t>
  </si>
  <si>
    <t>Total Interim Financing Expense</t>
  </si>
  <si>
    <t>Sales Revenues</t>
  </si>
  <si>
    <t>Gross Sales Revenue</t>
  </si>
  <si>
    <t>Cost of Sales</t>
  </si>
  <si>
    <t>Commissions</t>
  </si>
  <si>
    <t>Closing Costs</t>
  </si>
  <si>
    <t>Total Costs of Sales</t>
  </si>
  <si>
    <t>Projected Profit</t>
  </si>
  <si>
    <t>QTY</t>
  </si>
  <si>
    <t>Unit Price</t>
  </si>
  <si>
    <t>Project Total</t>
  </si>
  <si>
    <t>Land Cost &amp; Carry</t>
  </si>
  <si>
    <t>L.S.</t>
  </si>
  <si>
    <t>Total Land Cost</t>
  </si>
  <si>
    <t>Professional Services</t>
  </si>
  <si>
    <t>Engineering</t>
  </si>
  <si>
    <t>Total Professional Services</t>
  </si>
  <si>
    <t>Environmental Controls</t>
  </si>
  <si>
    <t>L.F.</t>
  </si>
  <si>
    <t>Construction Entrance</t>
  </si>
  <si>
    <t>S.F.</t>
  </si>
  <si>
    <t>EA.</t>
  </si>
  <si>
    <t>Electrical, TV &amp; Phone Service</t>
  </si>
  <si>
    <t>Electrical Distribution</t>
  </si>
  <si>
    <t>Cable Distribution</t>
  </si>
  <si>
    <t>Phone Distribution</t>
  </si>
  <si>
    <t>Total Electric, TV &amp; Phone</t>
  </si>
  <si>
    <t>Site Amenities</t>
  </si>
  <si>
    <t>Landscaping</t>
  </si>
  <si>
    <t>Signage</t>
  </si>
  <si>
    <t>Site Lighting</t>
  </si>
  <si>
    <t>Total Site Amenities</t>
  </si>
  <si>
    <t>Mos.</t>
  </si>
  <si>
    <t>Total Site Acquisition &amp; Development Costs</t>
  </si>
  <si>
    <t>Unit Type</t>
  </si>
  <si>
    <t>Unit Description</t>
  </si>
  <si>
    <t>Unit Size</t>
  </si>
  <si>
    <t>Unit Cost</t>
  </si>
  <si>
    <t>Cost Per S.F.</t>
  </si>
  <si>
    <t>Qty.</t>
  </si>
  <si>
    <t>Price Per S.F.</t>
  </si>
  <si>
    <t>Price Per Unit</t>
  </si>
  <si>
    <t>Total Sales</t>
  </si>
  <si>
    <t>Area Calculations:</t>
  </si>
  <si>
    <t>Heated Area:</t>
  </si>
  <si>
    <t>Lower Level</t>
  </si>
  <si>
    <t>Upper Level</t>
  </si>
  <si>
    <t>Total Heated</t>
  </si>
  <si>
    <t>Other Covered Areas:</t>
  </si>
  <si>
    <t>Garage</t>
  </si>
  <si>
    <t>Entry/Covd Porch</t>
  </si>
  <si>
    <t>Total Other Covered</t>
  </si>
  <si>
    <t>Total Covered SF</t>
  </si>
  <si>
    <t>Masonry</t>
  </si>
  <si>
    <t>Construction Period</t>
  </si>
  <si>
    <t>Descriptions</t>
  </si>
  <si>
    <t>Unit Total</t>
  </si>
  <si>
    <t>Heated</t>
  </si>
  <si>
    <t>Remarks</t>
  </si>
  <si>
    <t>Architectural</t>
  </si>
  <si>
    <t>Structural Engineering</t>
  </si>
  <si>
    <t>Construction Surveying</t>
  </si>
  <si>
    <t>Interior Design</t>
  </si>
  <si>
    <t>Permits &amp; Fees</t>
  </si>
  <si>
    <t>Building Permits</t>
  </si>
  <si>
    <t>Building Inspections</t>
  </si>
  <si>
    <t>Utility Connections</t>
  </si>
  <si>
    <t>See Site Dev. Costs</t>
  </si>
  <si>
    <t>Insurance</t>
  </si>
  <si>
    <t>General Liability</t>
  </si>
  <si>
    <t>Temporary Utilities</t>
  </si>
  <si>
    <t>Electricity</t>
  </si>
  <si>
    <t>Water</t>
  </si>
  <si>
    <t>Sanitary Facilities</t>
  </si>
  <si>
    <t>Clean Up</t>
  </si>
  <si>
    <t>Site Clean Up</t>
  </si>
  <si>
    <t>Building Clean</t>
  </si>
  <si>
    <t>Lot Clear</t>
  </si>
  <si>
    <t>See Foundation</t>
  </si>
  <si>
    <t>Finish Grading</t>
  </si>
  <si>
    <t>Sprinkler System</t>
  </si>
  <si>
    <t>Privacy Fencing</t>
  </si>
  <si>
    <t>Fence Gate</t>
  </si>
  <si>
    <t>Concrete Work</t>
  </si>
  <si>
    <t>Underpinning</t>
  </si>
  <si>
    <t>Flatwork</t>
  </si>
  <si>
    <t>Carpentry</t>
  </si>
  <si>
    <t>Framing Materials</t>
  </si>
  <si>
    <t>Floor Trusses</t>
  </si>
  <si>
    <t>Roof Trusses</t>
  </si>
  <si>
    <t>Entry Door</t>
  </si>
  <si>
    <t>LS</t>
  </si>
  <si>
    <t>Trim Materials</t>
  </si>
  <si>
    <t>Interior Doors</t>
  </si>
  <si>
    <t>DRS</t>
  </si>
  <si>
    <t>Trim Labor</t>
  </si>
  <si>
    <t>Base Cabinets</t>
  </si>
  <si>
    <t>Upper Cabinets</t>
  </si>
  <si>
    <t>Glass &amp; Mirrors</t>
  </si>
  <si>
    <t>Wdws.</t>
  </si>
  <si>
    <t>Shower Enclosures</t>
  </si>
  <si>
    <t>Mirrors</t>
  </si>
  <si>
    <t>Moisture Protectors</t>
  </si>
  <si>
    <t>Roofing &amp; Flashing</t>
  </si>
  <si>
    <t>SQS.</t>
  </si>
  <si>
    <t>Gutters</t>
  </si>
  <si>
    <t>Insulation</t>
  </si>
  <si>
    <t>Stone Veneer</t>
  </si>
  <si>
    <t>Painting (Heated)</t>
  </si>
  <si>
    <t>Painting (Covered)</t>
  </si>
  <si>
    <t>Floor Tile</t>
  </si>
  <si>
    <t>Carpet &amp; Vinyl</t>
  </si>
  <si>
    <t>S.Y.</t>
  </si>
  <si>
    <t>Laminate Counters</t>
  </si>
  <si>
    <t>Syn. Marble Counters</t>
  </si>
  <si>
    <t>Syn. Marble Lavatories</t>
  </si>
  <si>
    <t>Lavs</t>
  </si>
  <si>
    <t>Syn. Marble Tubs</t>
  </si>
  <si>
    <t>Tub</t>
  </si>
  <si>
    <t>Tub Tile</t>
  </si>
  <si>
    <t>Window Treatments</t>
  </si>
  <si>
    <t>WDWS.</t>
  </si>
  <si>
    <t>F.P. Treatments</t>
  </si>
  <si>
    <t>Specialties</t>
  </si>
  <si>
    <t>Metal Fireplaces</t>
  </si>
  <si>
    <t>Overhead Door &amp; Openor</t>
  </si>
  <si>
    <t>DRS.</t>
  </si>
  <si>
    <t>Electrical</t>
  </si>
  <si>
    <t>Wiring &amp; Panels</t>
  </si>
  <si>
    <t>Fixtures</t>
  </si>
  <si>
    <t>TV. Phone Prewire</t>
  </si>
  <si>
    <t>Mechanical</t>
  </si>
  <si>
    <t>Plumbing</t>
  </si>
  <si>
    <t>Plumbing Fixtures</t>
  </si>
  <si>
    <t>Patio</t>
  </si>
  <si>
    <t>Walk</t>
  </si>
  <si>
    <t>Driveway</t>
  </si>
  <si>
    <t>Driveways</t>
  </si>
  <si>
    <t>Mo</t>
  </si>
  <si>
    <t>Condominium Associaton</t>
  </si>
  <si>
    <t>AdjRate</t>
  </si>
  <si>
    <t>% Sales</t>
  </si>
  <si>
    <t>Const.Time</t>
  </si>
  <si>
    <t>Courtyard</t>
  </si>
  <si>
    <t>Front Walk</t>
  </si>
  <si>
    <t>Rear Patio</t>
  </si>
  <si>
    <t>Courtyard Fence</t>
  </si>
  <si>
    <t>F.P. Treatments-Hearth</t>
  </si>
  <si>
    <t>Fireplaces</t>
  </si>
  <si>
    <t>Plumbing - 2B,Lndry &amp;Kit</t>
  </si>
  <si>
    <t>Laterals</t>
  </si>
  <si>
    <t>Each</t>
  </si>
  <si>
    <t>Appliances</t>
  </si>
  <si>
    <t>Wrought Iron Single Gate</t>
  </si>
  <si>
    <t>Flr Tile - Kit &amp; Entry</t>
  </si>
  <si>
    <t>Tile C.Top &amp; Backsplash</t>
  </si>
  <si>
    <t>Tub Tile-2 sides 5' high</t>
  </si>
  <si>
    <t>Adjustment of base Cost for CMF &amp; Ovhd</t>
  </si>
  <si>
    <t>Construction_Period</t>
  </si>
  <si>
    <t>KFScale</t>
  </si>
  <si>
    <t>Scale from KF Preliminary Plans</t>
  </si>
  <si>
    <t>Total Living Units</t>
  </si>
  <si>
    <t>TLU</t>
  </si>
  <si>
    <t>Ft. Per Inch</t>
  </si>
  <si>
    <t>Lot Improvement Costs</t>
  </si>
  <si>
    <t>Land Acquisition</t>
  </si>
  <si>
    <t>Flr Tile</t>
  </si>
  <si>
    <t>A</t>
  </si>
  <si>
    <t>B</t>
  </si>
  <si>
    <t>C</t>
  </si>
  <si>
    <t>D</t>
  </si>
  <si>
    <t>E</t>
  </si>
  <si>
    <t>G</t>
  </si>
  <si>
    <t>F</t>
  </si>
  <si>
    <t>TWO STORY DUPLEXES</t>
  </si>
  <si>
    <t>ONE STORY DUPLEXES</t>
  </si>
  <si>
    <t>2B 2B</t>
  </si>
  <si>
    <t>3B 2.5B</t>
  </si>
  <si>
    <t>3 B+Loft 2.5B</t>
  </si>
  <si>
    <t>2B+Study 2B</t>
  </si>
  <si>
    <t>Architecture</t>
  </si>
  <si>
    <t>Legal-Condominium Assoc.</t>
  </si>
  <si>
    <t>Legal-Purchase &amp; Organization</t>
  </si>
  <si>
    <t>Surveying-Staking &amp; Condo &amp; Foundation</t>
  </si>
  <si>
    <t>None for private/public well</t>
  </si>
  <si>
    <t>Incl. Unit Cost</t>
  </si>
  <si>
    <t>None</t>
  </si>
  <si>
    <t>Included in plumbing</t>
  </si>
  <si>
    <t>Same as Franklin Homes</t>
  </si>
  <si>
    <t>Entry Gate &amp; Security Fence</t>
  </si>
  <si>
    <t>Security Temp Fence</t>
  </si>
  <si>
    <t>%</t>
  </si>
  <si>
    <t>Total Square Feet</t>
  </si>
  <si>
    <t>Total Covered</t>
  </si>
  <si>
    <t>Total ACSF</t>
  </si>
  <si>
    <t>Total Cvrd</t>
  </si>
  <si>
    <t>TOTAL</t>
  </si>
  <si>
    <t>Construction Loan</t>
  </si>
  <si>
    <t>Origination Fees</t>
  </si>
  <si>
    <t>Interest Rate</t>
  </si>
  <si>
    <t>CLPts</t>
  </si>
  <si>
    <t>CLIntRt</t>
  </si>
  <si>
    <t>Avg Loan Balance</t>
  </si>
  <si>
    <t>AvgBal</t>
  </si>
  <si>
    <t>Total Direct Costs</t>
  </si>
  <si>
    <t>Investor Share</t>
  </si>
  <si>
    <t>InvShare</t>
  </si>
  <si>
    <t>Loan To Value</t>
  </si>
  <si>
    <t>LTV</t>
  </si>
  <si>
    <t>TACSF</t>
  </si>
  <si>
    <t>TCSF</t>
  </si>
  <si>
    <t>Sales Commission</t>
  </si>
  <si>
    <t>Slscomm</t>
  </si>
  <si>
    <t>Ccost</t>
  </si>
  <si>
    <t>Loan to Value - Land</t>
  </si>
  <si>
    <t>LandLTV</t>
  </si>
  <si>
    <t>PROJECT PROFORMA</t>
  </si>
  <si>
    <t>Site Development Cost Estimate</t>
  </si>
  <si>
    <t>Category/Description</t>
  </si>
  <si>
    <t>Quantitiy</t>
  </si>
  <si>
    <t>Basis</t>
  </si>
  <si>
    <t>Total Amt.</t>
  </si>
  <si>
    <t>Per Lot</t>
  </si>
  <si>
    <t>Total Lots</t>
  </si>
  <si>
    <t>Avg Lot Width</t>
  </si>
  <si>
    <t xml:space="preserve">Mobilization (Bonds, Insurance, Move-In, etc) </t>
  </si>
  <si>
    <t>Lump Sum</t>
  </si>
  <si>
    <t>WATER</t>
  </si>
  <si>
    <t>8" C-900 DR 14 (Incl. Fillup)</t>
  </si>
  <si>
    <t>5 1/4" Fire Hydrant (Incl. Tee &amp; G.V.)</t>
  </si>
  <si>
    <t>Long Service on New Line</t>
  </si>
  <si>
    <t>Short Service on New Line</t>
  </si>
  <si>
    <t>Short services on Existing Line</t>
  </si>
  <si>
    <t>8" Gate Value</t>
  </si>
  <si>
    <t>Wet Connections</t>
  </si>
  <si>
    <t>Plug &amp; Abandon 4" Stub Out</t>
  </si>
  <si>
    <t>Total Water</t>
  </si>
  <si>
    <t>WASTEWATER</t>
  </si>
  <si>
    <t>SDR26 0'-8'</t>
  </si>
  <si>
    <t>I.C.</t>
  </si>
  <si>
    <t>SDR26 8'-10'</t>
  </si>
  <si>
    <t>SDR26 10'-12'</t>
  </si>
  <si>
    <t>SDR26 12'-14'</t>
  </si>
  <si>
    <t>4' Washer 0'-8'</t>
  </si>
  <si>
    <t>Long Single Services</t>
  </si>
  <si>
    <t>Long Double Services</t>
  </si>
  <si>
    <t>Short Double Services</t>
  </si>
  <si>
    <t>Total WasteWater</t>
  </si>
  <si>
    <t>DRAINAGE</t>
  </si>
  <si>
    <t>33" RCP Avg. 8' Depth</t>
  </si>
  <si>
    <t>30" RCP 0'-6' Depth</t>
  </si>
  <si>
    <t>30" RCP 6'-8' Depth</t>
  </si>
  <si>
    <t>30" RCP 8'-10' Depth</t>
  </si>
  <si>
    <t>27" RCP 0'-6' Depth</t>
  </si>
  <si>
    <t>27" RCP 6'-8' Depth</t>
  </si>
  <si>
    <t>27" RCP 8'-10' Depth</t>
  </si>
  <si>
    <t>18" RCP Laterals 0'-6' Depth</t>
  </si>
  <si>
    <t>48" Manhole 0'-6'</t>
  </si>
  <si>
    <t>60" Manhole 0'-6'</t>
  </si>
  <si>
    <t>60" Verticle Rebar Over 6'</t>
  </si>
  <si>
    <t>V.F.</t>
  </si>
  <si>
    <t>5' Curb Inlet</t>
  </si>
  <si>
    <t>10' Curb Inlet</t>
  </si>
  <si>
    <t>15' Curb Inlet</t>
  </si>
  <si>
    <t>Spliter Box</t>
  </si>
  <si>
    <t>Headwall on 30" RCP</t>
  </si>
  <si>
    <t>Total Drainage</t>
  </si>
  <si>
    <t>STREETS</t>
  </si>
  <si>
    <t>Subgrade Excavation</t>
  </si>
  <si>
    <t>S.Yds.</t>
  </si>
  <si>
    <t>Subgrade Preperation (Not including stabilization if necessary)</t>
  </si>
  <si>
    <t>8" Flexible Base</t>
  </si>
  <si>
    <t>1 1/2" HWAC</t>
  </si>
  <si>
    <t>Curb &amp; Gutter</t>
  </si>
  <si>
    <t>4' Sidewalk</t>
  </si>
  <si>
    <t>ADA Ramps</t>
  </si>
  <si>
    <t>Sub Total New Streets</t>
  </si>
  <si>
    <t>Excavate, compact, subgrade, install &amp; compact 8" flexible base, 1 1/2" HWAC, Cur &amp; Gutter &amp; Sidewalk to widen west side of Tanglewild Drive</t>
  </si>
  <si>
    <t>Total Streets</t>
  </si>
  <si>
    <t>TEMP &amp; PERMANENT EROSION CONTROL</t>
  </si>
  <si>
    <t>Silt Fence</t>
  </si>
  <si>
    <t>Inlet Protection Controls</t>
  </si>
  <si>
    <t>Total Erosion Control</t>
  </si>
  <si>
    <t>C.Y.</t>
  </si>
  <si>
    <t xml:space="preserve">TOTAL LOT IMPROVEMENTS </t>
  </si>
  <si>
    <t>Assumptions:</t>
  </si>
  <si>
    <t>Average Lot width at TWJV 65LF with streets at 72LF for estimate</t>
  </si>
  <si>
    <t>Average lot width at Westgate 25LF</t>
  </si>
  <si>
    <t>Property Tax</t>
  </si>
  <si>
    <t>Avg Loan Balance Land</t>
  </si>
  <si>
    <t>AvgLandBal</t>
  </si>
  <si>
    <t>Interest Prior to Construction</t>
  </si>
  <si>
    <t>Land Price</t>
  </si>
  <si>
    <t>LandPrice</t>
  </si>
  <si>
    <t>Cameron Loop Widening</t>
  </si>
  <si>
    <t>Pipeline Area</t>
  </si>
  <si>
    <t>Detension Pond</t>
  </si>
  <si>
    <t>Removal of Poor Top Soil</t>
  </si>
  <si>
    <r>
      <t xml:space="preserve">Detention Pond (Including all concrete, filtration, piping, fence, driveways and </t>
    </r>
    <r>
      <rPr>
        <sz val="8"/>
        <color indexed="10"/>
        <rFont val="Arial"/>
        <family val="2"/>
      </rPr>
      <t>tonhorn</t>
    </r>
    <r>
      <rPr>
        <sz val="8"/>
        <rFont val="Arial"/>
      </rPr>
      <t>)</t>
    </r>
  </si>
  <si>
    <t>BASED ON TANGLEWILD BID FROM HANK LEWIS</t>
  </si>
  <si>
    <t>Other Data</t>
  </si>
  <si>
    <t>Total Site Area</t>
  </si>
  <si>
    <t>Length</t>
  </si>
  <si>
    <t>Cameron Loop Frontage</t>
  </si>
  <si>
    <t>Westgate Frontage</t>
  </si>
  <si>
    <t>Acres</t>
  </si>
  <si>
    <t>Sq. Ft.</t>
  </si>
  <si>
    <t>Width</t>
  </si>
  <si>
    <t>SE Residential Side</t>
  </si>
  <si>
    <t>NW Residential Side</t>
  </si>
  <si>
    <t>Removal of Poor Top Soil Under Foundations</t>
  </si>
  <si>
    <t>Total Development Cost</t>
  </si>
  <si>
    <t>Property Tax Estimate</t>
  </si>
  <si>
    <t>Per Mo</t>
  </si>
  <si>
    <t>Net Sales Revenues</t>
  </si>
  <si>
    <t>Second patio</t>
  </si>
  <si>
    <t>Ext. Doors</t>
  </si>
  <si>
    <t>Average Unit Width</t>
  </si>
  <si>
    <t>AvgWidth</t>
  </si>
  <si>
    <t>Total Acres</t>
  </si>
  <si>
    <t>Total Buidling Acres</t>
  </si>
  <si>
    <t>Investment</t>
  </si>
  <si>
    <t>Return - 50% Share</t>
  </si>
  <si>
    <t>TWO STORY DUPLEX PLAN A:  3 Bedroom, 2 1/2 Bath, 1164 SF</t>
  </si>
  <si>
    <t>Unit Total With Ovhd</t>
  </si>
  <si>
    <t>Unit Total W/Ovrhd</t>
  </si>
  <si>
    <t>Per S.F.</t>
  </si>
  <si>
    <t>Per Sf</t>
  </si>
  <si>
    <t>TWO STORY DUPLEX PLAN B:  3 Bedroom, 2 1/2 Bath, 1302 SF</t>
  </si>
  <si>
    <t>TWO STORY DUPLEX PLAN C:  3 Bedroom, 2 1/2 Bath, 1358 SF</t>
  </si>
  <si>
    <t>TWO STORY DUPLEX PLAN D:  3 Bedroom, 2 1/2 Bath, 1240 SF</t>
  </si>
  <si>
    <t>ONE STORY DUPLEX PLAN F:  DOUBLE MASTER, 2 Bath, 1335 SF</t>
  </si>
  <si>
    <t>ONE STORY DUPLEX PLAN G:  DOUBLE MASTER, 2 Bath, 1335 SF</t>
  </si>
  <si>
    <t>ONE STORY DUPLEX PLAN E:  3 Bedroom, 2 Bath, 1463 SF</t>
  </si>
  <si>
    <t>x</t>
  </si>
  <si>
    <t>Completions</t>
  </si>
  <si>
    <t>SOURCES</t>
  </si>
  <si>
    <t>USES</t>
  </si>
  <si>
    <t xml:space="preserve">Sire Plan Design &amp; Approval </t>
  </si>
  <si>
    <t>Lot Development</t>
  </si>
  <si>
    <t>Pre Sales</t>
  </si>
  <si>
    <t>Construction Starts</t>
  </si>
  <si>
    <t>Unit Construction</t>
  </si>
  <si>
    <t>Lot Improvement Cost</t>
  </si>
  <si>
    <t>Equity Per Unit</t>
  </si>
  <si>
    <t>Lot Improvements</t>
  </si>
  <si>
    <t>Land Cost</t>
  </si>
  <si>
    <t>Lot Improvement Loan</t>
  </si>
  <si>
    <t>Unit Construction - Board &amp; Nail</t>
  </si>
  <si>
    <t>Sales Revenue</t>
  </si>
  <si>
    <t>Sales Cost - Commissions</t>
  </si>
  <si>
    <t>Sales Cost - Closing Costs</t>
  </si>
  <si>
    <t>Professional Fees</t>
  </si>
  <si>
    <r>
      <t>Note:</t>
    </r>
    <r>
      <rPr>
        <sz val="9"/>
        <rFont val="Verdana"/>
        <family val="2"/>
      </rPr>
      <t xml:space="preserve"> When you save this template as a workbook, note the workbook's file name and location. To edit the workbook next time, you must open it using Excel. Every time you open this template from Microsoft Business Planner, a new workbook is created.</t>
    </r>
  </si>
  <si>
    <t xml:space="preserve">  </t>
  </si>
  <si>
    <t>PER UNIT</t>
  </si>
  <si>
    <t>% SALES</t>
  </si>
  <si>
    <t>Imp. Loan Payoff With Const. Loan</t>
  </si>
  <si>
    <t>Const. Ln. Payoff On Unit Close</t>
  </si>
  <si>
    <t>Equity Investment</t>
  </si>
  <si>
    <r>
      <t xml:space="preserve">Annualized ROI </t>
    </r>
    <r>
      <rPr>
        <i/>
        <sz val="8"/>
        <rFont val="Arial"/>
        <family val="2"/>
      </rPr>
      <t>(Total/36 x 12)</t>
    </r>
  </si>
  <si>
    <r>
      <t xml:space="preserve">Total Project ROI </t>
    </r>
    <r>
      <rPr>
        <i/>
        <sz val="8"/>
        <rFont val="Arial"/>
        <family val="2"/>
      </rPr>
      <t>(Return/Investment)</t>
    </r>
  </si>
  <si>
    <t>PRICE &amp; COST SUMMARY BY PLAN</t>
  </si>
  <si>
    <t>CASH FLOW FORECAST</t>
  </si>
  <si>
    <r>
      <t>Detention Pond (Including all concrete, filtration, piping, fence, driveways</t>
    </r>
    <r>
      <rPr>
        <sz val="8"/>
        <rFont val="Arial"/>
      </rPr>
      <t>)</t>
    </r>
  </si>
  <si>
    <t>Equity Required For Improvement Loan</t>
  </si>
  <si>
    <r>
      <t>Equity or Collateral for</t>
    </r>
    <r>
      <rPr>
        <b/>
        <i/>
        <sz val="10"/>
        <rFont val="Arial"/>
        <family val="2"/>
      </rPr>
      <t xml:space="preserve"> EST.</t>
    </r>
    <r>
      <rPr>
        <sz val="10"/>
        <rFont val="Arial"/>
      </rPr>
      <t xml:space="preserve"> COA Fiscals</t>
    </r>
  </si>
  <si>
    <t>Improvement Loan - 75% LTV</t>
  </si>
  <si>
    <t>Lot Release Price - 120% of Loan/Lot</t>
  </si>
  <si>
    <t>Acquisition &amp; Development Loan</t>
  </si>
  <si>
    <t>Construction Loans</t>
  </si>
  <si>
    <t>Appraised Value</t>
  </si>
  <si>
    <t>Appraised Value Per Improved Lot</t>
  </si>
  <si>
    <t>Less: Lot Release Price</t>
  </si>
  <si>
    <t>Financing Cost Per Unit</t>
  </si>
  <si>
    <t>Number of Specs</t>
  </si>
  <si>
    <t>Number of Pre-Sold Starts In Cycle</t>
  </si>
  <si>
    <t>LOAN AND EQUITY ANALYSIS</t>
  </si>
  <si>
    <t>Per Unit/Lot</t>
  </si>
  <si>
    <t>Units Built on Spec</t>
  </si>
  <si>
    <t>Units Pre-Sold</t>
  </si>
  <si>
    <t>Loan Amount -Loan to Value 80%</t>
  </si>
  <si>
    <t>Loan Amount -Loan to Value 70%</t>
  </si>
  <si>
    <t>Equity Required Per Unit</t>
  </si>
  <si>
    <t>Total Loan Funds</t>
  </si>
  <si>
    <t>Investment Flow</t>
  </si>
  <si>
    <t>Return on Investment</t>
  </si>
  <si>
    <t>Total</t>
  </si>
  <si>
    <t>Cummulative</t>
  </si>
  <si>
    <t>Cummulative Use of Loan</t>
  </si>
  <si>
    <t>Loan Paydowns</t>
  </si>
  <si>
    <t>Net Loan Uses</t>
  </si>
  <si>
    <t>Interest</t>
  </si>
  <si>
    <t>Internal Rate of Return</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</si>
</sst>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
    <numFmt numFmtId="167" formatCode="&quot;$&quot;#,##0\ ;\(&quot;$&quot;#,##0\)"/>
    <numFmt numFmtId="168" formatCode="_(* #,##0.00_);_(* \(#,##0.00\);_(* &quot;-&quot;_);_(@_)"/>
    <numFmt numFmtId="179" formatCode="0.0"/>
    <numFmt numFmtId="180" formatCode="0.000"/>
    <numFmt numFmtId="187" formatCode="_(&quot;$&quot;* #,##0.00_);_(&quot;$&quot;* \(#,##0.00\);_(&quot;$&quot;* &quot;-&quot;_);_(@_)"/>
    <numFmt numFmtId="190" formatCode="0.00000"/>
  </numFmts>
  <fonts count="61">
    <font>
      <sz val="9"/>
      <name val="Arial"/>
      <family val="2"/>
    </font>
    <font>
      <sz val="10"/>
      <name val="Helvetica"/>
    </font>
    <font>
      <sz val="10"/>
      <name val="Arial Narrow"/>
      <family val="2"/>
    </font>
    <font>
      <sz val="10"/>
      <name val="Arial"/>
    </font>
    <font>
      <b/>
      <sz val="18"/>
      <name val="Arial"/>
    </font>
    <font>
      <b/>
      <sz val="10"/>
      <name val="AmeriGarmnd BT"/>
      <family val="1"/>
    </font>
    <font>
      <b/>
      <sz val="10"/>
      <name val="Times New Roman"/>
      <family val="1"/>
    </font>
    <font>
      <b/>
      <sz val="8"/>
      <name val="Franklin Gothic Book"/>
      <family val="2"/>
    </font>
    <font>
      <b/>
      <u/>
      <sz val="9"/>
      <name val="Franklin Gothic Heavy"/>
      <family val="2"/>
    </font>
    <font>
      <sz val="8"/>
      <name val="Tahoma"/>
      <family val="2"/>
    </font>
    <font>
      <sz val="8"/>
      <name val="Verdana"/>
      <family val="2"/>
    </font>
    <font>
      <b/>
      <sz val="8"/>
      <color indexed="9"/>
      <name val="Tahoma"/>
      <family val="2"/>
    </font>
    <font>
      <b/>
      <sz val="8"/>
      <color indexed="8"/>
      <name val="Tahoma"/>
      <family val="2"/>
    </font>
    <font>
      <b/>
      <u/>
      <sz val="8"/>
      <color indexed="8"/>
      <name val="Tahoma"/>
      <family val="2"/>
    </font>
    <font>
      <b/>
      <sz val="8"/>
      <color indexed="23"/>
      <name val="Verdana"/>
      <family val="2"/>
    </font>
    <font>
      <b/>
      <sz val="8"/>
      <name val="Verdana"/>
      <family val="2"/>
    </font>
    <font>
      <b/>
      <sz val="11"/>
      <color indexed="23"/>
      <name val="Verdana"/>
      <family val="2"/>
    </font>
    <font>
      <sz val="16"/>
      <color indexed="9"/>
      <name val="Tahoma"/>
      <family val="2"/>
    </font>
    <font>
      <b/>
      <sz val="8"/>
      <color indexed="63"/>
      <name val="Verdana"/>
      <family val="2"/>
    </font>
    <font>
      <b/>
      <sz val="16"/>
      <color indexed="9"/>
      <name val="Tahoma"/>
      <family val="2"/>
    </font>
    <font>
      <b/>
      <sz val="14"/>
      <name val="BauerBodni Blk BT"/>
      <family val="1"/>
    </font>
    <font>
      <b/>
      <u/>
      <sz val="10"/>
      <name val="Arial"/>
      <family val="2"/>
    </font>
    <font>
      <b/>
      <sz val="10"/>
      <name val="Arial"/>
      <family val="2"/>
    </font>
    <font>
      <sz val="10"/>
      <name val="Arial"/>
      <family val="2"/>
    </font>
    <font>
      <u/>
      <sz val="9"/>
      <name val="Goudy"/>
    </font>
    <font>
      <sz val="9"/>
      <name val="Arial"/>
    </font>
    <font>
      <b/>
      <sz val="9"/>
      <name val="Arial"/>
      <family val="2"/>
    </font>
    <font>
      <sz val="9"/>
      <name val="Arial"/>
      <family val="2"/>
    </font>
    <font>
      <b/>
      <u/>
      <sz val="9"/>
      <name val="Arial"/>
      <family val="2"/>
    </font>
    <font>
      <sz val="9"/>
      <name val="Goudy"/>
      <family val="1"/>
    </font>
    <font>
      <b/>
      <sz val="8"/>
      <color indexed="81"/>
      <name val="Tahoma"/>
    </font>
    <font>
      <sz val="8"/>
      <name val="Arial"/>
      <family val="2"/>
    </font>
    <font>
      <u/>
      <sz val="9"/>
      <name val="Goudy"/>
      <family val="1"/>
    </font>
    <font>
      <sz val="8"/>
      <name val="Arial"/>
    </font>
    <font>
      <b/>
      <u/>
      <sz val="8"/>
      <name val="Arial"/>
      <family val="2"/>
    </font>
    <font>
      <b/>
      <sz val="8"/>
      <name val="Arial"/>
      <family val="2"/>
    </font>
    <font>
      <sz val="8"/>
      <color indexed="10"/>
      <name val="Arial"/>
      <family val="2"/>
    </font>
    <font>
      <u/>
      <sz val="9"/>
      <name val="Garamond"/>
      <family val="1"/>
    </font>
    <font>
      <sz val="9"/>
      <name val="Garamond"/>
      <family val="1"/>
    </font>
    <font>
      <sz val="9"/>
      <name val="BD Oxford"/>
    </font>
    <font>
      <b/>
      <u/>
      <sz val="9"/>
      <name val="BD Oxford"/>
    </font>
    <font>
      <b/>
      <u/>
      <sz val="10"/>
      <name val="BD Oxford"/>
    </font>
    <font>
      <b/>
      <sz val="9"/>
      <name val="BD Oxford"/>
    </font>
    <font>
      <u/>
      <sz val="9"/>
      <name val="Arial"/>
      <family val="2"/>
    </font>
    <font>
      <i/>
      <sz val="9"/>
      <color indexed="18"/>
      <name val="Arial"/>
      <family val="2"/>
    </font>
    <font>
      <b/>
      <sz val="9"/>
      <color indexed="18"/>
      <name val="Arial"/>
      <family val="2"/>
    </font>
    <font>
      <sz val="9"/>
      <color indexed="9"/>
      <name val="Tahoma"/>
      <family val="2"/>
    </font>
    <font>
      <sz val="9"/>
      <color indexed="9"/>
      <name val="Arial"/>
    </font>
    <font>
      <b/>
      <sz val="9"/>
      <color indexed="9"/>
      <name val="Tahoma"/>
      <family val="2"/>
    </font>
    <font>
      <b/>
      <sz val="9"/>
      <color indexed="23"/>
      <name val="Verdana"/>
      <family val="2"/>
    </font>
    <font>
      <b/>
      <sz val="9"/>
      <name val="Verdana"/>
      <family val="2"/>
    </font>
    <font>
      <sz val="9"/>
      <name val="Verdana"/>
      <family val="2"/>
    </font>
    <font>
      <sz val="9"/>
      <name val="Tahoma"/>
      <family val="2"/>
    </font>
    <font>
      <sz val="9"/>
      <name val="Times New Roman"/>
      <family val="1"/>
    </font>
    <font>
      <sz val="9"/>
      <name val="Arial"/>
      <family val="2"/>
    </font>
    <font>
      <b/>
      <sz val="9"/>
      <color indexed="9"/>
      <name val="Times New Roman"/>
      <family val="1"/>
    </font>
    <font>
      <b/>
      <i/>
      <sz val="9"/>
      <name val="Arial"/>
      <family val="2"/>
    </font>
    <font>
      <b/>
      <sz val="9"/>
      <color indexed="8"/>
      <name val="Times New Roman"/>
      <family val="1"/>
    </font>
    <font>
      <i/>
      <sz val="8"/>
      <name val="Arial"/>
      <family val="2"/>
    </font>
    <font>
      <b/>
      <sz val="14"/>
      <color indexed="9"/>
      <name val="Amerigo Md BT"/>
      <family val="2"/>
    </font>
    <font>
      <b/>
      <i/>
      <sz val="10"/>
      <name val="Arial"/>
      <family val="2"/>
    </font>
  </fonts>
  <fills count="13">
    <fill>
      <patternFill patternType="none"/>
    </fill>
    <fill>
      <patternFill patternType="gray125"/>
    </fill>
    <fill>
      <patternFill patternType="solid">
        <fgColor indexed="9"/>
        <bgColor indexed="64"/>
      </patternFill>
    </fill>
    <fill>
      <patternFill patternType="solid">
        <fgColor indexed="55"/>
        <bgColor indexed="64"/>
      </patternFill>
    </fill>
    <fill>
      <patternFill patternType="solid">
        <fgColor indexed="8"/>
        <bgColor indexed="64"/>
      </patternFill>
    </fill>
    <fill>
      <patternFill patternType="solid">
        <fgColor indexed="9"/>
        <bgColor indexed="9"/>
      </patternFill>
    </fill>
    <fill>
      <patternFill patternType="solid">
        <fgColor indexed="22"/>
        <bgColor indexed="64"/>
      </patternFill>
    </fill>
    <fill>
      <patternFill patternType="solid">
        <fgColor indexed="23"/>
        <bgColor indexed="64"/>
      </patternFill>
    </fill>
    <fill>
      <patternFill patternType="solid">
        <fgColor indexed="43"/>
        <bgColor indexed="64"/>
      </patternFill>
    </fill>
    <fill>
      <patternFill patternType="solid">
        <fgColor indexed="50"/>
        <bgColor indexed="64"/>
      </patternFill>
    </fill>
    <fill>
      <patternFill patternType="solid">
        <fgColor indexed="19"/>
        <bgColor indexed="64"/>
      </patternFill>
    </fill>
    <fill>
      <patternFill patternType="solid">
        <fgColor indexed="47"/>
        <bgColor indexed="64"/>
      </patternFill>
    </fill>
    <fill>
      <patternFill patternType="solid">
        <fgColor indexed="45"/>
        <bgColor indexed="64"/>
      </patternFill>
    </fill>
  </fills>
  <borders count="52">
    <border>
      <left/>
      <right/>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thin">
        <color indexed="64"/>
      </left>
      <right/>
      <top/>
      <bottom/>
      <diagonal/>
    </border>
    <border>
      <left/>
      <right/>
      <top style="medium">
        <color indexed="64"/>
      </top>
      <bottom style="medium">
        <color indexed="64"/>
      </bottom>
      <diagonal/>
    </border>
    <border>
      <left/>
      <right/>
      <top/>
      <bottom style="medium">
        <color indexed="64"/>
      </bottom>
      <diagonal/>
    </border>
    <border>
      <left style="thin">
        <color indexed="64"/>
      </left>
      <right style="thin">
        <color indexed="55"/>
      </right>
      <top/>
      <bottom/>
      <diagonal/>
    </border>
    <border>
      <left style="slantDashDot">
        <color indexed="64"/>
      </left>
      <right/>
      <top style="slantDashDot">
        <color indexed="64"/>
      </top>
      <bottom style="slantDashDot">
        <color indexed="64"/>
      </bottom>
      <diagonal/>
    </border>
    <border>
      <left style="double">
        <color indexed="64"/>
      </left>
      <right style="double">
        <color indexed="64"/>
      </right>
      <top style="double">
        <color indexed="64"/>
      </top>
      <bottom style="double">
        <color indexed="64"/>
      </bottom>
      <diagonal/>
    </border>
    <border>
      <left/>
      <right/>
      <top style="thin">
        <color indexed="64"/>
      </top>
      <bottom style="thin">
        <color indexed="64"/>
      </bottom>
      <diagonal/>
    </border>
    <border>
      <left/>
      <right/>
      <top style="double">
        <color indexed="64"/>
      </top>
      <bottom/>
      <diagonal/>
    </border>
    <border>
      <left/>
      <right/>
      <top/>
      <bottom style="thin">
        <color indexed="64"/>
      </bottom>
      <diagonal/>
    </border>
    <border>
      <left/>
      <right/>
      <top style="thin">
        <color indexed="64"/>
      </top>
      <bottom style="double">
        <color indexed="64"/>
      </bottom>
      <diagonal/>
    </border>
    <border>
      <left/>
      <right/>
      <top style="medium">
        <color indexed="23"/>
      </top>
      <bottom style="medium">
        <color indexed="23"/>
      </bottom>
      <diagonal/>
    </border>
    <border>
      <left/>
      <right/>
      <top style="thin">
        <color indexed="23"/>
      </top>
      <bottom/>
      <diagonal/>
    </border>
    <border>
      <left/>
      <right/>
      <top/>
      <bottom style="thin">
        <color indexed="55"/>
      </bottom>
      <diagonal/>
    </border>
    <border>
      <left/>
      <right/>
      <top style="thin">
        <color indexed="55"/>
      </top>
      <bottom/>
      <diagonal/>
    </border>
    <border>
      <left/>
      <right style="thin">
        <color indexed="64"/>
      </right>
      <top/>
      <bottom/>
      <diagonal/>
    </border>
    <border>
      <left/>
      <right style="thin">
        <color indexed="64"/>
      </right>
      <top/>
      <bottom style="thin">
        <color indexed="64"/>
      </bottom>
      <diagonal/>
    </border>
    <border>
      <left style="thin">
        <color indexed="55"/>
      </left>
      <right/>
      <top/>
      <bottom style="thin">
        <color indexed="55"/>
      </bottom>
      <diagonal/>
    </border>
    <border>
      <left style="thin">
        <color indexed="64"/>
      </left>
      <right/>
      <top style="thin">
        <color indexed="55"/>
      </top>
      <bottom style="thin">
        <color indexed="55"/>
      </bottom>
      <diagonal/>
    </border>
    <border>
      <left style="thin">
        <color indexed="64"/>
      </left>
      <right/>
      <top/>
      <bottom style="thin">
        <color indexed="55"/>
      </bottom>
      <diagonal/>
    </border>
    <border>
      <left style="thin">
        <color indexed="64"/>
      </left>
      <right/>
      <top style="medium">
        <color indexed="64"/>
      </top>
      <bottom/>
      <diagonal/>
    </border>
    <border>
      <left style="thin">
        <color indexed="64"/>
      </left>
      <right/>
      <top style="thin">
        <color indexed="55"/>
      </top>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3"/>
      </left>
      <right style="thin">
        <color indexed="23"/>
      </right>
      <top/>
      <bottom style="thin">
        <color indexed="23"/>
      </bottom>
      <diagonal/>
    </border>
    <border>
      <left style="thin">
        <color indexed="23"/>
      </left>
      <right style="thin">
        <color indexed="23"/>
      </right>
      <top/>
      <bottom/>
      <diagonal/>
    </border>
    <border>
      <left style="thin">
        <color indexed="64"/>
      </left>
      <right style="thin">
        <color indexed="23"/>
      </right>
      <top style="medium">
        <color indexed="64"/>
      </top>
      <bottom style="medium">
        <color indexed="64"/>
      </bottom>
      <diagonal/>
    </border>
    <border>
      <left style="thin">
        <color indexed="64"/>
      </left>
      <right style="thin">
        <color indexed="23"/>
      </right>
      <top style="thin">
        <color indexed="55"/>
      </top>
      <bottom style="thin">
        <color indexed="64"/>
      </bottom>
      <diagonal/>
    </border>
    <border>
      <left style="medium">
        <color indexed="22"/>
      </left>
      <right style="medium">
        <color indexed="22"/>
      </right>
      <top style="thin">
        <color indexed="64"/>
      </top>
      <bottom/>
      <diagonal/>
    </border>
    <border>
      <left style="medium">
        <color indexed="22"/>
      </left>
      <right style="thin">
        <color indexed="55"/>
      </right>
      <top style="thin">
        <color indexed="64"/>
      </top>
      <bottom/>
      <diagonal/>
    </border>
    <border>
      <left style="medium">
        <color indexed="22"/>
      </left>
      <right style="medium">
        <color indexed="22"/>
      </right>
      <top/>
      <bottom/>
      <diagonal/>
    </border>
    <border>
      <left style="medium">
        <color indexed="22"/>
      </left>
      <right style="thin">
        <color indexed="55"/>
      </right>
      <top/>
      <bottom/>
      <diagonal/>
    </border>
    <border>
      <left style="medium">
        <color indexed="22"/>
      </left>
      <right style="medium">
        <color indexed="22"/>
      </right>
      <top/>
      <bottom style="thin">
        <color indexed="23"/>
      </bottom>
      <diagonal/>
    </border>
    <border>
      <left/>
      <right style="medium">
        <color indexed="22"/>
      </right>
      <top style="thin">
        <color indexed="64"/>
      </top>
      <bottom/>
      <diagonal/>
    </border>
    <border>
      <left/>
      <right style="medium">
        <color indexed="22"/>
      </right>
      <top/>
      <bottom/>
      <diagonal/>
    </border>
    <border>
      <left style="medium">
        <color indexed="22"/>
      </left>
      <right style="thin">
        <color indexed="55"/>
      </right>
      <top/>
      <bottom style="thin">
        <color indexed="23"/>
      </bottom>
      <diagonal/>
    </border>
    <border>
      <left/>
      <right style="medium">
        <color indexed="22"/>
      </right>
      <top/>
      <bottom style="thin">
        <color indexed="23"/>
      </bottom>
      <diagonal/>
    </border>
    <border>
      <left style="thin">
        <color indexed="64"/>
      </left>
      <right style="medium">
        <color indexed="22"/>
      </right>
      <top/>
      <bottom/>
      <diagonal/>
    </border>
    <border>
      <left style="thin">
        <color indexed="64"/>
      </left>
      <right/>
      <top style="medium">
        <color indexed="64"/>
      </top>
      <bottom style="medium">
        <color indexed="64"/>
      </bottom>
      <diagonal/>
    </border>
    <border>
      <left style="thin">
        <color indexed="23"/>
      </left>
      <right style="thin">
        <color indexed="23"/>
      </right>
      <top style="medium">
        <color indexed="64"/>
      </top>
      <bottom style="medium">
        <color indexed="64"/>
      </bottom>
      <diagonal/>
    </border>
    <border>
      <left style="thin">
        <color indexed="23"/>
      </left>
      <right style="thin">
        <color indexed="23"/>
      </right>
      <top style="medium">
        <color indexed="23"/>
      </top>
      <bottom style="medium">
        <color indexed="23"/>
      </bottom>
      <diagonal/>
    </border>
    <border>
      <left style="thin">
        <color indexed="64"/>
      </left>
      <right style="thin">
        <color indexed="23"/>
      </right>
      <top/>
      <bottom/>
      <diagonal/>
    </border>
    <border>
      <left style="thin">
        <color indexed="64"/>
      </left>
      <right/>
      <top style="thin">
        <color indexed="55"/>
      </top>
      <bottom style="medium">
        <color indexed="64"/>
      </bottom>
      <diagonal/>
    </border>
    <border>
      <left style="thin">
        <color indexed="23"/>
      </left>
      <right style="thin">
        <color indexed="23"/>
      </right>
      <top style="thin">
        <color indexed="23"/>
      </top>
      <bottom style="medium">
        <color indexed="64"/>
      </bottom>
      <diagonal/>
    </border>
    <border>
      <left style="thin">
        <color indexed="23"/>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s>
  <cellStyleXfs count="40">
    <xf numFmtId="0" fontId="0" fillId="0" borderId="0"/>
    <xf numFmtId="37" fontId="9" fillId="2" borderId="1" applyBorder="0" applyProtection="0">
      <alignment vertical="center"/>
    </xf>
    <xf numFmtId="0" fontId="10" fillId="3" borderId="0" applyBorder="0">
      <alignment horizontal="left" vertical="center" indent="1"/>
    </xf>
    <xf numFmtId="0" fontId="5" fillId="0" borderId="2" applyNumberFormat="0" applyFill="0" applyBorder="0" applyAlignment="0" applyProtection="0">
      <protection locked="0"/>
    </xf>
    <xf numFmtId="40" fontId="27" fillId="0" borderId="0" applyFill="0" applyBorder="0" applyAlignment="0" applyProtection="0"/>
    <xf numFmtId="6" fontId="39" fillId="0" borderId="0"/>
    <xf numFmtId="40" fontId="39" fillId="0" borderId="0"/>
    <xf numFmtId="43" fontId="3" fillId="0" borderId="0" applyFont="0" applyFill="0" applyBorder="0" applyAlignment="0" applyProtection="0"/>
    <xf numFmtId="43" fontId="3" fillId="0" borderId="0" applyFont="0" applyFill="0" applyBorder="0" applyAlignment="0" applyProtection="0"/>
    <xf numFmtId="38" fontId="39" fillId="0" borderId="0"/>
    <xf numFmtId="3" fontId="3" fillId="0" borderId="0" applyFont="0" applyFill="0" applyBorder="0" applyAlignment="0" applyProtection="0"/>
    <xf numFmtId="6" fontId="1" fillId="0" borderId="0" applyFont="0" applyFill="0" applyBorder="0" applyAlignment="0" applyProtection="0"/>
    <xf numFmtId="44" fontId="3" fillId="0" borderId="0" applyFont="0" applyFill="0" applyBorder="0" applyAlignment="0" applyProtection="0"/>
    <xf numFmtId="167" fontId="3" fillId="0" borderId="0" applyFont="0" applyFill="0" applyBorder="0" applyAlignment="0" applyProtection="0"/>
    <xf numFmtId="0" fontId="3" fillId="0" borderId="0" applyFont="0" applyFill="0" applyBorder="0" applyAlignment="0" applyProtection="0"/>
    <xf numFmtId="2" fontId="3" fillId="0" borderId="0" applyFont="0" applyFill="0" applyBorder="0" applyAlignment="0" applyProtection="0"/>
    <xf numFmtId="37" fontId="11" fillId="4" borderId="3" applyBorder="0">
      <alignment horizontal="left" vertical="center" indent="1"/>
    </xf>
    <xf numFmtId="37" fontId="12" fillId="0" borderId="4">
      <alignment vertical="center"/>
    </xf>
    <xf numFmtId="0" fontId="12" fillId="5" borderId="5" applyNumberFormat="0">
      <alignment horizontal="left" vertical="top" indent="1"/>
    </xf>
    <xf numFmtId="0" fontId="12" fillId="2" borderId="0" applyBorder="0">
      <alignment horizontal="left" vertical="center" indent="1"/>
    </xf>
    <xf numFmtId="0" fontId="12" fillId="0" borderId="5" applyNumberFormat="0" applyFill="0">
      <alignment horizontal="centerContinuous" vertical="top"/>
    </xf>
    <xf numFmtId="0" fontId="13" fillId="2" borderId="6" applyNumberFormat="0" applyBorder="0">
      <alignment horizontal="left" vertical="center" indent="1"/>
    </xf>
    <xf numFmtId="0" fontId="8" fillId="0" borderId="7" applyBorder="0">
      <alignment horizontal="center"/>
    </xf>
    <xf numFmtId="0" fontId="4" fillId="0" borderId="0" applyNumberFormat="0" applyFill="0" applyBorder="0" applyAlignment="0" applyProtection="0"/>
    <xf numFmtId="40" fontId="7" fillId="0" borderId="0"/>
    <xf numFmtId="0" fontId="2" fillId="0" borderId="8"/>
    <xf numFmtId="0" fontId="14" fillId="6" borderId="0">
      <alignment horizontal="left" indent="1"/>
    </xf>
    <xf numFmtId="0" fontId="15" fillId="6" borderId="0">
      <alignment horizontal="left" indent="1"/>
    </xf>
    <xf numFmtId="0" fontId="16" fillId="6" borderId="0">
      <alignment horizontal="left" wrapText="1" indent="1"/>
    </xf>
    <xf numFmtId="0" fontId="10" fillId="6" borderId="0">
      <alignment horizontal="left" wrapText="1" indent="1"/>
    </xf>
    <xf numFmtId="4" fontId="9" fillId="2" borderId="9" applyBorder="0">
      <alignment horizontal="left" vertical="center" indent="2"/>
    </xf>
    <xf numFmtId="0" fontId="3" fillId="0" borderId="0"/>
    <xf numFmtId="0" fontId="3" fillId="0" borderId="0"/>
    <xf numFmtId="0" fontId="3" fillId="0" borderId="0"/>
    <xf numFmtId="0" fontId="39" fillId="0" borderId="0"/>
    <xf numFmtId="9" fontId="1" fillId="0" borderId="0" applyFont="0" applyFill="0" applyBorder="0" applyAlignment="0" applyProtection="0"/>
    <xf numFmtId="0" fontId="17" fillId="3" borderId="0">
      <alignment horizontal="left" indent="1"/>
    </xf>
    <xf numFmtId="0" fontId="18" fillId="3" borderId="0" applyBorder="0">
      <alignment horizontal="left" vertical="center" indent="1"/>
    </xf>
    <xf numFmtId="0" fontId="19" fillId="7" borderId="0" applyBorder="0">
      <alignment horizontal="left" vertical="center" indent="1"/>
    </xf>
    <xf numFmtId="0" fontId="3" fillId="0" borderId="10" applyNumberFormat="0" applyFont="0" applyFill="0" applyAlignment="0" applyProtection="0"/>
  </cellStyleXfs>
  <cellXfs count="331">
    <xf numFmtId="0" fontId="0" fillId="0" borderId="0" xfId="0"/>
    <xf numFmtId="40" fontId="27" fillId="0" borderId="0" xfId="4"/>
    <xf numFmtId="40" fontId="27" fillId="0" borderId="11" xfId="4" applyBorder="1"/>
    <xf numFmtId="0" fontId="3" fillId="0" borderId="0" xfId="31"/>
    <xf numFmtId="0" fontId="21" fillId="0" borderId="0" xfId="31" applyFont="1" applyAlignment="1">
      <alignment horizontal="center"/>
    </xf>
    <xf numFmtId="6" fontId="3" fillId="0" borderId="0" xfId="11" applyFont="1"/>
    <xf numFmtId="164" fontId="3" fillId="0" borderId="0" xfId="11" applyNumberFormat="1" applyFont="1"/>
    <xf numFmtId="43" fontId="3" fillId="0" borderId="0" xfId="7"/>
    <xf numFmtId="43" fontId="3" fillId="0" borderId="0" xfId="31" applyNumberFormat="1"/>
    <xf numFmtId="0" fontId="21" fillId="0" borderId="0" xfId="31" applyFont="1" applyAlignment="1">
      <alignment horizontal="center" wrapText="1"/>
    </xf>
    <xf numFmtId="0" fontId="3" fillId="0" borderId="0" xfId="31" applyFont="1"/>
    <xf numFmtId="0" fontId="3" fillId="0" borderId="0" xfId="31" applyBorder="1"/>
    <xf numFmtId="1" fontId="3" fillId="0" borderId="0" xfId="31" applyNumberFormat="1"/>
    <xf numFmtId="0" fontId="24" fillId="0" borderId="0" xfId="0" applyFont="1"/>
    <xf numFmtId="0" fontId="25" fillId="0" borderId="0" xfId="31" applyFont="1"/>
    <xf numFmtId="0" fontId="27" fillId="0" borderId="0" xfId="31" applyFont="1"/>
    <xf numFmtId="0" fontId="28" fillId="0" borderId="0" xfId="31" applyFont="1" applyAlignment="1">
      <alignment horizontal="center"/>
    </xf>
    <xf numFmtId="0" fontId="28" fillId="0" borderId="0" xfId="31" applyFont="1" applyAlignment="1">
      <alignment horizontal="center" wrapText="1"/>
    </xf>
    <xf numFmtId="43" fontId="25" fillId="0" borderId="0" xfId="7" applyFont="1"/>
    <xf numFmtId="0" fontId="26" fillId="0" borderId="4" xfId="31" applyFont="1" applyBorder="1"/>
    <xf numFmtId="0" fontId="29" fillId="0" borderId="0" xfId="0" applyFont="1"/>
    <xf numFmtId="0" fontId="28" fillId="0" borderId="0" xfId="31" applyFont="1"/>
    <xf numFmtId="0" fontId="26" fillId="0" borderId="0" xfId="31" applyFont="1"/>
    <xf numFmtId="42" fontId="26" fillId="0" borderId="4" xfId="31" applyNumberFormat="1" applyFont="1" applyBorder="1"/>
    <xf numFmtId="164" fontId="26" fillId="0" borderId="4" xfId="11" applyNumberFormat="1" applyFont="1" applyBorder="1"/>
    <xf numFmtId="187" fontId="26" fillId="0" borderId="4" xfId="11" applyNumberFormat="1" applyFont="1" applyBorder="1"/>
    <xf numFmtId="180" fontId="3" fillId="0" borderId="0" xfId="31" applyNumberFormat="1"/>
    <xf numFmtId="179" fontId="3" fillId="0" borderId="0" xfId="31" applyNumberFormat="1"/>
    <xf numFmtId="0" fontId="21" fillId="0" borderId="0" xfId="31" applyFont="1" applyBorder="1" applyAlignment="1">
      <alignment horizontal="center"/>
    </xf>
    <xf numFmtId="165" fontId="23" fillId="0" borderId="0" xfId="31" applyNumberFormat="1" applyFont="1" applyBorder="1"/>
    <xf numFmtId="1" fontId="3" fillId="0" borderId="0" xfId="31" applyNumberFormat="1" applyBorder="1"/>
    <xf numFmtId="0" fontId="26" fillId="0" borderId="0" xfId="31" applyFont="1" applyFill="1" applyBorder="1"/>
    <xf numFmtId="0" fontId="25" fillId="0" borderId="0" xfId="31" applyFont="1" applyFill="1" applyBorder="1"/>
    <xf numFmtId="165" fontId="0" fillId="0" borderId="0" xfId="0" applyNumberFormat="1"/>
    <xf numFmtId="187" fontId="27" fillId="0" borderId="0" xfId="11" applyNumberFormat="1" applyFont="1"/>
    <xf numFmtId="165" fontId="27" fillId="0" borderId="0" xfId="7" applyNumberFormat="1" applyFont="1"/>
    <xf numFmtId="6" fontId="27" fillId="0" borderId="0" xfId="11" applyFont="1"/>
    <xf numFmtId="164" fontId="27" fillId="0" borderId="0" xfId="11" applyNumberFormat="1" applyFont="1"/>
    <xf numFmtId="0" fontId="27" fillId="0" borderId="11" xfId="31" applyFont="1" applyBorder="1"/>
    <xf numFmtId="165" fontId="27" fillId="0" borderId="11" xfId="7" applyNumberFormat="1" applyFont="1" applyBorder="1"/>
    <xf numFmtId="187" fontId="27" fillId="0" borderId="0" xfId="31" applyNumberFormat="1" applyFont="1"/>
    <xf numFmtId="42" fontId="27" fillId="0" borderId="0" xfId="31" applyNumberFormat="1" applyFont="1"/>
    <xf numFmtId="166" fontId="27" fillId="0" borderId="0" xfId="35" applyNumberFormat="1" applyFont="1"/>
    <xf numFmtId="166" fontId="26" fillId="0" borderId="4" xfId="35" applyNumberFormat="1" applyFont="1" applyBorder="1"/>
    <xf numFmtId="165" fontId="27" fillId="0" borderId="11" xfId="4" applyNumberFormat="1" applyFont="1" applyBorder="1"/>
    <xf numFmtId="166" fontId="26" fillId="0" borderId="0" xfId="35" applyNumberFormat="1" applyFont="1"/>
    <xf numFmtId="10" fontId="26" fillId="0" borderId="4" xfId="35" applyNumberFormat="1" applyFont="1" applyBorder="1"/>
    <xf numFmtId="166" fontId="27" fillId="0" borderId="11" xfId="35" applyNumberFormat="1" applyFont="1" applyBorder="1"/>
    <xf numFmtId="165" fontId="27" fillId="0" borderId="0" xfId="4" applyNumberFormat="1"/>
    <xf numFmtId="165" fontId="27" fillId="0" borderId="11" xfId="4" applyNumberFormat="1" applyBorder="1"/>
    <xf numFmtId="0" fontId="32" fillId="0" borderId="0" xfId="0" applyFont="1"/>
    <xf numFmtId="0" fontId="0" fillId="0" borderId="0" xfId="0" applyAlignment="1">
      <alignment horizontal="left" indent="1"/>
    </xf>
    <xf numFmtId="40" fontId="22" fillId="0" borderId="0" xfId="4" applyFont="1" applyBorder="1"/>
    <xf numFmtId="0" fontId="27" fillId="0" borderId="0" xfId="0" applyFont="1" applyAlignment="1">
      <alignment horizontal="center" wrapText="1"/>
    </xf>
    <xf numFmtId="0" fontId="27" fillId="0" borderId="0" xfId="0" applyFont="1" applyAlignment="1">
      <alignment horizontal="left"/>
    </xf>
    <xf numFmtId="165" fontId="27" fillId="0" borderId="0" xfId="0" applyNumberFormat="1" applyFont="1"/>
    <xf numFmtId="0" fontId="27" fillId="8" borderId="0" xfId="31" applyFont="1" applyFill="1"/>
    <xf numFmtId="165" fontId="27" fillId="8" borderId="0" xfId="7" applyNumberFormat="1" applyFont="1" applyFill="1"/>
    <xf numFmtId="164" fontId="27" fillId="8" borderId="0" xfId="11" applyNumberFormat="1" applyFont="1" applyFill="1"/>
    <xf numFmtId="43" fontId="27" fillId="8" borderId="0" xfId="31" applyNumberFormat="1" applyFont="1" applyFill="1"/>
    <xf numFmtId="0" fontId="27" fillId="0" borderId="0" xfId="31" applyFont="1" applyFill="1" applyAlignment="1">
      <alignment horizontal="center"/>
    </xf>
    <xf numFmtId="43" fontId="27" fillId="0" borderId="0" xfId="31" applyNumberFormat="1" applyFont="1"/>
    <xf numFmtId="0" fontId="27" fillId="0" borderId="0" xfId="31" applyFont="1" applyAlignment="1">
      <alignment horizontal="center"/>
    </xf>
    <xf numFmtId="187" fontId="27" fillId="8" borderId="0" xfId="11" applyNumberFormat="1" applyFont="1" applyFill="1"/>
    <xf numFmtId="40" fontId="26" fillId="0" borderId="4" xfId="4" applyFont="1" applyBorder="1"/>
    <xf numFmtId="42" fontId="26" fillId="0" borderId="4" xfId="11" applyNumberFormat="1" applyFont="1" applyBorder="1"/>
    <xf numFmtId="6" fontId="26" fillId="0" borderId="0" xfId="11" applyFont="1"/>
    <xf numFmtId="164" fontId="26" fillId="0" borderId="0" xfId="11" applyNumberFormat="1" applyFont="1"/>
    <xf numFmtId="187" fontId="26" fillId="0" borderId="0" xfId="11" applyNumberFormat="1" applyFont="1"/>
    <xf numFmtId="165" fontId="27" fillId="0" borderId="0" xfId="4" applyNumberFormat="1" applyBorder="1"/>
    <xf numFmtId="166" fontId="27" fillId="0" borderId="0" xfId="35" applyNumberFormat="1" applyFont="1" applyBorder="1"/>
    <xf numFmtId="9" fontId="0" fillId="0" borderId="0" xfId="0" applyNumberFormat="1"/>
    <xf numFmtId="41" fontId="0" fillId="0" borderId="0" xfId="0" applyNumberFormat="1"/>
    <xf numFmtId="38" fontId="27" fillId="0" borderId="0" xfId="4" applyNumberFormat="1" applyAlignment="1"/>
    <xf numFmtId="0" fontId="33" fillId="0" borderId="0" xfId="31" applyFont="1" applyAlignment="1"/>
    <xf numFmtId="0" fontId="33" fillId="0" borderId="0" xfId="31" applyFont="1" applyFill="1" applyBorder="1" applyAlignment="1"/>
    <xf numFmtId="0" fontId="34" fillId="0" borderId="0" xfId="31" applyFont="1" applyAlignment="1">
      <alignment horizontal="center"/>
    </xf>
    <xf numFmtId="0" fontId="34" fillId="0" borderId="0" xfId="31" applyFont="1" applyAlignment="1"/>
    <xf numFmtId="0" fontId="34" fillId="0" borderId="0" xfId="33" applyFont="1" applyAlignment="1"/>
    <xf numFmtId="0" fontId="34" fillId="0" borderId="0" xfId="33" applyFont="1" applyAlignment="1">
      <alignment horizontal="center"/>
    </xf>
    <xf numFmtId="41" fontId="31" fillId="0" borderId="0" xfId="4" applyNumberFormat="1" applyFont="1" applyAlignment="1"/>
    <xf numFmtId="164" fontId="33" fillId="0" borderId="0" xfId="11" applyNumberFormat="1" applyFont="1" applyAlignment="1"/>
    <xf numFmtId="0" fontId="35" fillId="0" borderId="0" xfId="33" applyFont="1" applyAlignment="1"/>
    <xf numFmtId="0" fontId="33" fillId="0" borderId="0" xfId="33" applyFont="1" applyAlignment="1"/>
    <xf numFmtId="0" fontId="31" fillId="0" borderId="0" xfId="0" applyFont="1" applyAlignment="1"/>
    <xf numFmtId="0" fontId="33" fillId="0" borderId="0" xfId="31" applyFont="1" applyBorder="1" applyAlignment="1"/>
    <xf numFmtId="38" fontId="31" fillId="0" borderId="0" xfId="4" applyNumberFormat="1" applyFont="1" applyBorder="1" applyAlignment="1"/>
    <xf numFmtId="0" fontId="33" fillId="0" borderId="11" xfId="31" applyFont="1" applyBorder="1" applyAlignment="1"/>
    <xf numFmtId="168" fontId="31" fillId="0" borderId="11" xfId="4" applyNumberFormat="1" applyFont="1" applyBorder="1" applyAlignment="1"/>
    <xf numFmtId="38" fontId="31" fillId="0" borderId="11" xfId="4" applyNumberFormat="1" applyFont="1" applyBorder="1" applyAlignment="1"/>
    <xf numFmtId="40" fontId="31" fillId="0" borderId="11" xfId="4" applyFont="1" applyBorder="1" applyAlignment="1"/>
    <xf numFmtId="165" fontId="33" fillId="0" borderId="0" xfId="8" applyNumberFormat="1" applyFont="1" applyAlignment="1"/>
    <xf numFmtId="164" fontId="31" fillId="0" borderId="0" xfId="12" applyNumberFormat="1" applyFont="1" applyAlignment="1"/>
    <xf numFmtId="43" fontId="33" fillId="0" borderId="0" xfId="8" applyFont="1" applyAlignment="1"/>
    <xf numFmtId="168" fontId="31" fillId="0" borderId="0" xfId="4" applyNumberFormat="1" applyFont="1" applyAlignment="1"/>
    <xf numFmtId="164" fontId="33" fillId="0" borderId="0" xfId="31" applyNumberFormat="1" applyFont="1" applyAlignment="1"/>
    <xf numFmtId="0" fontId="31" fillId="0" borderId="0" xfId="33" applyFont="1" applyAlignment="1"/>
    <xf numFmtId="40" fontId="31" fillId="0" borderId="0" xfId="4" applyFont="1" applyAlignment="1"/>
    <xf numFmtId="0" fontId="33" fillId="0" borderId="11" xfId="33" applyFont="1" applyBorder="1" applyAlignment="1"/>
    <xf numFmtId="165" fontId="33" fillId="0" borderId="11" xfId="8" applyNumberFormat="1" applyFont="1" applyBorder="1" applyAlignment="1"/>
    <xf numFmtId="43" fontId="33" fillId="0" borderId="11" xfId="8" applyFont="1" applyBorder="1" applyAlignment="1"/>
    <xf numFmtId="164" fontId="35" fillId="0" borderId="0" xfId="12" applyNumberFormat="1" applyFont="1" applyAlignment="1"/>
    <xf numFmtId="44" fontId="35" fillId="0" borderId="0" xfId="12" applyFont="1" applyAlignment="1"/>
    <xf numFmtId="165" fontId="33" fillId="0" borderId="11" xfId="7" applyNumberFormat="1" applyFont="1" applyBorder="1" applyAlignment="1"/>
    <xf numFmtId="0" fontId="33" fillId="0" borderId="0" xfId="33" applyFont="1" applyFill="1" applyAlignment="1"/>
    <xf numFmtId="165" fontId="33" fillId="0" borderId="0" xfId="7" applyNumberFormat="1" applyFont="1" applyAlignment="1"/>
    <xf numFmtId="165" fontId="35" fillId="0" borderId="0" xfId="8" applyNumberFormat="1" applyFont="1" applyAlignment="1"/>
    <xf numFmtId="43" fontId="35" fillId="0" borderId="0" xfId="8" applyFont="1" applyAlignment="1"/>
    <xf numFmtId="165" fontId="35" fillId="0" borderId="0" xfId="33" applyNumberFormat="1" applyFont="1" applyAlignment="1"/>
    <xf numFmtId="43" fontId="35" fillId="0" borderId="0" xfId="33" applyNumberFormat="1" applyFont="1" applyAlignment="1"/>
    <xf numFmtId="44" fontId="33" fillId="0" borderId="0" xfId="12" applyFont="1" applyAlignment="1"/>
    <xf numFmtId="0" fontId="31" fillId="0" borderId="0" xfId="33" applyFont="1" applyAlignment="1">
      <alignment horizontal="left" indent="1"/>
    </xf>
    <xf numFmtId="38" fontId="31" fillId="0" borderId="0" xfId="4" applyNumberFormat="1" applyFont="1" applyAlignment="1"/>
    <xf numFmtId="0" fontId="35" fillId="0" borderId="12" xfId="33" applyFont="1" applyBorder="1" applyAlignment="1"/>
    <xf numFmtId="0" fontId="33" fillId="0" borderId="12" xfId="33" applyFont="1" applyBorder="1" applyAlignment="1"/>
    <xf numFmtId="165" fontId="33" fillId="0" borderId="12" xfId="8" applyNumberFormat="1" applyFont="1" applyBorder="1" applyAlignment="1"/>
    <xf numFmtId="164" fontId="35" fillId="0" borderId="12" xfId="12" applyNumberFormat="1" applyFont="1" applyBorder="1" applyAlignment="1"/>
    <xf numFmtId="44" fontId="35" fillId="0" borderId="12" xfId="12" applyFont="1" applyBorder="1" applyAlignment="1"/>
    <xf numFmtId="0" fontId="33" fillId="0" borderId="11" xfId="33" applyFont="1" applyBorder="1" applyAlignment="1">
      <alignment wrapText="1"/>
    </xf>
    <xf numFmtId="0" fontId="35" fillId="0" borderId="0" xfId="31" applyFont="1" applyBorder="1" applyAlignment="1"/>
    <xf numFmtId="164" fontId="33" fillId="0" borderId="0" xfId="11" applyNumberFormat="1" applyFont="1" applyBorder="1" applyAlignment="1"/>
    <xf numFmtId="0" fontId="31" fillId="0" borderId="0" xfId="33" applyFont="1" applyAlignment="1">
      <alignment horizontal="left" indent="2"/>
    </xf>
    <xf numFmtId="2" fontId="33" fillId="0" borderId="0" xfId="33" applyNumberFormat="1" applyFont="1" applyAlignment="1"/>
    <xf numFmtId="0" fontId="34" fillId="0" borderId="0" xfId="31" applyFont="1" applyBorder="1" applyAlignment="1">
      <alignment horizontal="center"/>
    </xf>
    <xf numFmtId="0" fontId="35" fillId="0" borderId="0" xfId="33" applyFont="1" applyAlignment="1">
      <alignment wrapText="1"/>
    </xf>
    <xf numFmtId="0" fontId="35" fillId="0" borderId="0" xfId="31" applyFont="1" applyAlignment="1"/>
    <xf numFmtId="164" fontId="35" fillId="0" borderId="0" xfId="11" applyNumberFormat="1" applyFont="1" applyAlignment="1"/>
    <xf numFmtId="6" fontId="35" fillId="0" borderId="0" xfId="11" applyFont="1" applyAlignment="1"/>
    <xf numFmtId="164" fontId="33" fillId="0" borderId="0" xfId="33" applyNumberFormat="1" applyFont="1" applyAlignment="1"/>
    <xf numFmtId="164" fontId="33" fillId="0" borderId="0" xfId="8" applyNumberFormat="1" applyFont="1" applyAlignment="1"/>
    <xf numFmtId="165" fontId="33" fillId="0" borderId="0" xfId="31" applyNumberFormat="1" applyFont="1" applyAlignment="1"/>
    <xf numFmtId="164" fontId="35" fillId="0" borderId="0" xfId="11" applyNumberFormat="1" applyFont="1" applyBorder="1" applyAlignment="1"/>
    <xf numFmtId="187" fontId="0" fillId="0" borderId="0" xfId="0" applyNumberFormat="1"/>
    <xf numFmtId="166" fontId="3" fillId="0" borderId="0" xfId="31" applyNumberFormat="1"/>
    <xf numFmtId="38" fontId="33" fillId="0" borderId="0" xfId="31" applyNumberFormat="1" applyFont="1" applyAlignment="1"/>
    <xf numFmtId="164" fontId="35" fillId="0" borderId="5" xfId="11" applyNumberFormat="1" applyFont="1" applyBorder="1" applyAlignment="1"/>
    <xf numFmtId="0" fontId="35" fillId="0" borderId="11" xfId="31" applyFont="1" applyBorder="1" applyAlignment="1"/>
    <xf numFmtId="164" fontId="35" fillId="0" borderId="9" xfId="11" applyNumberFormat="1" applyFont="1" applyBorder="1" applyAlignment="1"/>
    <xf numFmtId="164" fontId="35" fillId="0" borderId="11" xfId="11" applyNumberFormat="1" applyFont="1" applyBorder="1" applyAlignment="1"/>
    <xf numFmtId="0" fontId="35" fillId="0" borderId="5" xfId="31" applyFont="1" applyBorder="1" applyAlignment="1"/>
    <xf numFmtId="0" fontId="33" fillId="0" borderId="5" xfId="31" applyFont="1" applyBorder="1" applyAlignment="1"/>
    <xf numFmtId="0" fontId="35" fillId="0" borderId="9" xfId="31" applyFont="1" applyBorder="1" applyAlignment="1"/>
    <xf numFmtId="0" fontId="33" fillId="0" borderId="9" xfId="31" applyFont="1" applyBorder="1" applyAlignment="1"/>
    <xf numFmtId="168" fontId="31" fillId="0" borderId="9" xfId="4" applyNumberFormat="1" applyFont="1" applyBorder="1" applyAlignment="1"/>
    <xf numFmtId="0" fontId="35" fillId="0" borderId="0" xfId="31" applyFont="1" applyFill="1" applyBorder="1" applyAlignment="1"/>
    <xf numFmtId="2" fontId="35" fillId="0" borderId="0" xfId="31" applyNumberFormat="1" applyFont="1" applyFill="1" applyBorder="1" applyAlignment="1"/>
    <xf numFmtId="9" fontId="27" fillId="0" borderId="0" xfId="35" applyFont="1"/>
    <xf numFmtId="0" fontId="37" fillId="0" borderId="0" xfId="31" applyFont="1" applyAlignment="1">
      <alignment horizontal="center" wrapText="1"/>
    </xf>
    <xf numFmtId="0" fontId="38" fillId="0" borderId="0" xfId="31" applyFont="1"/>
    <xf numFmtId="0" fontId="39" fillId="0" borderId="0" xfId="34"/>
    <xf numFmtId="0" fontId="40" fillId="0" borderId="0" xfId="34" applyFont="1" applyAlignment="1">
      <alignment horizontal="center" wrapText="1"/>
    </xf>
    <xf numFmtId="0" fontId="41" fillId="0" borderId="0" xfId="34" applyFont="1" applyAlignment="1">
      <alignment horizontal="center" wrapText="1"/>
    </xf>
    <xf numFmtId="0" fontId="40" fillId="0" borderId="0" xfId="34" applyFont="1"/>
    <xf numFmtId="0" fontId="39" fillId="0" borderId="9" xfId="34" applyBorder="1"/>
    <xf numFmtId="0" fontId="42" fillId="0" borderId="9" xfId="34" applyFont="1" applyBorder="1"/>
    <xf numFmtId="0" fontId="39" fillId="0" borderId="0" xfId="34" applyAlignment="1">
      <alignment horizontal="left" indent="1"/>
    </xf>
    <xf numFmtId="0" fontId="42" fillId="0" borderId="12" xfId="34" applyFont="1" applyBorder="1"/>
    <xf numFmtId="38" fontId="39" fillId="0" borderId="0" xfId="9"/>
    <xf numFmtId="6" fontId="39" fillId="0" borderId="12" xfId="5" applyBorder="1"/>
    <xf numFmtId="8" fontId="39" fillId="0" borderId="12" xfId="5" applyNumberFormat="1" applyBorder="1"/>
    <xf numFmtId="40" fontId="39" fillId="0" borderId="0" xfId="6"/>
    <xf numFmtId="40" fontId="39" fillId="0" borderId="0" xfId="4" applyFont="1"/>
    <xf numFmtId="0" fontId="39" fillId="0" borderId="11" xfId="34" applyBorder="1"/>
    <xf numFmtId="38" fontId="39" fillId="0" borderId="0" xfId="4" applyNumberFormat="1" applyFont="1"/>
    <xf numFmtId="38" fontId="39" fillId="0" borderId="11" xfId="4" applyNumberFormat="1" applyFont="1" applyBorder="1"/>
    <xf numFmtId="38" fontId="39" fillId="0" borderId="9" xfId="4" applyNumberFormat="1" applyFont="1" applyBorder="1"/>
    <xf numFmtId="38" fontId="42" fillId="0" borderId="9" xfId="34" applyNumberFormat="1" applyFont="1" applyBorder="1"/>
    <xf numFmtId="38" fontId="39" fillId="0" borderId="0" xfId="34" applyNumberFormat="1"/>
    <xf numFmtId="1" fontId="39" fillId="0" borderId="0" xfId="34" applyNumberFormat="1"/>
    <xf numFmtId="0" fontId="20" fillId="6" borderId="4" xfId="31" applyFont="1" applyFill="1" applyBorder="1" applyAlignment="1">
      <alignment horizontal="left"/>
    </xf>
    <xf numFmtId="0" fontId="33" fillId="0" borderId="0" xfId="33" applyFont="1" applyBorder="1" applyAlignment="1"/>
    <xf numFmtId="40" fontId="39" fillId="0" borderId="0" xfId="6" applyFont="1"/>
    <xf numFmtId="40" fontId="27" fillId="0" borderId="0" xfId="4" applyFont="1"/>
    <xf numFmtId="0" fontId="0" fillId="0" borderId="0" xfId="31" applyFont="1" applyFill="1" applyBorder="1" applyAlignment="1"/>
    <xf numFmtId="0" fontId="0" fillId="0" borderId="13" xfId="0" applyFill="1" applyBorder="1" applyAlignment="1"/>
    <xf numFmtId="0" fontId="0" fillId="0" borderId="14" xfId="0" applyFill="1" applyBorder="1" applyAlignment="1"/>
    <xf numFmtId="0" fontId="44" fillId="0" borderId="13" xfId="0" applyFont="1" applyFill="1" applyBorder="1" applyAlignment="1">
      <alignment horizontal="left"/>
    </xf>
    <xf numFmtId="0" fontId="45" fillId="0" borderId="13" xfId="0" applyFont="1" applyFill="1" applyBorder="1" applyAlignment="1">
      <alignment horizontal="center"/>
    </xf>
    <xf numFmtId="0" fontId="25" fillId="2" borderId="0" xfId="32" applyFont="1" applyFill="1"/>
    <xf numFmtId="0" fontId="46" fillId="3" borderId="0" xfId="36" applyFont="1">
      <alignment horizontal="left" indent="1"/>
    </xf>
    <xf numFmtId="0" fontId="47" fillId="3" borderId="0" xfId="32" applyFont="1" applyFill="1"/>
    <xf numFmtId="0" fontId="25" fillId="0" borderId="0" xfId="32" applyFont="1"/>
    <xf numFmtId="0" fontId="48" fillId="3" borderId="0" xfId="36" applyFont="1">
      <alignment horizontal="left" indent="1"/>
    </xf>
    <xf numFmtId="0" fontId="49" fillId="6" borderId="0" xfId="26" applyFont="1">
      <alignment horizontal="left" indent="1"/>
    </xf>
    <xf numFmtId="0" fontId="25" fillId="6" borderId="0" xfId="32" applyFont="1" applyFill="1"/>
    <xf numFmtId="0" fontId="50" fillId="6" borderId="0" xfId="27" applyFont="1">
      <alignment horizontal="left" indent="1"/>
    </xf>
    <xf numFmtId="0" fontId="25" fillId="6" borderId="15" xfId="32" applyFont="1" applyFill="1" applyBorder="1"/>
    <xf numFmtId="0" fontId="25" fillId="6" borderId="16" xfId="32" applyFont="1" applyFill="1" applyBorder="1"/>
    <xf numFmtId="0" fontId="49" fillId="6" borderId="0" xfId="28" applyFont="1" applyAlignment="1">
      <alignment horizontal="left" wrapText="1" indent="1"/>
    </xf>
    <xf numFmtId="0" fontId="51" fillId="6" borderId="0" xfId="29" applyFont="1" applyAlignment="1">
      <alignment horizontal="left" wrapText="1" indent="1"/>
    </xf>
    <xf numFmtId="0" fontId="51" fillId="6" borderId="0" xfId="2" applyFont="1" applyFill="1" applyAlignment="1">
      <alignment horizontal="left" vertical="center" indent="1"/>
    </xf>
    <xf numFmtId="0" fontId="50" fillId="6" borderId="0" xfId="29" applyFont="1" applyAlignment="1">
      <alignment horizontal="left" wrapText="1" indent="1"/>
    </xf>
    <xf numFmtId="0" fontId="25" fillId="0" borderId="0" xfId="32" applyFont="1" applyAlignment="1">
      <alignment horizontal="left" wrapText="1" indent="1"/>
    </xf>
    <xf numFmtId="40" fontId="27" fillId="2" borderId="0" xfId="4" applyFont="1" applyFill="1"/>
    <xf numFmtId="40" fontId="27" fillId="6" borderId="0" xfId="4" applyFont="1" applyFill="1" applyAlignment="1">
      <alignment horizontal="left" vertical="center" indent="1"/>
    </xf>
    <xf numFmtId="0" fontId="51" fillId="6" borderId="0" xfId="2" applyFont="1" applyFill="1">
      <alignment horizontal="left" vertical="center" indent="1"/>
    </xf>
    <xf numFmtId="40" fontId="27" fillId="4" borderId="0" xfId="4" applyFont="1" applyFill="1"/>
    <xf numFmtId="0" fontId="53" fillId="4" borderId="0" xfId="32" applyFont="1" applyFill="1"/>
    <xf numFmtId="0" fontId="53" fillId="4" borderId="0" xfId="32" applyFont="1" applyFill="1" applyBorder="1"/>
    <xf numFmtId="0" fontId="53" fillId="4" borderId="17" xfId="32" applyFont="1" applyFill="1" applyBorder="1"/>
    <xf numFmtId="40" fontId="27" fillId="2" borderId="0" xfId="4" applyFont="1" applyFill="1" applyBorder="1"/>
    <xf numFmtId="40" fontId="54" fillId="4" borderId="11" xfId="4" applyFont="1" applyFill="1" applyBorder="1" applyAlignment="1">
      <alignment horizontal="left" vertical="center" indent="1"/>
    </xf>
    <xf numFmtId="37" fontId="55" fillId="4" borderId="11" xfId="16" applyFont="1" applyFill="1" applyBorder="1">
      <alignment horizontal="left" vertical="center" indent="1"/>
    </xf>
    <xf numFmtId="37" fontId="55" fillId="4" borderId="18" xfId="16" applyFont="1" applyFill="1" applyBorder="1">
      <alignment horizontal="left" vertical="center" indent="1"/>
    </xf>
    <xf numFmtId="40" fontId="27" fillId="0" borderId="3" xfId="4" applyFont="1" applyBorder="1"/>
    <xf numFmtId="40" fontId="27" fillId="5" borderId="3" xfId="4" applyFont="1" applyFill="1" applyBorder="1" applyAlignment="1">
      <alignment horizontal="left" vertical="top" indent="1"/>
    </xf>
    <xf numFmtId="0" fontId="25" fillId="0" borderId="0" xfId="32" applyFont="1" applyBorder="1"/>
    <xf numFmtId="38" fontId="25" fillId="0" borderId="0" xfId="32" applyNumberFormat="1" applyFont="1"/>
    <xf numFmtId="0" fontId="25" fillId="0" borderId="0" xfId="32" applyFont="1" applyAlignment="1">
      <alignment horizontal="left" indent="3"/>
    </xf>
    <xf numFmtId="40" fontId="27" fillId="0" borderId="0" xfId="4" applyFont="1" applyFill="1" applyBorder="1"/>
    <xf numFmtId="0" fontId="25" fillId="0" borderId="0" xfId="32" applyFont="1" applyFill="1"/>
    <xf numFmtId="40" fontId="27" fillId="0" borderId="0" xfId="4" applyFont="1" applyFill="1" applyBorder="1" applyAlignment="1">
      <alignment horizontal="left" vertical="top" indent="1"/>
    </xf>
    <xf numFmtId="40" fontId="27" fillId="2" borderId="1" xfId="4" applyFont="1" applyFill="1" applyBorder="1" applyAlignment="1">
      <alignment horizontal="left" vertical="center" indent="1"/>
    </xf>
    <xf numFmtId="40" fontId="27" fillId="0" borderId="19" xfId="4" applyFont="1" applyBorder="1" applyAlignment="1">
      <alignment horizontal="left" indent="3"/>
    </xf>
    <xf numFmtId="40" fontId="27" fillId="2" borderId="20" xfId="4" applyFont="1" applyFill="1" applyBorder="1" applyAlignment="1">
      <alignment horizontal="left" vertical="center" indent="3"/>
    </xf>
    <xf numFmtId="40" fontId="27" fillId="2" borderId="21" xfId="4" applyFont="1" applyFill="1" applyBorder="1" applyAlignment="1">
      <alignment horizontal="left" vertical="center" indent="1"/>
    </xf>
    <xf numFmtId="40" fontId="27" fillId="2" borderId="20" xfId="4" applyFont="1" applyFill="1" applyBorder="1" applyAlignment="1">
      <alignment horizontal="left" vertical="center" indent="2"/>
    </xf>
    <xf numFmtId="40" fontId="27" fillId="0" borderId="22" xfId="4" applyFont="1" applyBorder="1"/>
    <xf numFmtId="40" fontId="43" fillId="2" borderId="20" xfId="4" applyFont="1" applyFill="1" applyBorder="1" applyAlignment="1">
      <alignment horizontal="left" vertical="center" indent="2"/>
    </xf>
    <xf numFmtId="40" fontId="27" fillId="2" borderId="23" xfId="4" applyFont="1" applyFill="1" applyBorder="1" applyAlignment="1">
      <alignment horizontal="left" vertical="center" indent="2"/>
    </xf>
    <xf numFmtId="40" fontId="27" fillId="0" borderId="23" xfId="4" applyFont="1" applyBorder="1"/>
    <xf numFmtId="38" fontId="27" fillId="0" borderId="24" xfId="4" applyNumberFormat="1" applyFont="1" applyFill="1" applyBorder="1"/>
    <xf numFmtId="38" fontId="27" fillId="9" borderId="24" xfId="4" applyNumberFormat="1" applyFont="1" applyFill="1" applyBorder="1"/>
    <xf numFmtId="38" fontId="27" fillId="0" borderId="24" xfId="4" applyNumberFormat="1" applyFont="1" applyBorder="1"/>
    <xf numFmtId="38" fontId="53" fillId="0" borderId="24" xfId="32" applyNumberFormat="1" applyFont="1" applyBorder="1"/>
    <xf numFmtId="38" fontId="27" fillId="2" borderId="24" xfId="4" applyNumberFormat="1" applyFont="1" applyFill="1" applyBorder="1" applyAlignment="1">
      <alignment vertical="center"/>
    </xf>
    <xf numFmtId="38" fontId="27" fillId="10" borderId="24" xfId="4" applyNumberFormat="1" applyFont="1" applyFill="1" applyBorder="1"/>
    <xf numFmtId="38" fontId="27" fillId="0" borderId="24" xfId="4" applyNumberFormat="1" applyFont="1" applyBorder="1" applyAlignment="1">
      <alignment vertical="center"/>
    </xf>
    <xf numFmtId="38" fontId="27" fillId="6" borderId="24" xfId="4" applyNumberFormat="1" applyFont="1" applyFill="1" applyBorder="1" applyAlignment="1">
      <alignment vertical="center"/>
    </xf>
    <xf numFmtId="166" fontId="27" fillId="0" borderId="24" xfId="35" applyNumberFormat="1" applyFont="1" applyBorder="1" applyAlignment="1">
      <alignment vertical="center"/>
    </xf>
    <xf numFmtId="38" fontId="54" fillId="2" borderId="24" xfId="4" applyNumberFormat="1" applyFont="1" applyFill="1" applyBorder="1" applyAlignment="1">
      <alignment vertical="center"/>
    </xf>
    <xf numFmtId="38" fontId="54" fillId="0" borderId="24" xfId="4" applyNumberFormat="1" applyFont="1" applyBorder="1" applyAlignment="1">
      <alignment vertical="center"/>
    </xf>
    <xf numFmtId="166" fontId="54" fillId="0" borderId="24" xfId="35" applyNumberFormat="1" applyFont="1" applyBorder="1" applyAlignment="1">
      <alignment vertical="center"/>
    </xf>
    <xf numFmtId="166" fontId="27" fillId="2" borderId="24" xfId="35" applyNumberFormat="1" applyFont="1" applyFill="1" applyBorder="1" applyAlignment="1">
      <alignment vertical="center"/>
    </xf>
    <xf numFmtId="0" fontId="25" fillId="0" borderId="24" xfId="32" applyFont="1" applyBorder="1"/>
    <xf numFmtId="38" fontId="27" fillId="0" borderId="24" xfId="4" applyNumberFormat="1" applyFont="1" applyFill="1" applyBorder="1" applyAlignment="1">
      <alignment vertical="center"/>
    </xf>
    <xf numFmtId="0" fontId="25" fillId="0" borderId="24" xfId="32" applyFont="1" applyBorder="1" applyAlignment="1">
      <alignment horizontal="left" indent="3"/>
    </xf>
    <xf numFmtId="40" fontId="27" fillId="11" borderId="24" xfId="4" applyFont="1" applyFill="1" applyBorder="1"/>
    <xf numFmtId="40" fontId="27" fillId="0" borderId="24" xfId="4" applyFont="1" applyBorder="1"/>
    <xf numFmtId="0" fontId="53" fillId="0" borderId="24" xfId="32" applyFont="1" applyBorder="1"/>
    <xf numFmtId="38" fontId="27" fillId="2" borderId="25" xfId="4" applyNumberFormat="1" applyFont="1" applyFill="1" applyBorder="1" applyAlignment="1">
      <alignment vertical="center"/>
    </xf>
    <xf numFmtId="38" fontId="27" fillId="0" borderId="25" xfId="4" applyNumberFormat="1" applyFont="1" applyBorder="1" applyAlignment="1">
      <alignment vertical="center"/>
    </xf>
    <xf numFmtId="166" fontId="27" fillId="0" borderId="25" xfId="35" applyNumberFormat="1" applyFont="1" applyBorder="1" applyAlignment="1">
      <alignment vertical="center"/>
    </xf>
    <xf numFmtId="38" fontId="27" fillId="2" borderId="26" xfId="4" applyNumberFormat="1" applyFont="1" applyFill="1" applyBorder="1" applyAlignment="1">
      <alignment vertical="center"/>
    </xf>
    <xf numFmtId="38" fontId="27" fillId="0" borderId="26" xfId="4" applyNumberFormat="1" applyFont="1" applyBorder="1"/>
    <xf numFmtId="166" fontId="27" fillId="2" borderId="26" xfId="35" applyNumberFormat="1" applyFont="1" applyFill="1" applyBorder="1" applyAlignment="1">
      <alignment vertical="center"/>
    </xf>
    <xf numFmtId="38" fontId="27" fillId="2" borderId="27" xfId="4" applyNumberFormat="1" applyFont="1" applyFill="1" applyBorder="1" applyAlignment="1">
      <alignment vertical="center"/>
    </xf>
    <xf numFmtId="166" fontId="27" fillId="2" borderId="27" xfId="35" applyNumberFormat="1" applyFont="1" applyFill="1" applyBorder="1" applyAlignment="1">
      <alignment vertical="center"/>
    </xf>
    <xf numFmtId="166" fontId="27" fillId="2" borderId="28" xfId="35" applyNumberFormat="1" applyFont="1" applyFill="1" applyBorder="1" applyAlignment="1">
      <alignment vertical="center"/>
    </xf>
    <xf numFmtId="166" fontId="27" fillId="0" borderId="28" xfId="35" applyNumberFormat="1" applyFont="1" applyFill="1" applyBorder="1" applyAlignment="1">
      <alignment vertical="center"/>
    </xf>
    <xf numFmtId="40" fontId="27" fillId="2" borderId="29" xfId="4" applyFont="1" applyFill="1" applyBorder="1" applyAlignment="1">
      <alignment horizontal="left" vertical="center" indent="3"/>
    </xf>
    <xf numFmtId="38" fontId="27" fillId="12" borderId="24" xfId="4" applyNumberFormat="1" applyFont="1" applyFill="1" applyBorder="1" applyAlignment="1">
      <alignment vertical="center"/>
    </xf>
    <xf numFmtId="40" fontId="26" fillId="2" borderId="21" xfId="4" applyFont="1" applyFill="1" applyBorder="1" applyAlignment="1">
      <alignment horizontal="left" vertical="center" indent="1"/>
    </xf>
    <xf numFmtId="40" fontId="28" fillId="2" borderId="20" xfId="4" applyFont="1" applyFill="1" applyBorder="1" applyAlignment="1">
      <alignment horizontal="left" vertical="center" indent="1"/>
    </xf>
    <xf numFmtId="40" fontId="27" fillId="2" borderId="30" xfId="4" applyFont="1" applyFill="1" applyBorder="1" applyAlignment="1"/>
    <xf numFmtId="0" fontId="53" fillId="2" borderId="31" xfId="32" applyFont="1" applyFill="1" applyBorder="1" applyAlignment="1"/>
    <xf numFmtId="0" fontId="56" fillId="2" borderId="32" xfId="4" applyNumberFormat="1" applyFont="1" applyFill="1" applyBorder="1" applyAlignment="1">
      <alignment horizontal="center" vertical="top"/>
    </xf>
    <xf numFmtId="0" fontId="57" fillId="2" borderId="33" xfId="20" applyFont="1" applyFill="1" applyBorder="1">
      <alignment horizontal="centerContinuous" vertical="top"/>
    </xf>
    <xf numFmtId="17" fontId="27" fillId="2" borderId="32" xfId="4" applyNumberFormat="1" applyFont="1" applyFill="1" applyBorder="1" applyAlignment="1">
      <alignment horizontal="left" vertical="top"/>
    </xf>
    <xf numFmtId="40" fontId="27" fillId="0" borderId="34" xfId="4" applyFont="1" applyBorder="1"/>
    <xf numFmtId="0" fontId="53" fillId="2" borderId="35" xfId="32" applyFont="1" applyFill="1" applyBorder="1" applyAlignment="1"/>
    <xf numFmtId="0" fontId="57" fillId="2" borderId="36" xfId="20" applyFont="1" applyFill="1" applyBorder="1">
      <alignment horizontal="centerContinuous" vertical="top"/>
    </xf>
    <xf numFmtId="40" fontId="27" fillId="2" borderId="31" xfId="4" applyFont="1" applyFill="1" applyBorder="1" applyAlignment="1"/>
    <xf numFmtId="0" fontId="56" fillId="2" borderId="33" xfId="4" applyNumberFormat="1" applyFont="1" applyFill="1" applyBorder="1" applyAlignment="1">
      <alignment horizontal="center" vertical="top"/>
    </xf>
    <xf numFmtId="17" fontId="26" fillId="2" borderId="32" xfId="4" applyNumberFormat="1" applyFont="1" applyFill="1" applyBorder="1" applyAlignment="1">
      <alignment horizontal="center" vertical="top"/>
    </xf>
    <xf numFmtId="17" fontId="26" fillId="2" borderId="33" xfId="4" applyNumberFormat="1" applyFont="1" applyFill="1" applyBorder="1" applyAlignment="1">
      <alignment horizontal="center" vertical="top"/>
    </xf>
    <xf numFmtId="40" fontId="27" fillId="0" borderId="37" xfId="4" applyFont="1" applyBorder="1"/>
    <xf numFmtId="40" fontId="27" fillId="2" borderId="35" xfId="4" applyFont="1" applyFill="1" applyBorder="1" applyAlignment="1"/>
    <xf numFmtId="0" fontId="56" fillId="2" borderId="36" xfId="4" applyNumberFormat="1" applyFont="1" applyFill="1" applyBorder="1" applyAlignment="1">
      <alignment horizontal="center" vertical="top"/>
    </xf>
    <xf numFmtId="17" fontId="26" fillId="2" borderId="36" xfId="4" applyNumberFormat="1" applyFont="1" applyFill="1" applyBorder="1" applyAlignment="1">
      <alignment horizontal="center" vertical="top"/>
    </xf>
    <xf numFmtId="40" fontId="27" fillId="0" borderId="38" xfId="4" applyFont="1" applyBorder="1"/>
    <xf numFmtId="40" fontId="27" fillId="2" borderId="30" xfId="4" applyFont="1" applyFill="1" applyBorder="1" applyAlignment="1">
      <alignment horizontal="center"/>
    </xf>
    <xf numFmtId="40" fontId="27" fillId="0" borderId="30" xfId="4" applyFont="1" applyBorder="1"/>
    <xf numFmtId="40" fontId="26" fillId="5" borderId="39" xfId="4" applyFont="1" applyFill="1" applyBorder="1" applyAlignment="1">
      <alignment horizontal="left" vertical="top" indent="1"/>
    </xf>
    <xf numFmtId="40" fontId="26" fillId="2" borderId="3" xfId="4" applyFont="1" applyFill="1" applyBorder="1" applyAlignment="1">
      <alignment horizontal="left" vertical="center" indent="1"/>
    </xf>
    <xf numFmtId="40" fontId="26" fillId="5" borderId="28" xfId="4" applyFont="1" applyFill="1" applyBorder="1" applyAlignment="1">
      <alignment horizontal="left" vertical="top" indent="1"/>
    </xf>
    <xf numFmtId="40" fontId="26" fillId="5" borderId="40" xfId="4" applyFont="1" applyFill="1" applyBorder="1" applyAlignment="1">
      <alignment horizontal="left" vertical="top" indent="1"/>
    </xf>
    <xf numFmtId="40" fontId="26" fillId="0" borderId="40" xfId="4" applyFont="1" applyFill="1" applyBorder="1" applyAlignment="1">
      <alignment horizontal="left" vertical="top" indent="1"/>
    </xf>
    <xf numFmtId="38" fontId="26" fillId="0" borderId="41" xfId="4" applyNumberFormat="1" applyFont="1" applyBorder="1" applyAlignment="1">
      <alignment vertical="center"/>
    </xf>
    <xf numFmtId="38" fontId="26" fillId="0" borderId="42" xfId="4" applyNumberFormat="1" applyFont="1" applyBorder="1" applyAlignment="1">
      <alignment vertical="center"/>
    </xf>
    <xf numFmtId="166" fontId="26" fillId="0" borderId="42" xfId="35" applyNumberFormat="1" applyFont="1" applyBorder="1" applyAlignment="1">
      <alignment vertical="center"/>
    </xf>
    <xf numFmtId="166" fontId="26" fillId="0" borderId="41" xfId="35" applyNumberFormat="1" applyFont="1" applyBorder="1" applyAlignment="1">
      <alignment vertical="center"/>
    </xf>
    <xf numFmtId="40" fontId="27" fillId="2" borderId="43" xfId="4" applyFont="1" applyFill="1" applyBorder="1" applyAlignment="1">
      <alignment horizontal="left" vertical="center" indent="3"/>
    </xf>
    <xf numFmtId="40" fontId="27" fillId="2" borderId="44" xfId="4" applyFont="1" applyFill="1" applyBorder="1" applyAlignment="1">
      <alignment horizontal="left" vertical="center" indent="3"/>
    </xf>
    <xf numFmtId="38" fontId="27" fillId="2" borderId="45" xfId="4" applyNumberFormat="1" applyFont="1" applyFill="1" applyBorder="1" applyAlignment="1">
      <alignment vertical="center"/>
    </xf>
    <xf numFmtId="38" fontId="27" fillId="0" borderId="45" xfId="4" applyNumberFormat="1" applyFont="1" applyBorder="1" applyAlignment="1">
      <alignment vertical="center"/>
    </xf>
    <xf numFmtId="166" fontId="27" fillId="0" borderId="45" xfId="35" applyNumberFormat="1" applyFont="1" applyBorder="1" applyAlignment="1">
      <alignment vertical="center"/>
    </xf>
    <xf numFmtId="38" fontId="26" fillId="0" borderId="41" xfId="4" applyNumberFormat="1" applyFont="1" applyFill="1" applyBorder="1" applyAlignment="1">
      <alignment vertical="center"/>
    </xf>
    <xf numFmtId="38" fontId="26" fillId="0" borderId="46" xfId="4" applyNumberFormat="1" applyFont="1" applyFill="1" applyBorder="1" applyAlignment="1">
      <alignment vertical="center"/>
    </xf>
    <xf numFmtId="38" fontId="26" fillId="0" borderId="28" xfId="4" applyNumberFormat="1" applyFont="1" applyFill="1" applyBorder="1" applyAlignment="1">
      <alignment vertical="center"/>
    </xf>
    <xf numFmtId="164" fontId="26" fillId="0" borderId="0" xfId="31" applyNumberFormat="1" applyFont="1"/>
    <xf numFmtId="0" fontId="22" fillId="0" borderId="0" xfId="31" applyFont="1"/>
    <xf numFmtId="165" fontId="26" fillId="0" borderId="0" xfId="7" applyNumberFormat="1" applyFont="1"/>
    <xf numFmtId="38" fontId="26" fillId="0" borderId="0" xfId="4" applyNumberFormat="1" applyFont="1"/>
    <xf numFmtId="0" fontId="0" fillId="0" borderId="0" xfId="33" applyFont="1" applyFill="1" applyBorder="1" applyAlignment="1"/>
    <xf numFmtId="165" fontId="0" fillId="0" borderId="0" xfId="8" applyNumberFormat="1" applyFont="1" applyFill="1" applyBorder="1" applyAlignment="1"/>
    <xf numFmtId="164" fontId="0" fillId="0" borderId="0" xfId="11" applyNumberFormat="1" applyFont="1" applyFill="1" applyBorder="1" applyAlignment="1"/>
    <xf numFmtId="38" fontId="0" fillId="0" borderId="0" xfId="4" applyNumberFormat="1" applyFont="1" applyFill="1" applyBorder="1" applyAlignment="1"/>
    <xf numFmtId="38" fontId="54" fillId="0" borderId="0" xfId="4" applyNumberFormat="1" applyFont="1" applyFill="1" applyBorder="1" applyAlignment="1">
      <alignment vertical="center"/>
    </xf>
    <xf numFmtId="166" fontId="27" fillId="0" borderId="0" xfId="35" applyNumberFormat="1" applyFont="1" applyBorder="1" applyAlignment="1">
      <alignment vertical="center"/>
    </xf>
    <xf numFmtId="0" fontId="0" fillId="0" borderId="0" xfId="0" applyFill="1" applyBorder="1" applyAlignment="1"/>
    <xf numFmtId="0" fontId="45" fillId="0" borderId="0" xfId="0" applyFont="1" applyFill="1" applyBorder="1" applyAlignment="1">
      <alignment horizontal="center"/>
    </xf>
    <xf numFmtId="0" fontId="0" fillId="0" borderId="0" xfId="0" applyBorder="1"/>
    <xf numFmtId="0" fontId="44" fillId="0" borderId="0" xfId="0" applyFont="1" applyFill="1" applyBorder="1" applyAlignment="1">
      <alignment horizontal="left"/>
    </xf>
    <xf numFmtId="0" fontId="27" fillId="0" borderId="0" xfId="31" applyFont="1" applyBorder="1"/>
    <xf numFmtId="0" fontId="29" fillId="0" borderId="0" xfId="0" applyFont="1" applyBorder="1"/>
    <xf numFmtId="38" fontId="27" fillId="0" borderId="0" xfId="4" applyNumberFormat="1"/>
    <xf numFmtId="0" fontId="21" fillId="0" borderId="0" xfId="31" applyFont="1"/>
    <xf numFmtId="0" fontId="23" fillId="0" borderId="0" xfId="31" applyFont="1"/>
    <xf numFmtId="0" fontId="3" fillId="0" borderId="0" xfId="31" applyFont="1" applyAlignment="1">
      <alignment horizontal="left" indent="2"/>
    </xf>
    <xf numFmtId="0" fontId="27" fillId="0" borderId="0" xfId="31" applyFont="1" applyAlignment="1">
      <alignment horizontal="left" indent="2"/>
    </xf>
    <xf numFmtId="5" fontId="27" fillId="0" borderId="0" xfId="11" applyNumberFormat="1" applyFont="1"/>
    <xf numFmtId="164" fontId="28" fillId="0" borderId="0" xfId="11" applyNumberFormat="1" applyFont="1" applyAlignment="1">
      <alignment horizontal="center"/>
    </xf>
    <xf numFmtId="6" fontId="54" fillId="0" borderId="0" xfId="4" applyNumberFormat="1" applyFont="1" applyFill="1" applyBorder="1" applyAlignment="1">
      <alignment vertical="center"/>
    </xf>
    <xf numFmtId="190" fontId="25" fillId="0" borderId="0" xfId="32" applyNumberFormat="1" applyFont="1"/>
    <xf numFmtId="40" fontId="56" fillId="0" borderId="0" xfId="4" applyFont="1" applyFill="1" applyBorder="1" applyAlignment="1">
      <alignment horizontal="left" vertical="top" indent="1"/>
    </xf>
    <xf numFmtId="166" fontId="56" fillId="0" borderId="0" xfId="35" applyNumberFormat="1" applyFont="1" applyFill="1" applyBorder="1" applyAlignment="1">
      <alignment horizontal="left" vertical="top" indent="1"/>
    </xf>
    <xf numFmtId="0" fontId="20" fillId="6" borderId="47" xfId="31" applyFont="1" applyFill="1" applyBorder="1" applyAlignment="1">
      <alignment horizontal="center"/>
    </xf>
    <xf numFmtId="0" fontId="20" fillId="6" borderId="4" xfId="31" applyFont="1" applyFill="1" applyBorder="1" applyAlignment="1">
      <alignment horizontal="center"/>
    </xf>
    <xf numFmtId="0" fontId="20" fillId="6" borderId="48" xfId="31" applyFont="1" applyFill="1" applyBorder="1" applyAlignment="1">
      <alignment horizontal="center"/>
    </xf>
    <xf numFmtId="0" fontId="26" fillId="6" borderId="0" xfId="31" applyFont="1" applyFill="1" applyAlignment="1">
      <alignment horizontal="center"/>
    </xf>
    <xf numFmtId="40" fontId="59" fillId="4" borderId="0" xfId="4" applyFont="1" applyFill="1" applyBorder="1" applyAlignment="1">
      <alignment horizontal="left" vertical="center" indent="1"/>
    </xf>
    <xf numFmtId="0" fontId="59" fillId="0" borderId="11" xfId="0" applyFont="1" applyBorder="1" applyAlignment="1"/>
    <xf numFmtId="0" fontId="52" fillId="6" borderId="0" xfId="2" applyFont="1" applyFill="1" applyAlignment="1">
      <alignment horizontal="right" vertical="center"/>
    </xf>
    <xf numFmtId="0" fontId="49" fillId="6" borderId="0" xfId="28" applyFont="1" applyAlignment="1">
      <alignment horizontal="left" wrapText="1" indent="1"/>
    </xf>
    <xf numFmtId="0" fontId="51" fillId="6" borderId="0" xfId="29" applyFont="1" applyAlignment="1">
      <alignment horizontal="left" wrapText="1" indent="1"/>
    </xf>
    <xf numFmtId="0" fontId="35" fillId="12" borderId="49" xfId="31" applyFont="1" applyFill="1" applyBorder="1" applyAlignment="1">
      <alignment horizontal="center" wrapText="1"/>
    </xf>
    <xf numFmtId="0" fontId="35" fillId="12" borderId="50" xfId="31" applyFont="1" applyFill="1" applyBorder="1" applyAlignment="1">
      <alignment horizontal="center" wrapText="1"/>
    </xf>
    <xf numFmtId="0" fontId="35" fillId="12" borderId="51" xfId="31" applyFont="1" applyFill="1" applyBorder="1" applyAlignment="1">
      <alignment horizontal="center" wrapText="1"/>
    </xf>
    <xf numFmtId="0" fontId="26" fillId="6" borderId="47" xfId="31" applyFont="1" applyFill="1" applyBorder="1" applyAlignment="1">
      <alignment horizontal="center" wrapText="1"/>
    </xf>
    <xf numFmtId="0" fontId="0" fillId="6" borderId="4" xfId="0" applyFill="1" applyBorder="1" applyAlignment="1">
      <alignment horizontal="center" wrapText="1"/>
    </xf>
  </cellXfs>
  <cellStyles count="40">
    <cellStyle name="amount" xfId="1"/>
    <cellStyle name="Body text" xfId="2"/>
    <cellStyle name="Column Headings" xfId="3"/>
    <cellStyle name="Comma" xfId="4" builtinId="3"/>
    <cellStyle name="Comma [0],Westgate" xfId="5"/>
    <cellStyle name="Comma, Westgate" xfId="6"/>
    <cellStyle name="Comma_CB Macmora Condos" xfId="7"/>
    <cellStyle name="Comma_Lot Cost Estimate" xfId="8"/>
    <cellStyle name="Comma_westgate" xfId="9"/>
    <cellStyle name="Comma0" xfId="10"/>
    <cellStyle name="Currency" xfId="11" builtinId="4"/>
    <cellStyle name="Currency_Lot Cost Estimate" xfId="12"/>
    <cellStyle name="Currency0" xfId="13"/>
    <cellStyle name="Date" xfId="14"/>
    <cellStyle name="Fixed" xfId="15"/>
    <cellStyle name="header" xfId="16"/>
    <cellStyle name="Header Total" xfId="17"/>
    <cellStyle name="Header1" xfId="18"/>
    <cellStyle name="Header2" xfId="19"/>
    <cellStyle name="Header3" xfId="20"/>
    <cellStyle name="Header4" xfId="21"/>
    <cellStyle name="HEADING" xfId="22"/>
    <cellStyle name="Heading 1" xfId="23" builtinId="16" customBuiltin="1"/>
    <cellStyle name="Heading 2" xfId="24" builtinId="17" customBuiltin="1"/>
    <cellStyle name="HEADING2" xfId="25"/>
    <cellStyle name="NonPrint_Heading" xfId="26"/>
    <cellStyle name="NonPrint_Hyperlink" xfId="27"/>
    <cellStyle name="NonPrint_TemTitle" xfId="28"/>
    <cellStyle name="NonPrint_Text" xfId="29"/>
    <cellStyle name="Normal" xfId="0" builtinId="0"/>
    <cellStyle name="Normal 2" xfId="30"/>
    <cellStyle name="Normal_CB Macmora Condos" xfId="31"/>
    <cellStyle name="Normal_FAB Cash Flow-Frog Pond" xfId="32"/>
    <cellStyle name="Normal_Lot Cost Estimate" xfId="33"/>
    <cellStyle name="Normal_Westgate_Proforma.xls" xfId="34"/>
    <cellStyle name="Percent" xfId="35" builtinId="5"/>
    <cellStyle name="Product Title" xfId="36"/>
    <cellStyle name="Text" xfId="37"/>
    <cellStyle name="Title" xfId="38" builtinId="15" customBuiltin="1"/>
    <cellStyle name="Total" xfId="39"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y%20Documents/CREEKSIDE/Macmora%20Condos/CB%20Macmora%20Condo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Summary"/>
      <sheetName val="A&amp;D Costs"/>
      <sheetName val="Unit Summary"/>
      <sheetName val="Unit Cost A"/>
      <sheetName val="Unit Cost B"/>
      <sheetName val="Unit Cost  C"/>
      <sheetName val="Unit Cost D"/>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msbp://-r:276DB11B/"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O66"/>
  <sheetViews>
    <sheetView workbookViewId="0">
      <selection activeCell="C5" sqref="C5"/>
    </sheetView>
  </sheetViews>
  <sheetFormatPr defaultRowHeight="12"/>
  <cols>
    <col min="1" max="1" width="35.7109375" customWidth="1"/>
    <col min="2" max="2" width="17.7109375" customWidth="1"/>
  </cols>
  <sheetData>
    <row r="4" spans="1:5" ht="12.75">
      <c r="A4" t="s">
        <v>202</v>
      </c>
      <c r="B4" s="10" t="s">
        <v>185</v>
      </c>
      <c r="C4" s="11">
        <v>1.2</v>
      </c>
    </row>
    <row r="5" spans="1:5" ht="12.75">
      <c r="A5" t="s">
        <v>99</v>
      </c>
      <c r="B5" t="s">
        <v>203</v>
      </c>
      <c r="C5" s="11">
        <v>6</v>
      </c>
      <c r="D5" t="s">
        <v>10</v>
      </c>
    </row>
    <row r="6" spans="1:5" ht="12.75">
      <c r="A6" t="s">
        <v>205</v>
      </c>
      <c r="B6" t="s">
        <v>204</v>
      </c>
      <c r="C6" s="30">
        <f>+'1463 IntCt-1Sty'!J15/'1463 IntCt-1Sty'!J14</f>
        <v>10.566037735849056</v>
      </c>
      <c r="D6" t="s">
        <v>208</v>
      </c>
    </row>
    <row r="7" spans="1:5" ht="12.75">
      <c r="A7" t="s">
        <v>206</v>
      </c>
      <c r="B7" t="s">
        <v>207</v>
      </c>
      <c r="C7" s="29">
        <f>+'Unit Summary'!F14</f>
        <v>96</v>
      </c>
    </row>
    <row r="8" spans="1:5">
      <c r="A8" s="50" t="s">
        <v>242</v>
      </c>
    </row>
    <row r="9" spans="1:5">
      <c r="A9" s="51" t="s">
        <v>243</v>
      </c>
      <c r="B9" t="s">
        <v>245</v>
      </c>
      <c r="C9">
        <v>0.01</v>
      </c>
    </row>
    <row r="10" spans="1:5">
      <c r="A10" s="51" t="s">
        <v>244</v>
      </c>
      <c r="B10" t="s">
        <v>246</v>
      </c>
      <c r="C10">
        <f>0.11/12</f>
        <v>9.1666666666666667E-3</v>
      </c>
      <c r="D10" t="s">
        <v>358</v>
      </c>
    </row>
    <row r="11" spans="1:5">
      <c r="A11" s="51" t="s">
        <v>247</v>
      </c>
      <c r="B11" t="s">
        <v>248</v>
      </c>
      <c r="C11">
        <v>0.7</v>
      </c>
    </row>
    <row r="12" spans="1:5">
      <c r="A12" s="51" t="s">
        <v>334</v>
      </c>
      <c r="B12" t="s">
        <v>335</v>
      </c>
    </row>
    <row r="13" spans="1:5">
      <c r="A13" s="51" t="s">
        <v>252</v>
      </c>
      <c r="B13" t="s">
        <v>253</v>
      </c>
      <c r="C13">
        <v>0.8</v>
      </c>
      <c r="E13" s="71"/>
    </row>
    <row r="14" spans="1:5">
      <c r="A14" s="51" t="s">
        <v>259</v>
      </c>
      <c r="B14" t="s">
        <v>260</v>
      </c>
      <c r="C14">
        <v>0.7</v>
      </c>
    </row>
    <row r="15" spans="1:5">
      <c r="A15" s="51"/>
    </row>
    <row r="16" spans="1:5">
      <c r="A16" s="51" t="s">
        <v>337</v>
      </c>
      <c r="B16" t="s">
        <v>338</v>
      </c>
      <c r="C16" s="72">
        <f>+'A&amp;D Costs'!D9</f>
        <v>680000</v>
      </c>
    </row>
    <row r="17" spans="1:17">
      <c r="A17" s="50" t="s">
        <v>237</v>
      </c>
    </row>
    <row r="18" spans="1:17">
      <c r="A18" t="s">
        <v>102</v>
      </c>
      <c r="B18" t="s">
        <v>254</v>
      </c>
      <c r="C18" s="33">
        <f>+'Unit Summary'!M$14</f>
        <v>127290</v>
      </c>
    </row>
    <row r="19" spans="1:17">
      <c r="A19" t="s">
        <v>238</v>
      </c>
      <c r="B19" t="s">
        <v>255</v>
      </c>
      <c r="C19" s="33">
        <f>+'Unit Summary'!N$14</f>
        <v>172373.15</v>
      </c>
    </row>
    <row r="20" spans="1:17">
      <c r="A20" t="s">
        <v>362</v>
      </c>
      <c r="B20" t="s">
        <v>363</v>
      </c>
      <c r="C20" s="33">
        <v>33</v>
      </c>
    </row>
    <row r="21" spans="1:17">
      <c r="C21" s="33"/>
    </row>
    <row r="22" spans="1:17">
      <c r="C22" s="33"/>
    </row>
    <row r="23" spans="1:17">
      <c r="C23" s="33"/>
    </row>
    <row r="24" spans="1:17">
      <c r="P24">
        <v>4</v>
      </c>
      <c r="Q24">
        <v>4</v>
      </c>
    </row>
    <row r="25" spans="1:17">
      <c r="A25" t="s">
        <v>250</v>
      </c>
      <c r="B25" t="s">
        <v>251</v>
      </c>
      <c r="C25">
        <v>0.5</v>
      </c>
    </row>
    <row r="26" spans="1:17">
      <c r="A26" t="s">
        <v>256</v>
      </c>
      <c r="B26" t="s">
        <v>257</v>
      </c>
      <c r="C26">
        <v>0.05</v>
      </c>
    </row>
    <row r="27" spans="1:17">
      <c r="A27" t="s">
        <v>50</v>
      </c>
      <c r="B27" t="s">
        <v>258</v>
      </c>
      <c r="C27">
        <v>1.2500000000000001E-2</v>
      </c>
    </row>
    <row r="61" spans="2:41" ht="12.75" thickBot="1"/>
    <row r="62" spans="2:41" ht="12.75" thickBot="1">
      <c r="B62" s="174"/>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7"/>
      <c r="AC62" s="177"/>
      <c r="AD62" s="177"/>
      <c r="AE62" s="177"/>
      <c r="AF62" s="177"/>
      <c r="AG62" s="177"/>
      <c r="AH62" s="177"/>
      <c r="AI62" s="177"/>
      <c r="AJ62" s="177"/>
      <c r="AK62" s="177"/>
      <c r="AL62" s="177"/>
      <c r="AM62" s="177"/>
      <c r="AN62" s="177"/>
      <c r="AO62" s="177"/>
    </row>
    <row r="63" spans="2:41">
      <c r="B63" s="175"/>
      <c r="C63" s="175"/>
      <c r="D63" s="175"/>
      <c r="E63" s="175"/>
      <c r="F63" s="175"/>
      <c r="G63" s="175"/>
      <c r="H63" s="175"/>
      <c r="I63" s="17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row>
    <row r="64" spans="2:41">
      <c r="B64" s="175"/>
      <c r="C64" s="175"/>
      <c r="D64" s="175"/>
      <c r="E64" s="175"/>
      <c r="F64" s="175"/>
      <c r="G64" s="175"/>
      <c r="H64" s="175"/>
      <c r="I64" s="17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row>
    <row r="65" spans="2:41" ht="12.75" thickBot="1">
      <c r="B65" s="175"/>
      <c r="C65" s="175"/>
      <c r="D65" s="175"/>
      <c r="E65" s="175"/>
      <c r="F65" s="175"/>
      <c r="G65" s="175"/>
      <c r="H65" s="175"/>
      <c r="I65" s="17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row>
    <row r="66" spans="2:41" ht="12.75" thickBot="1">
      <c r="B66" s="176"/>
      <c r="C66" s="174"/>
      <c r="D66" s="174"/>
      <c r="E66" s="174"/>
      <c r="F66" s="174"/>
      <c r="G66" s="174"/>
      <c r="H66" s="174"/>
      <c r="I66" s="17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row>
  </sheetData>
  <phoneticPr fontId="31" type="noConversion"/>
  <pageMargins left="0.75" right="0.75" top="1" bottom="1" header="0.5" footer="0.5"/>
  <pageSetup orientation="portrait" horizontalDpi="4294967292"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M142"/>
  <sheetViews>
    <sheetView topLeftCell="A5" zoomScaleNormal="100" workbookViewId="0">
      <selection activeCell="F47" activeCellId="1" sqref="B36 F47:F50"/>
    </sheetView>
  </sheetViews>
  <sheetFormatPr defaultColWidth="10.5703125" defaultRowHeight="12.75"/>
  <cols>
    <col min="1" max="1" width="16.5703125" style="3" customWidth="1"/>
    <col min="2" max="2" width="10.42578125" style="3" customWidth="1"/>
    <col min="3" max="3" width="5.85546875" style="3" customWidth="1"/>
    <col min="4" max="4" width="10.42578125" style="3" customWidth="1"/>
    <col min="5" max="5" width="8" style="3" bestFit="1" customWidth="1"/>
    <col min="6" max="6" width="8" style="3" customWidth="1"/>
    <col min="7" max="8" width="10.42578125" style="3" customWidth="1"/>
    <col min="9" max="9" width="20.85546875" style="3" customWidth="1"/>
    <col min="10" max="16384" width="10.5703125" style="3"/>
  </cols>
  <sheetData>
    <row r="1" spans="1:13" ht="13.5" customHeight="1" thickBot="1">
      <c r="A1" s="329" t="s">
        <v>378</v>
      </c>
      <c r="B1" s="330"/>
      <c r="C1" s="330"/>
      <c r="D1" s="330"/>
      <c r="E1" s="330"/>
      <c r="F1" s="330"/>
      <c r="G1" s="330"/>
      <c r="H1" s="330"/>
    </row>
    <row r="3" spans="1:13" ht="25.5">
      <c r="A3" s="151" t="s">
        <v>100</v>
      </c>
      <c r="B3" s="151" t="s">
        <v>84</v>
      </c>
      <c r="C3" s="151" t="s">
        <v>16</v>
      </c>
      <c r="D3" s="151" t="s">
        <v>82</v>
      </c>
      <c r="E3" s="151" t="s">
        <v>101</v>
      </c>
      <c r="F3" s="151" t="s">
        <v>13</v>
      </c>
      <c r="G3" s="151" t="s">
        <v>370</v>
      </c>
      <c r="H3" s="151" t="s">
        <v>13</v>
      </c>
      <c r="I3" s="151" t="s">
        <v>103</v>
      </c>
    </row>
    <row r="4" spans="1:13">
      <c r="A4" s="4"/>
      <c r="B4" s="4"/>
      <c r="C4" s="4"/>
      <c r="D4" s="9"/>
      <c r="E4" s="147"/>
      <c r="F4" s="147"/>
      <c r="G4" s="9"/>
      <c r="H4" s="9"/>
    </row>
    <row r="5" spans="1:13">
      <c r="A5" s="152" t="s">
        <v>88</v>
      </c>
      <c r="B5" s="149"/>
      <c r="C5" s="149"/>
      <c r="E5" s="149" t="s">
        <v>98</v>
      </c>
      <c r="F5" s="149"/>
      <c r="G5" s="149">
        <f>35*9</f>
        <v>315</v>
      </c>
      <c r="H5" s="149" t="s">
        <v>65</v>
      </c>
    </row>
    <row r="6" spans="1:13">
      <c r="A6" s="152" t="s">
        <v>89</v>
      </c>
      <c r="B6" s="149"/>
      <c r="C6" s="149"/>
      <c r="E6" s="149" t="s">
        <v>8</v>
      </c>
      <c r="F6" s="149"/>
      <c r="G6" s="149">
        <f>B7+B14</f>
        <v>1924</v>
      </c>
      <c r="H6" s="149" t="s">
        <v>65</v>
      </c>
    </row>
    <row r="7" spans="1:13">
      <c r="A7" s="149" t="s">
        <v>90</v>
      </c>
      <c r="B7" s="163">
        <v>1463</v>
      </c>
      <c r="C7" s="149" t="s">
        <v>65</v>
      </c>
      <c r="E7" s="152" t="s">
        <v>130</v>
      </c>
      <c r="F7" s="149"/>
      <c r="G7" s="149">
        <f>+G8+G9+G10</f>
        <v>178.5</v>
      </c>
      <c r="H7" s="149"/>
    </row>
    <row r="8" spans="1:13">
      <c r="A8" s="162" t="s">
        <v>91</v>
      </c>
      <c r="B8" s="164">
        <v>0</v>
      </c>
      <c r="C8" s="162" t="s">
        <v>65</v>
      </c>
      <c r="E8" s="155" t="s">
        <v>179</v>
      </c>
      <c r="F8" s="149"/>
      <c r="G8" s="149">
        <f>8*7</f>
        <v>56</v>
      </c>
      <c r="H8" s="149" t="s">
        <v>65</v>
      </c>
    </row>
    <row r="9" spans="1:13">
      <c r="A9" s="149" t="s">
        <v>92</v>
      </c>
      <c r="B9" s="163">
        <f>+B8+B7</f>
        <v>1463</v>
      </c>
      <c r="C9" s="149" t="s">
        <v>65</v>
      </c>
      <c r="E9" s="155" t="s">
        <v>360</v>
      </c>
      <c r="F9" s="149"/>
      <c r="G9" s="149">
        <v>0</v>
      </c>
      <c r="H9" s="149"/>
    </row>
    <row r="10" spans="1:13">
      <c r="A10" s="149"/>
      <c r="B10" s="163"/>
      <c r="C10" s="149"/>
      <c r="E10" s="155" t="s">
        <v>180</v>
      </c>
      <c r="F10" s="149"/>
      <c r="G10" s="149">
        <f>3.5*(25+10)</f>
        <v>122.5</v>
      </c>
      <c r="H10" s="149"/>
    </row>
    <row r="11" spans="1:13">
      <c r="A11" s="152" t="s">
        <v>93</v>
      </c>
      <c r="B11" s="163"/>
      <c r="C11" s="149"/>
      <c r="E11" s="149" t="s">
        <v>181</v>
      </c>
      <c r="F11" s="149"/>
      <c r="G11" s="149">
        <f>25*18</f>
        <v>450</v>
      </c>
      <c r="H11" s="149"/>
    </row>
    <row r="12" spans="1:13">
      <c r="A12" s="149" t="s">
        <v>94</v>
      </c>
      <c r="B12" s="163">
        <v>411</v>
      </c>
      <c r="C12" s="149" t="s">
        <v>65</v>
      </c>
      <c r="E12" s="149" t="s">
        <v>1</v>
      </c>
      <c r="F12" s="149"/>
      <c r="G12" s="149">
        <v>9</v>
      </c>
      <c r="H12" s="149"/>
    </row>
    <row r="13" spans="1:13">
      <c r="A13" s="149" t="s">
        <v>95</v>
      </c>
      <c r="B13" s="163">
        <f>10*5</f>
        <v>50</v>
      </c>
      <c r="C13" s="149" t="s">
        <v>65</v>
      </c>
      <c r="E13" s="149" t="s">
        <v>361</v>
      </c>
      <c r="F13" s="149"/>
      <c r="G13" s="149">
        <v>6</v>
      </c>
      <c r="H13" s="149"/>
    </row>
    <row r="14" spans="1:13">
      <c r="A14" s="153" t="s">
        <v>96</v>
      </c>
      <c r="B14" s="165">
        <f>+B13+B12</f>
        <v>461</v>
      </c>
      <c r="C14" s="153" t="s">
        <v>65</v>
      </c>
      <c r="E14" s="149" t="s">
        <v>138</v>
      </c>
      <c r="F14" s="149"/>
      <c r="G14" s="149">
        <v>9</v>
      </c>
      <c r="H14" s="149"/>
      <c r="J14" s="3">
        <f>3+5/16</f>
        <v>3.3125</v>
      </c>
      <c r="K14" s="3">
        <f>1+7/8</f>
        <v>1.875</v>
      </c>
      <c r="L14" s="3">
        <v>2</v>
      </c>
      <c r="M14" s="3">
        <v>1</v>
      </c>
    </row>
    <row r="15" spans="1:13">
      <c r="A15" s="154" t="s">
        <v>97</v>
      </c>
      <c r="B15" s="166">
        <f>+B14+B9</f>
        <v>1924</v>
      </c>
      <c r="C15" s="154" t="s">
        <v>65</v>
      </c>
      <c r="E15" s="149" t="s">
        <v>187</v>
      </c>
      <c r="F15" s="149"/>
      <c r="G15" s="149">
        <f>ConstTime</f>
        <v>6</v>
      </c>
      <c r="H15" s="149" t="s">
        <v>10</v>
      </c>
      <c r="J15" s="3">
        <v>35</v>
      </c>
      <c r="K15" s="3">
        <f>+K14*Assumptions!C6</f>
        <v>19.811320754716981</v>
      </c>
      <c r="L15" s="3">
        <f>+L14*Assumptions!$C6</f>
        <v>21.132075471698112</v>
      </c>
      <c r="M15" s="3">
        <f>+M14*Assumptions!$C6</f>
        <v>10.566037735849056</v>
      </c>
    </row>
    <row r="16" spans="1:13">
      <c r="A16" s="149"/>
      <c r="B16" s="149"/>
      <c r="C16" s="149"/>
      <c r="D16" s="149"/>
      <c r="E16" s="149"/>
      <c r="F16" s="149"/>
      <c r="G16" s="149"/>
      <c r="H16" s="149"/>
    </row>
    <row r="17" spans="1:11">
      <c r="A17" s="152" t="s">
        <v>59</v>
      </c>
      <c r="B17" s="149"/>
      <c r="C17" s="149"/>
      <c r="D17" s="149"/>
      <c r="E17" s="149"/>
      <c r="F17" s="149"/>
      <c r="G17" s="149"/>
      <c r="H17" s="149"/>
      <c r="K17" s="3">
        <f>+Assumptions!C6*J14</f>
        <v>35</v>
      </c>
    </row>
    <row r="18" spans="1:11">
      <c r="A18" s="149" t="s">
        <v>104</v>
      </c>
      <c r="B18" s="163">
        <v>0</v>
      </c>
      <c r="C18" s="149" t="s">
        <v>57</v>
      </c>
      <c r="D18" s="157">
        <v>350</v>
      </c>
      <c r="E18" s="161">
        <f>D18*B18</f>
        <v>0</v>
      </c>
      <c r="F18" s="160">
        <f>+E18/$B$9</f>
        <v>0</v>
      </c>
      <c r="G18" s="161">
        <f>+E18*AdjRate</f>
        <v>0</v>
      </c>
      <c r="H18" s="160">
        <f>+G18/$B$9</f>
        <v>0</v>
      </c>
    </row>
    <row r="19" spans="1:11">
      <c r="A19" s="149" t="s">
        <v>105</v>
      </c>
      <c r="B19" s="163">
        <f>+$G$6</f>
        <v>1924</v>
      </c>
      <c r="C19" s="149" t="s">
        <v>65</v>
      </c>
      <c r="D19" s="157">
        <v>0.15</v>
      </c>
      <c r="E19" s="161">
        <f>D19*B19</f>
        <v>288.59999999999997</v>
      </c>
      <c r="F19" s="160">
        <f>+E19/$B$9</f>
        <v>0.19726589200273409</v>
      </c>
      <c r="G19" s="161">
        <f>+E19*AdjRate</f>
        <v>346.31999999999994</v>
      </c>
      <c r="H19" s="160">
        <f>+G19/$B$9</f>
        <v>0.23671907040328088</v>
      </c>
    </row>
    <row r="20" spans="1:11">
      <c r="A20" s="149" t="s">
        <v>106</v>
      </c>
      <c r="B20" s="163">
        <v>0</v>
      </c>
      <c r="C20" s="149" t="s">
        <v>57</v>
      </c>
      <c r="D20" s="157">
        <v>350</v>
      </c>
      <c r="E20" s="161">
        <f>D20*B20</f>
        <v>0</v>
      </c>
      <c r="F20" s="160">
        <f>+E20/$B$9</f>
        <v>0</v>
      </c>
      <c r="G20" s="161">
        <f>+E20*AdjRate</f>
        <v>0</v>
      </c>
      <c r="H20" s="160">
        <f>+G20/$B$9</f>
        <v>0</v>
      </c>
    </row>
    <row r="21" spans="1:11">
      <c r="A21" s="149" t="s">
        <v>107</v>
      </c>
      <c r="B21" s="163">
        <v>1</v>
      </c>
      <c r="C21" s="149" t="s">
        <v>57</v>
      </c>
      <c r="D21" s="157">
        <v>0</v>
      </c>
      <c r="E21" s="161">
        <f t="shared" ref="E21:E78" si="0">D21*B21</f>
        <v>0</v>
      </c>
      <c r="F21" s="160">
        <f>+E21/$B$9</f>
        <v>0</v>
      </c>
      <c r="G21" s="161">
        <f>+E21*AdjRate</f>
        <v>0</v>
      </c>
      <c r="H21" s="160">
        <f>+G21/$B$9</f>
        <v>0</v>
      </c>
    </row>
    <row r="22" spans="1:11">
      <c r="A22" s="149"/>
      <c r="B22" s="163"/>
      <c r="C22" s="149"/>
      <c r="D22" s="157"/>
      <c r="E22" s="161"/>
      <c r="F22" s="160"/>
      <c r="G22" s="161"/>
      <c r="H22" s="160"/>
    </row>
    <row r="23" spans="1:11">
      <c r="A23" s="152" t="s">
        <v>108</v>
      </c>
      <c r="B23" s="163"/>
      <c r="C23" s="149"/>
      <c r="D23" s="157"/>
      <c r="E23" s="161"/>
      <c r="F23" s="160"/>
      <c r="G23" s="161"/>
      <c r="H23" s="160"/>
    </row>
    <row r="24" spans="1:11">
      <c r="A24" s="149" t="s">
        <v>109</v>
      </c>
      <c r="B24" s="163">
        <v>1</v>
      </c>
      <c r="C24" s="149" t="s">
        <v>57</v>
      </c>
      <c r="D24" s="157">
        <v>150</v>
      </c>
      <c r="E24" s="161">
        <f>D24*B24</f>
        <v>150</v>
      </c>
      <c r="F24" s="160">
        <f>+E24/$B$9</f>
        <v>0.10252904989747096</v>
      </c>
      <c r="G24" s="161">
        <f>+D24*B24*AdjRate</f>
        <v>180</v>
      </c>
      <c r="H24" s="160">
        <f>+G24/$B$9</f>
        <v>0.12303485987696514</v>
      </c>
    </row>
    <row r="25" spans="1:11">
      <c r="A25" s="149" t="s">
        <v>110</v>
      </c>
      <c r="B25" s="163">
        <v>1</v>
      </c>
      <c r="C25" s="149" t="s">
        <v>57</v>
      </c>
      <c r="D25" s="157">
        <v>100</v>
      </c>
      <c r="E25" s="161">
        <f>D25*B25</f>
        <v>100</v>
      </c>
      <c r="F25" s="160">
        <f>+E25/$B$9</f>
        <v>6.8352699931647304E-2</v>
      </c>
      <c r="G25" s="161">
        <f>+D25*B25*AdjRate</f>
        <v>120</v>
      </c>
      <c r="H25" s="160">
        <f>+G25/$B$9</f>
        <v>8.2023239917976762E-2</v>
      </c>
    </row>
    <row r="26" spans="1:11">
      <c r="A26" s="149" t="s">
        <v>111</v>
      </c>
      <c r="B26" s="163">
        <v>1</v>
      </c>
      <c r="C26" s="149" t="s">
        <v>57</v>
      </c>
      <c r="D26" s="157">
        <v>0</v>
      </c>
      <c r="E26" s="161">
        <f t="shared" si="0"/>
        <v>0</v>
      </c>
      <c r="F26" s="160">
        <f>+E26/$B$9</f>
        <v>0</v>
      </c>
      <c r="G26" s="161">
        <f>+E26*AdjRate</f>
        <v>0</v>
      </c>
      <c r="H26" s="160">
        <f>+G26/$B$9</f>
        <v>0</v>
      </c>
    </row>
    <row r="27" spans="1:11">
      <c r="A27" s="149"/>
      <c r="B27" s="163"/>
      <c r="C27" s="149"/>
      <c r="D27" s="157"/>
      <c r="E27" s="161"/>
      <c r="F27" s="160"/>
      <c r="G27" s="161"/>
      <c r="H27" s="160"/>
    </row>
    <row r="28" spans="1:11">
      <c r="A28" s="152" t="s">
        <v>113</v>
      </c>
      <c r="B28" s="163"/>
      <c r="C28" s="149"/>
      <c r="D28" s="157"/>
      <c r="E28" s="161"/>
      <c r="F28" s="160"/>
      <c r="G28" s="161"/>
      <c r="H28" s="160"/>
    </row>
    <row r="29" spans="1:11">
      <c r="A29" s="149" t="s">
        <v>6</v>
      </c>
      <c r="B29" s="163">
        <f>ConstTime</f>
        <v>6</v>
      </c>
      <c r="C29" s="149" t="s">
        <v>77</v>
      </c>
      <c r="D29" s="157">
        <f>56</f>
        <v>56</v>
      </c>
      <c r="E29" s="161">
        <f t="shared" si="0"/>
        <v>336</v>
      </c>
      <c r="F29" s="160">
        <f>+E29/$B$9</f>
        <v>0.22966507177033493</v>
      </c>
      <c r="G29" s="161">
        <f>+D29*B29*AdjRate</f>
        <v>403.2</v>
      </c>
      <c r="H29" s="160">
        <f>+G29/$B$9</f>
        <v>0.2755980861244019</v>
      </c>
    </row>
    <row r="30" spans="1:11">
      <c r="A30" s="149" t="s">
        <v>114</v>
      </c>
      <c r="B30" s="163">
        <v>1</v>
      </c>
      <c r="C30" s="149" t="s">
        <v>57</v>
      </c>
      <c r="D30" s="157">
        <v>500</v>
      </c>
      <c r="E30" s="161">
        <f t="shared" si="0"/>
        <v>500</v>
      </c>
      <c r="F30" s="160">
        <f>+E30/$B$9</f>
        <v>0.34176349965823649</v>
      </c>
      <c r="G30" s="161">
        <f>+E30*AdjRate</f>
        <v>600</v>
      </c>
      <c r="H30" s="160">
        <f>+G30/$B$9</f>
        <v>0.41011619958988382</v>
      </c>
    </row>
    <row r="31" spans="1:11">
      <c r="A31" s="149"/>
      <c r="B31" s="163"/>
      <c r="C31" s="149"/>
      <c r="D31" s="157"/>
      <c r="E31" s="161"/>
      <c r="F31" s="160"/>
      <c r="G31" s="161"/>
      <c r="H31" s="160"/>
    </row>
    <row r="32" spans="1:11">
      <c r="A32" s="152" t="s">
        <v>115</v>
      </c>
      <c r="B32" s="163"/>
      <c r="C32" s="149"/>
      <c r="D32" s="157"/>
      <c r="E32" s="161"/>
      <c r="F32" s="160"/>
      <c r="G32" s="161"/>
      <c r="H32" s="160"/>
    </row>
    <row r="33" spans="1:9">
      <c r="A33" s="149" t="s">
        <v>116</v>
      </c>
      <c r="B33" s="163">
        <f>ConstTime</f>
        <v>6</v>
      </c>
      <c r="C33" s="149" t="s">
        <v>77</v>
      </c>
      <c r="D33" s="157">
        <v>30</v>
      </c>
      <c r="E33" s="161">
        <f t="shared" si="0"/>
        <v>180</v>
      </c>
      <c r="F33" s="160">
        <f>+E33/$B$9</f>
        <v>0.12303485987696514</v>
      </c>
      <c r="G33" s="161">
        <f>+D33*B33*AdjRate</f>
        <v>216</v>
      </c>
      <c r="H33" s="160">
        <f>+G33/$B$9</f>
        <v>0.14764183185235816</v>
      </c>
      <c r="I33" s="3" t="s">
        <v>112</v>
      </c>
    </row>
    <row r="34" spans="1:9">
      <c r="A34" s="149" t="s">
        <v>117</v>
      </c>
      <c r="B34" s="163">
        <f>ConstTime</f>
        <v>6</v>
      </c>
      <c r="C34" s="149" t="s">
        <v>77</v>
      </c>
      <c r="D34" s="157">
        <v>30</v>
      </c>
      <c r="E34" s="161">
        <f t="shared" si="0"/>
        <v>180</v>
      </c>
      <c r="F34" s="160">
        <f>+E34/$B$9</f>
        <v>0.12303485987696514</v>
      </c>
      <c r="G34" s="161">
        <f>+D34*B34*AdjRate</f>
        <v>216</v>
      </c>
      <c r="H34" s="160">
        <f>+G34/$B$9</f>
        <v>0.14764183185235816</v>
      </c>
    </row>
    <row r="35" spans="1:9">
      <c r="A35" s="149" t="s">
        <v>118</v>
      </c>
      <c r="B35" s="163">
        <f>ConstTime</f>
        <v>6</v>
      </c>
      <c r="C35" s="149" t="s">
        <v>77</v>
      </c>
      <c r="D35" s="157">
        <f>85/2</f>
        <v>42.5</v>
      </c>
      <c r="E35" s="161">
        <f t="shared" si="0"/>
        <v>255</v>
      </c>
      <c r="F35" s="160">
        <f>+E35/$B$9</f>
        <v>0.17429938482570062</v>
      </c>
      <c r="G35" s="161">
        <f>+E35*AdjRate</f>
        <v>306</v>
      </c>
      <c r="H35" s="160">
        <f>+G35/$B$9</f>
        <v>0.20915926179084074</v>
      </c>
    </row>
    <row r="36" spans="1:9">
      <c r="A36" s="149"/>
      <c r="B36" s="163"/>
      <c r="C36" s="149"/>
      <c r="D36" s="157"/>
      <c r="E36" s="161"/>
      <c r="F36" s="160"/>
      <c r="G36" s="161"/>
      <c r="H36" s="160"/>
    </row>
    <row r="37" spans="1:9">
      <c r="A37" s="152" t="s">
        <v>119</v>
      </c>
      <c r="B37" s="163"/>
      <c r="C37" s="149"/>
      <c r="D37" s="157"/>
      <c r="E37" s="161"/>
      <c r="F37" s="160"/>
      <c r="G37" s="161"/>
      <c r="H37" s="160"/>
    </row>
    <row r="38" spans="1:9">
      <c r="A38" s="149" t="s">
        <v>120</v>
      </c>
      <c r="B38" s="163">
        <v>1</v>
      </c>
      <c r="C38" s="149" t="s">
        <v>57</v>
      </c>
      <c r="D38" s="157">
        <v>750</v>
      </c>
      <c r="E38" s="161">
        <f t="shared" si="0"/>
        <v>750</v>
      </c>
      <c r="F38" s="160">
        <f>+E38/$B$9</f>
        <v>0.51264524948735479</v>
      </c>
      <c r="G38" s="161">
        <f>+D38*B38*AdjRate</f>
        <v>900</v>
      </c>
      <c r="H38" s="160">
        <f>+G38/$B$9</f>
        <v>0.61517429938482571</v>
      </c>
    </row>
    <row r="39" spans="1:9">
      <c r="A39" s="149" t="s">
        <v>121</v>
      </c>
      <c r="B39" s="163">
        <f>B$9</f>
        <v>1463</v>
      </c>
      <c r="C39" s="149" t="s">
        <v>65</v>
      </c>
      <c r="D39" s="157">
        <v>0.15</v>
      </c>
      <c r="E39" s="161">
        <f t="shared" si="0"/>
        <v>219.45</v>
      </c>
      <c r="F39" s="160">
        <f>+E39/$B$9</f>
        <v>0.15</v>
      </c>
      <c r="G39" s="161">
        <f t="shared" ref="G39:G45" si="1">+E39*AdjRate</f>
        <v>263.33999999999997</v>
      </c>
      <c r="H39" s="160">
        <f>+G39/$B$9</f>
        <v>0.18</v>
      </c>
    </row>
    <row r="40" spans="1:9">
      <c r="A40" s="149"/>
      <c r="B40" s="163"/>
      <c r="C40" s="149"/>
      <c r="D40" s="157"/>
      <c r="E40" s="161"/>
      <c r="F40" s="160"/>
      <c r="G40" s="161"/>
      <c r="H40" s="160"/>
    </row>
    <row r="41" spans="1:9">
      <c r="A41" s="152" t="s">
        <v>7</v>
      </c>
      <c r="B41" s="163"/>
      <c r="C41" s="149"/>
      <c r="D41" s="157"/>
      <c r="E41" s="161"/>
      <c r="F41" s="160"/>
      <c r="G41" s="161"/>
      <c r="H41" s="160"/>
    </row>
    <row r="42" spans="1:9">
      <c r="A42" s="149" t="s">
        <v>62</v>
      </c>
      <c r="B42" s="163">
        <v>0</v>
      </c>
      <c r="C42" s="149" t="s">
        <v>57</v>
      </c>
      <c r="D42" s="157">
        <v>0</v>
      </c>
      <c r="E42" s="161">
        <f t="shared" si="0"/>
        <v>0</v>
      </c>
      <c r="F42" s="160">
        <f t="shared" ref="F42:F48" si="2">+E42/$B$9</f>
        <v>0</v>
      </c>
      <c r="G42" s="161">
        <f t="shared" si="1"/>
        <v>0</v>
      </c>
      <c r="H42" s="160">
        <f t="shared" ref="H42:H48" si="3">+G42/$B$9</f>
        <v>0</v>
      </c>
    </row>
    <row r="43" spans="1:9">
      <c r="A43" s="149" t="s">
        <v>122</v>
      </c>
      <c r="B43" s="163">
        <v>1</v>
      </c>
      <c r="C43" s="149" t="s">
        <v>196</v>
      </c>
      <c r="D43" s="157">
        <v>150</v>
      </c>
      <c r="E43" s="161">
        <f t="shared" si="0"/>
        <v>150</v>
      </c>
      <c r="F43" s="160">
        <f t="shared" si="2"/>
        <v>0.10252904989747096</v>
      </c>
      <c r="G43" s="161">
        <f t="shared" si="1"/>
        <v>180</v>
      </c>
      <c r="H43" s="160">
        <f t="shared" si="3"/>
        <v>0.12303485987696514</v>
      </c>
    </row>
    <row r="44" spans="1:9">
      <c r="A44" s="149" t="s">
        <v>124</v>
      </c>
      <c r="B44" s="163">
        <v>1</v>
      </c>
      <c r="C44" s="149" t="s">
        <v>57</v>
      </c>
      <c r="D44" s="157">
        <v>350</v>
      </c>
      <c r="E44" s="161">
        <f t="shared" si="0"/>
        <v>350</v>
      </c>
      <c r="F44" s="160">
        <f t="shared" si="2"/>
        <v>0.23923444976076555</v>
      </c>
      <c r="G44" s="161">
        <f t="shared" si="1"/>
        <v>420</v>
      </c>
      <c r="H44" s="160">
        <f t="shared" si="3"/>
        <v>0.28708133971291866</v>
      </c>
    </row>
    <row r="45" spans="1:9">
      <c r="A45" s="149" t="s">
        <v>125</v>
      </c>
      <c r="B45" s="163">
        <v>1</v>
      </c>
      <c r="C45" s="149" t="s">
        <v>57</v>
      </c>
      <c r="D45" s="157">
        <v>0</v>
      </c>
      <c r="E45" s="161">
        <f t="shared" si="0"/>
        <v>0</v>
      </c>
      <c r="F45" s="160">
        <f t="shared" si="2"/>
        <v>0</v>
      </c>
      <c r="G45" s="161">
        <f t="shared" si="1"/>
        <v>0</v>
      </c>
      <c r="H45" s="160">
        <f t="shared" si="3"/>
        <v>0</v>
      </c>
    </row>
    <row r="46" spans="1:9">
      <c r="A46" s="149" t="s">
        <v>73</v>
      </c>
      <c r="B46" s="163">
        <v>1</v>
      </c>
      <c r="C46" s="149" t="s">
        <v>57</v>
      </c>
      <c r="D46" s="157">
        <v>0</v>
      </c>
      <c r="E46" s="161">
        <f t="shared" si="0"/>
        <v>0</v>
      </c>
      <c r="F46" s="160">
        <f t="shared" si="2"/>
        <v>0</v>
      </c>
      <c r="G46" s="161">
        <f>+D46*B46*AdjRate</f>
        <v>0</v>
      </c>
      <c r="H46" s="160">
        <f t="shared" si="3"/>
        <v>0</v>
      </c>
    </row>
    <row r="47" spans="1:9">
      <c r="A47" s="149" t="s">
        <v>126</v>
      </c>
      <c r="B47" s="163">
        <f>(1+3/8)*Assumptions!C$6</f>
        <v>14.528301886792452</v>
      </c>
      <c r="C47" s="149" t="s">
        <v>63</v>
      </c>
      <c r="D47" s="157">
        <v>15</v>
      </c>
      <c r="E47" s="161">
        <f t="shared" si="0"/>
        <v>217.92452830188677</v>
      </c>
      <c r="F47" s="160">
        <f t="shared" si="2"/>
        <v>0.14895729890764645</v>
      </c>
      <c r="G47" s="161">
        <f>+D47*B47*AdjRate</f>
        <v>261.5094339622641</v>
      </c>
      <c r="H47" s="160">
        <f t="shared" si="3"/>
        <v>0.17874875868917572</v>
      </c>
    </row>
    <row r="48" spans="1:9">
      <c r="A48" s="149" t="s">
        <v>198</v>
      </c>
      <c r="B48" s="163">
        <v>1</v>
      </c>
      <c r="C48" s="149" t="s">
        <v>57</v>
      </c>
      <c r="D48" s="157">
        <v>350</v>
      </c>
      <c r="E48" s="161">
        <f t="shared" si="0"/>
        <v>350</v>
      </c>
      <c r="F48" s="160">
        <f t="shared" si="2"/>
        <v>0.23923444976076555</v>
      </c>
      <c r="G48" s="161">
        <f>+E48*AdjRate</f>
        <v>420</v>
      </c>
      <c r="H48" s="160">
        <f t="shared" si="3"/>
        <v>0.28708133971291866</v>
      </c>
    </row>
    <row r="49" spans="1:9">
      <c r="A49" s="149"/>
      <c r="B49" s="163"/>
      <c r="C49" s="149"/>
      <c r="D49" s="157"/>
      <c r="E49" s="161"/>
      <c r="F49" s="160"/>
      <c r="G49" s="161"/>
      <c r="H49" s="160"/>
      <c r="I49" s="3" t="s">
        <v>112</v>
      </c>
    </row>
    <row r="50" spans="1:9">
      <c r="A50" s="152" t="s">
        <v>128</v>
      </c>
      <c r="B50" s="163"/>
      <c r="C50" s="149"/>
      <c r="D50" s="157"/>
      <c r="E50" s="161"/>
      <c r="F50" s="160"/>
      <c r="G50" s="161"/>
      <c r="H50" s="160"/>
      <c r="I50" s="3" t="s">
        <v>123</v>
      </c>
    </row>
    <row r="51" spans="1:9">
      <c r="A51" s="149" t="s">
        <v>8</v>
      </c>
      <c r="B51" s="163">
        <f>G$6</f>
        <v>1924</v>
      </c>
      <c r="C51" s="149" t="s">
        <v>65</v>
      </c>
      <c r="D51" s="157">
        <v>5.75</v>
      </c>
      <c r="E51" s="161">
        <f t="shared" si="0"/>
        <v>11063</v>
      </c>
      <c r="F51" s="160">
        <f>+E51/$B$9</f>
        <v>7.5618591934381412</v>
      </c>
      <c r="G51" s="161">
        <f>+E51*AdjRate</f>
        <v>13275.6</v>
      </c>
      <c r="H51" s="160">
        <f>+G51/$B$9</f>
        <v>9.0742310321257698</v>
      </c>
      <c r="I51" s="3" t="s">
        <v>112</v>
      </c>
    </row>
    <row r="52" spans="1:9">
      <c r="A52" s="149" t="s">
        <v>129</v>
      </c>
      <c r="B52" s="163">
        <v>1</v>
      </c>
      <c r="C52" s="149" t="s">
        <v>57</v>
      </c>
      <c r="D52" s="157">
        <v>300</v>
      </c>
      <c r="E52" s="161">
        <f t="shared" si="0"/>
        <v>300</v>
      </c>
      <c r="F52" s="160">
        <f>+E52/$B$9</f>
        <v>0.20505809979494191</v>
      </c>
      <c r="G52" s="161">
        <f>+D52*B52*AdjRate</f>
        <v>360</v>
      </c>
      <c r="H52" s="160">
        <f>+G52/$B$9</f>
        <v>0.24606971975393027</v>
      </c>
      <c r="I52" s="3" t="s">
        <v>112</v>
      </c>
    </row>
    <row r="53" spans="1:9">
      <c r="A53" s="149" t="s">
        <v>130</v>
      </c>
      <c r="B53" s="163">
        <f>G$7</f>
        <v>178.5</v>
      </c>
      <c r="C53" s="149" t="s">
        <v>65</v>
      </c>
      <c r="D53" s="157">
        <v>2.25</v>
      </c>
      <c r="E53" s="161">
        <f t="shared" si="0"/>
        <v>401.625</v>
      </c>
      <c r="F53" s="160">
        <f>+E53/$B$9</f>
        <v>0.27452153110047844</v>
      </c>
      <c r="G53" s="161">
        <f>+D53*B53*AdjRate</f>
        <v>481.95</v>
      </c>
      <c r="H53" s="160">
        <f>+G53/$B$9</f>
        <v>0.32942583732057418</v>
      </c>
      <c r="I53" s="3" t="s">
        <v>112</v>
      </c>
    </row>
    <row r="54" spans="1:9">
      <c r="A54" s="149" t="s">
        <v>182</v>
      </c>
      <c r="B54" s="163">
        <f>G$11</f>
        <v>450</v>
      </c>
      <c r="C54" s="149" t="s">
        <v>65</v>
      </c>
      <c r="D54" s="157">
        <v>2.25</v>
      </c>
      <c r="E54" s="161">
        <f t="shared" si="0"/>
        <v>1012.5</v>
      </c>
      <c r="F54" s="160">
        <f>+E54/$B$9</f>
        <v>0.69207108680792895</v>
      </c>
      <c r="G54" s="161">
        <f t="shared" ref="G54:G64" si="4">+E54*AdjRate</f>
        <v>1215</v>
      </c>
      <c r="H54" s="160">
        <f>+G54/$B$9</f>
        <v>0.83048530416951472</v>
      </c>
      <c r="I54" s="10" t="s">
        <v>24</v>
      </c>
    </row>
    <row r="55" spans="1:9">
      <c r="A55" s="149"/>
      <c r="B55" s="163"/>
      <c r="C55" s="149"/>
      <c r="D55" s="157"/>
      <c r="E55" s="161">
        <f t="shared" si="0"/>
        <v>0</v>
      </c>
      <c r="F55" s="160"/>
      <c r="G55" s="161">
        <f t="shared" si="4"/>
        <v>0</v>
      </c>
      <c r="H55" s="160"/>
      <c r="I55" s="10" t="s">
        <v>24</v>
      </c>
    </row>
    <row r="56" spans="1:9">
      <c r="A56" s="152" t="s">
        <v>131</v>
      </c>
      <c r="B56" s="163"/>
      <c r="C56" s="149"/>
      <c r="D56" s="157"/>
      <c r="E56" s="161">
        <f t="shared" si="0"/>
        <v>0</v>
      </c>
      <c r="F56" s="160"/>
      <c r="G56" s="161">
        <f t="shared" si="4"/>
        <v>0</v>
      </c>
      <c r="H56" s="160"/>
    </row>
    <row r="57" spans="1:9">
      <c r="A57" s="149" t="s">
        <v>132</v>
      </c>
      <c r="B57" s="163">
        <f>+TCSF</f>
        <v>1924</v>
      </c>
      <c r="C57" s="149" t="s">
        <v>65</v>
      </c>
      <c r="D57" s="157">
        <v>2.5</v>
      </c>
      <c r="E57" s="161">
        <f t="shared" si="0"/>
        <v>4810</v>
      </c>
      <c r="F57" s="160">
        <f t="shared" ref="F57:F67" si="5">+E57/$B$9</f>
        <v>3.287764866712235</v>
      </c>
      <c r="G57" s="161">
        <f t="shared" si="4"/>
        <v>5772</v>
      </c>
      <c r="H57" s="160">
        <f t="shared" ref="H57:H67" si="6">+G57/$B$9</f>
        <v>3.945317840054682</v>
      </c>
    </row>
    <row r="58" spans="1:9">
      <c r="A58" s="149" t="s">
        <v>133</v>
      </c>
      <c r="B58" s="163">
        <f>+B8</f>
        <v>0</v>
      </c>
      <c r="C58" s="149" t="s">
        <v>65</v>
      </c>
      <c r="D58" s="157">
        <v>1.9</v>
      </c>
      <c r="E58" s="161">
        <f t="shared" si="0"/>
        <v>0</v>
      </c>
      <c r="F58" s="160">
        <f t="shared" si="5"/>
        <v>0</v>
      </c>
      <c r="G58" s="161">
        <f t="shared" si="4"/>
        <v>0</v>
      </c>
      <c r="H58" s="160">
        <f t="shared" si="6"/>
        <v>0</v>
      </c>
    </row>
    <row r="59" spans="1:9">
      <c r="A59" s="149" t="s">
        <v>134</v>
      </c>
      <c r="B59" s="163">
        <f>G$6</f>
        <v>1924</v>
      </c>
      <c r="C59" s="149" t="s">
        <v>65</v>
      </c>
      <c r="D59" s="157">
        <v>1.2</v>
      </c>
      <c r="E59" s="161">
        <f t="shared" si="0"/>
        <v>2308.7999999999997</v>
      </c>
      <c r="F59" s="160">
        <f t="shared" si="5"/>
        <v>1.5781271360218727</v>
      </c>
      <c r="G59" s="161">
        <f t="shared" si="4"/>
        <v>2770.5599999999995</v>
      </c>
      <c r="H59" s="160">
        <f t="shared" si="6"/>
        <v>1.8937525632262471</v>
      </c>
    </row>
    <row r="60" spans="1:9">
      <c r="A60" s="149" t="s">
        <v>11</v>
      </c>
      <c r="B60" s="163">
        <f>+TCSF</f>
        <v>1924</v>
      </c>
      <c r="C60" s="149" t="s">
        <v>65</v>
      </c>
      <c r="D60" s="157">
        <v>3.5</v>
      </c>
      <c r="E60" s="161">
        <f t="shared" si="0"/>
        <v>6734</v>
      </c>
      <c r="F60" s="160">
        <f t="shared" si="5"/>
        <v>4.6028708133971294</v>
      </c>
      <c r="G60" s="161">
        <f t="shared" si="4"/>
        <v>8080.7999999999993</v>
      </c>
      <c r="H60" s="160">
        <f t="shared" si="6"/>
        <v>5.5234449760765543</v>
      </c>
    </row>
    <row r="61" spans="1:9">
      <c r="A61" s="149" t="s">
        <v>135</v>
      </c>
      <c r="B61" s="163">
        <v>1</v>
      </c>
      <c r="C61" s="149" t="s">
        <v>57</v>
      </c>
      <c r="D61" s="157">
        <v>500</v>
      </c>
      <c r="E61" s="161">
        <f t="shared" si="0"/>
        <v>500</v>
      </c>
      <c r="F61" s="160">
        <f t="shared" si="5"/>
        <v>0.34176349965823649</v>
      </c>
      <c r="G61" s="161">
        <f t="shared" si="4"/>
        <v>600</v>
      </c>
      <c r="H61" s="160">
        <f t="shared" si="6"/>
        <v>0.41011619958988382</v>
      </c>
    </row>
    <row r="62" spans="1:9">
      <c r="A62" s="149" t="s">
        <v>2</v>
      </c>
      <c r="B62" s="163">
        <f>G13</f>
        <v>6</v>
      </c>
      <c r="C62" s="149" t="s">
        <v>136</v>
      </c>
      <c r="D62" s="157">
        <v>285</v>
      </c>
      <c r="E62" s="161">
        <f t="shared" si="0"/>
        <v>1710</v>
      </c>
      <c r="F62" s="160">
        <f t="shared" si="5"/>
        <v>1.1688311688311688</v>
      </c>
      <c r="G62" s="161">
        <f t="shared" si="4"/>
        <v>2052</v>
      </c>
      <c r="H62" s="160">
        <f t="shared" si="6"/>
        <v>1.4025974025974026</v>
      </c>
    </row>
    <row r="63" spans="1:9">
      <c r="A63" s="149" t="s">
        <v>137</v>
      </c>
      <c r="B63" s="163">
        <f>B$9</f>
        <v>1463</v>
      </c>
      <c r="C63" s="149" t="s">
        <v>65</v>
      </c>
      <c r="D63" s="157">
        <v>1</v>
      </c>
      <c r="E63" s="161">
        <f t="shared" si="0"/>
        <v>1463</v>
      </c>
      <c r="F63" s="160">
        <f t="shared" si="5"/>
        <v>1</v>
      </c>
      <c r="G63" s="161">
        <f t="shared" si="4"/>
        <v>1755.6</v>
      </c>
      <c r="H63" s="160">
        <f t="shared" si="6"/>
        <v>1.2</v>
      </c>
    </row>
    <row r="64" spans="1:9">
      <c r="A64" s="149" t="s">
        <v>138</v>
      </c>
      <c r="B64" s="163">
        <f>G14</f>
        <v>9</v>
      </c>
      <c r="C64" s="149" t="s">
        <v>139</v>
      </c>
      <c r="D64" s="157">
        <v>85</v>
      </c>
      <c r="E64" s="161">
        <f t="shared" si="0"/>
        <v>765</v>
      </c>
      <c r="F64" s="160">
        <f t="shared" si="5"/>
        <v>0.52289815447710186</v>
      </c>
      <c r="G64" s="161">
        <f t="shared" si="4"/>
        <v>918</v>
      </c>
      <c r="H64" s="160">
        <f t="shared" si="6"/>
        <v>0.62747778537252219</v>
      </c>
    </row>
    <row r="65" spans="1:9">
      <c r="A65" s="149" t="s">
        <v>140</v>
      </c>
      <c r="B65" s="163">
        <f>B$9</f>
        <v>1463</v>
      </c>
      <c r="C65" s="149" t="s">
        <v>65</v>
      </c>
      <c r="D65" s="157">
        <v>1</v>
      </c>
      <c r="E65" s="161">
        <f t="shared" si="0"/>
        <v>1463</v>
      </c>
      <c r="F65" s="160">
        <f t="shared" si="5"/>
        <v>1</v>
      </c>
      <c r="G65" s="161">
        <f>+D65*B65*AdjRate</f>
        <v>1755.6</v>
      </c>
      <c r="H65" s="160">
        <f t="shared" si="6"/>
        <v>1.2</v>
      </c>
    </row>
    <row r="66" spans="1:9">
      <c r="A66" s="149" t="s">
        <v>141</v>
      </c>
      <c r="B66" s="163">
        <v>33</v>
      </c>
      <c r="C66" s="149" t="s">
        <v>63</v>
      </c>
      <c r="D66" s="157">
        <v>75</v>
      </c>
      <c r="E66" s="161">
        <f t="shared" si="0"/>
        <v>2475</v>
      </c>
      <c r="F66" s="160">
        <f t="shared" si="5"/>
        <v>1.6917293233082706</v>
      </c>
      <c r="G66" s="161">
        <f>+D66*B66*AdjRate</f>
        <v>2970</v>
      </c>
      <c r="H66" s="160">
        <f t="shared" si="6"/>
        <v>2.030075187969925</v>
      </c>
      <c r="I66" s="8"/>
    </row>
    <row r="67" spans="1:9">
      <c r="A67" s="149" t="s">
        <v>142</v>
      </c>
      <c r="B67" s="163">
        <v>16</v>
      </c>
      <c r="C67" s="149" t="s">
        <v>63</v>
      </c>
      <c r="D67" s="157">
        <v>45</v>
      </c>
      <c r="E67" s="161">
        <f t="shared" si="0"/>
        <v>720</v>
      </c>
      <c r="F67" s="160">
        <f t="shared" si="5"/>
        <v>0.49213943950786054</v>
      </c>
      <c r="G67" s="161">
        <f>+E67*AdjRate</f>
        <v>864</v>
      </c>
      <c r="H67" s="160">
        <f t="shared" si="6"/>
        <v>0.59056732740943263</v>
      </c>
      <c r="I67" s="8"/>
    </row>
    <row r="68" spans="1:9">
      <c r="A68" s="149"/>
      <c r="B68" s="163"/>
      <c r="C68" s="149"/>
      <c r="D68" s="157"/>
      <c r="E68" s="161"/>
      <c r="F68" s="160"/>
      <c r="G68" s="161"/>
      <c r="H68" s="160"/>
    </row>
    <row r="69" spans="1:9">
      <c r="A69" s="152" t="s">
        <v>143</v>
      </c>
      <c r="B69" s="163"/>
      <c r="C69" s="149"/>
      <c r="D69" s="157"/>
      <c r="E69" s="161"/>
      <c r="F69" s="160"/>
      <c r="G69" s="161"/>
      <c r="H69" s="160"/>
    </row>
    <row r="70" spans="1:9">
      <c r="A70" s="149" t="s">
        <v>1</v>
      </c>
      <c r="B70" s="163">
        <f>G12</f>
        <v>9</v>
      </c>
      <c r="C70" s="149" t="s">
        <v>144</v>
      </c>
      <c r="D70" s="157">
        <v>85</v>
      </c>
      <c r="E70" s="161">
        <f t="shared" si="0"/>
        <v>765</v>
      </c>
      <c r="F70" s="160">
        <f>+E70/$B$9</f>
        <v>0.52289815447710186</v>
      </c>
      <c r="G70" s="161">
        <f>+D70*B70*AdjRate</f>
        <v>918</v>
      </c>
      <c r="H70" s="160">
        <f>+G70/$B$9</f>
        <v>0.62747778537252219</v>
      </c>
    </row>
    <row r="71" spans="1:9">
      <c r="A71" s="149" t="s">
        <v>145</v>
      </c>
      <c r="B71" s="163">
        <v>1</v>
      </c>
      <c r="C71" s="149" t="s">
        <v>57</v>
      </c>
      <c r="D71" s="157">
        <v>480</v>
      </c>
      <c r="E71" s="161">
        <f t="shared" si="0"/>
        <v>480</v>
      </c>
      <c r="F71" s="160">
        <f>+E71/$B$9</f>
        <v>0.32809295967190705</v>
      </c>
      <c r="G71" s="161">
        <f>+D71*B71*AdjRate</f>
        <v>576</v>
      </c>
      <c r="H71" s="160">
        <f>+G71/$B$9</f>
        <v>0.39371155160628846</v>
      </c>
    </row>
    <row r="72" spans="1:9">
      <c r="A72" s="149" t="s">
        <v>146</v>
      </c>
      <c r="B72" s="163">
        <v>36</v>
      </c>
      <c r="C72" s="149" t="s">
        <v>65</v>
      </c>
      <c r="D72" s="157">
        <v>7.5</v>
      </c>
      <c r="E72" s="161">
        <f t="shared" si="0"/>
        <v>270</v>
      </c>
      <c r="F72" s="160">
        <f>+E72/$B$9</f>
        <v>0.18455228981544772</v>
      </c>
      <c r="G72" s="161">
        <f>+E72*AdjRate</f>
        <v>324</v>
      </c>
      <c r="H72" s="160">
        <f>+G72/$B$9</f>
        <v>0.22146274777853725</v>
      </c>
    </row>
    <row r="73" spans="1:9">
      <c r="A73" s="149"/>
      <c r="B73" s="163"/>
      <c r="C73" s="149"/>
      <c r="D73" s="157"/>
      <c r="E73" s="161"/>
      <c r="F73" s="160"/>
      <c r="G73" s="161"/>
      <c r="H73" s="160"/>
    </row>
    <row r="74" spans="1:9">
      <c r="A74" s="152" t="s">
        <v>147</v>
      </c>
      <c r="B74" s="163"/>
      <c r="C74" s="149"/>
      <c r="D74" s="157"/>
      <c r="E74" s="161"/>
      <c r="F74" s="160"/>
      <c r="G74" s="161"/>
      <c r="H74" s="160"/>
    </row>
    <row r="75" spans="1:9">
      <c r="A75" s="149" t="s">
        <v>148</v>
      </c>
      <c r="B75" s="163">
        <f>1.3*1164/100</f>
        <v>15.132</v>
      </c>
      <c r="C75" s="149" t="s">
        <v>149</v>
      </c>
      <c r="D75" s="157">
        <v>52</v>
      </c>
      <c r="E75" s="161">
        <f t="shared" si="0"/>
        <v>786.86400000000003</v>
      </c>
      <c r="F75" s="160">
        <f>+E75/$B$9</f>
        <v>0.53784278879015723</v>
      </c>
      <c r="G75" s="161">
        <f>+E75*AdjRate</f>
        <v>944.23680000000002</v>
      </c>
      <c r="H75" s="160">
        <f>+G75/$B$9</f>
        <v>0.64541134654818866</v>
      </c>
    </row>
    <row r="76" spans="1:9">
      <c r="A76" s="149" t="s">
        <v>150</v>
      </c>
      <c r="B76" s="163">
        <v>1</v>
      </c>
      <c r="C76" s="149" t="s">
        <v>57</v>
      </c>
      <c r="D76" s="157">
        <v>200</v>
      </c>
      <c r="E76" s="161">
        <f t="shared" si="0"/>
        <v>200</v>
      </c>
      <c r="F76" s="160">
        <f>+E76/$B$9</f>
        <v>0.13670539986329461</v>
      </c>
      <c r="G76" s="161">
        <f>+D76*B76*AdjRate</f>
        <v>240</v>
      </c>
      <c r="H76" s="160">
        <f>+G76/$B$9</f>
        <v>0.16404647983595352</v>
      </c>
    </row>
    <row r="77" spans="1:9">
      <c r="A77" s="149" t="s">
        <v>151</v>
      </c>
      <c r="B77" s="163">
        <f>B$9</f>
        <v>1463</v>
      </c>
      <c r="C77" s="149" t="s">
        <v>65</v>
      </c>
      <c r="D77" s="157">
        <v>0.75</v>
      </c>
      <c r="E77" s="161">
        <f t="shared" si="0"/>
        <v>1097.25</v>
      </c>
      <c r="F77" s="160">
        <f>+E77/$B$9</f>
        <v>0.75</v>
      </c>
      <c r="G77" s="161">
        <f>+D77*B77*AdjRate</f>
        <v>1316.7</v>
      </c>
      <c r="H77" s="160">
        <f>+G77/$B$9</f>
        <v>0.9</v>
      </c>
    </row>
    <row r="78" spans="1:9">
      <c r="A78" s="149" t="s">
        <v>15</v>
      </c>
      <c r="B78" s="163">
        <f>B$9</f>
        <v>1463</v>
      </c>
      <c r="C78" s="149" t="s">
        <v>65</v>
      </c>
      <c r="D78" s="157">
        <v>3</v>
      </c>
      <c r="E78" s="161">
        <f t="shared" si="0"/>
        <v>4389</v>
      </c>
      <c r="F78" s="160">
        <f>+E78/$B$9</f>
        <v>3</v>
      </c>
      <c r="G78" s="161">
        <f t="shared" ref="G78:G89" si="7">+E78*AdjRate</f>
        <v>5266.8</v>
      </c>
      <c r="H78" s="160">
        <f>+G78/$B$9</f>
        <v>3.6</v>
      </c>
    </row>
    <row r="79" spans="1:9">
      <c r="A79" s="149"/>
      <c r="B79" s="163"/>
      <c r="C79" s="149"/>
      <c r="D79" s="157"/>
      <c r="E79" s="161"/>
      <c r="F79" s="160"/>
      <c r="G79" s="161"/>
      <c r="H79" s="160"/>
    </row>
    <row r="80" spans="1:9">
      <c r="A80" s="152" t="s">
        <v>98</v>
      </c>
      <c r="B80" s="163"/>
      <c r="C80" s="149"/>
      <c r="D80" s="157"/>
      <c r="E80" s="161"/>
      <c r="F80" s="160"/>
      <c r="G80" s="161"/>
      <c r="H80" s="160"/>
    </row>
    <row r="81" spans="1:9">
      <c r="A81" s="149" t="s">
        <v>152</v>
      </c>
      <c r="B81" s="163">
        <f>+G5</f>
        <v>315</v>
      </c>
      <c r="C81" s="149" t="s">
        <v>65</v>
      </c>
      <c r="D81" s="157">
        <v>5.5</v>
      </c>
      <c r="E81" s="161">
        <f t="shared" ref="E81:E105" si="8">D81*B81</f>
        <v>1732.5</v>
      </c>
      <c r="F81" s="160">
        <f>+E81/$B$9</f>
        <v>1.1842105263157894</v>
      </c>
      <c r="G81" s="161">
        <f t="shared" si="7"/>
        <v>2079</v>
      </c>
      <c r="H81" s="160">
        <f>+G81/$B$9</f>
        <v>1.4210526315789473</v>
      </c>
    </row>
    <row r="82" spans="1:9">
      <c r="A82" s="149" t="s">
        <v>153</v>
      </c>
      <c r="B82" s="163">
        <v>0</v>
      </c>
      <c r="C82" s="149" t="s">
        <v>65</v>
      </c>
      <c r="D82" s="157">
        <v>2</v>
      </c>
      <c r="E82" s="161">
        <f t="shared" si="8"/>
        <v>0</v>
      </c>
      <c r="F82" s="160">
        <f t="shared" ref="F82:H110" si="9">+E82/$B$9</f>
        <v>0</v>
      </c>
      <c r="G82" s="161">
        <f t="shared" si="7"/>
        <v>0</v>
      </c>
      <c r="H82" s="160">
        <f t="shared" si="9"/>
        <v>0</v>
      </c>
    </row>
    <row r="83" spans="1:9">
      <c r="A83" s="149" t="s">
        <v>154</v>
      </c>
      <c r="B83" s="163">
        <f>+TCSF</f>
        <v>1924</v>
      </c>
      <c r="C83" s="149" t="s">
        <v>65</v>
      </c>
      <c r="D83" s="157">
        <v>2.1</v>
      </c>
      <c r="E83" s="161">
        <f t="shared" si="8"/>
        <v>4040.4</v>
      </c>
      <c r="F83" s="160">
        <f t="shared" si="9"/>
        <v>2.7617224880382776</v>
      </c>
      <c r="G83" s="161">
        <f t="shared" si="7"/>
        <v>4848.4799999999996</v>
      </c>
      <c r="H83" s="160">
        <f t="shared" si="9"/>
        <v>3.3140669856459328</v>
      </c>
    </row>
    <row r="84" spans="1:9">
      <c r="A84" s="149" t="s">
        <v>199</v>
      </c>
      <c r="B84" s="163">
        <v>48</v>
      </c>
      <c r="C84" s="149" t="s">
        <v>65</v>
      </c>
      <c r="D84" s="157">
        <v>5.5</v>
      </c>
      <c r="E84" s="161">
        <f t="shared" si="8"/>
        <v>264</v>
      </c>
      <c r="F84" s="160">
        <f t="shared" si="9"/>
        <v>0.18045112781954886</v>
      </c>
      <c r="G84" s="161">
        <f t="shared" si="7"/>
        <v>316.8</v>
      </c>
      <c r="H84" s="160">
        <f t="shared" si="9"/>
        <v>0.21654135338345865</v>
      </c>
    </row>
    <row r="85" spans="1:9">
      <c r="A85" s="149" t="s">
        <v>156</v>
      </c>
      <c r="B85" s="163">
        <f>(B9-35-150-150-100)/9</f>
        <v>114.22222222222223</v>
      </c>
      <c r="C85" s="149" t="s">
        <v>157</v>
      </c>
      <c r="D85" s="157">
        <v>15</v>
      </c>
      <c r="E85" s="161">
        <f t="shared" si="8"/>
        <v>1713.3333333333335</v>
      </c>
      <c r="F85" s="160">
        <f t="shared" si="9"/>
        <v>1.1711095921622239</v>
      </c>
      <c r="G85" s="161">
        <f t="shared" si="7"/>
        <v>2056</v>
      </c>
      <c r="H85" s="160">
        <f t="shared" si="9"/>
        <v>1.4053315105946684</v>
      </c>
    </row>
    <row r="86" spans="1:9">
      <c r="A86" s="149" t="s">
        <v>158</v>
      </c>
      <c r="B86" s="163">
        <v>27</v>
      </c>
      <c r="C86" s="149" t="s">
        <v>63</v>
      </c>
      <c r="D86" s="157">
        <v>24</v>
      </c>
      <c r="E86" s="161">
        <f t="shared" si="8"/>
        <v>648</v>
      </c>
      <c r="F86" s="160">
        <f t="shared" si="9"/>
        <v>0.4429254955570745</v>
      </c>
      <c r="G86" s="161">
        <f t="shared" si="7"/>
        <v>777.6</v>
      </c>
      <c r="H86" s="160">
        <f t="shared" si="9"/>
        <v>0.53151059466848938</v>
      </c>
    </row>
    <row r="87" spans="1:9">
      <c r="A87" s="149" t="s">
        <v>200</v>
      </c>
      <c r="B87" s="163">
        <v>9</v>
      </c>
      <c r="C87" s="149" t="s">
        <v>63</v>
      </c>
      <c r="D87" s="157">
        <v>24</v>
      </c>
      <c r="E87" s="161">
        <f t="shared" si="8"/>
        <v>216</v>
      </c>
      <c r="F87" s="160">
        <f t="shared" si="9"/>
        <v>0.14764183185235816</v>
      </c>
      <c r="G87" s="161">
        <f t="shared" si="7"/>
        <v>259.2</v>
      </c>
      <c r="H87" s="160">
        <f t="shared" si="9"/>
        <v>0.17717019822282978</v>
      </c>
    </row>
    <row r="88" spans="1:9">
      <c r="A88" s="149" t="s">
        <v>160</v>
      </c>
      <c r="B88" s="163">
        <v>2</v>
      </c>
      <c r="C88" s="149" t="s">
        <v>161</v>
      </c>
      <c r="D88" s="157">
        <v>40</v>
      </c>
      <c r="E88" s="161">
        <f t="shared" si="8"/>
        <v>80</v>
      </c>
      <c r="F88" s="160">
        <f t="shared" si="9"/>
        <v>5.4682159945317839E-2</v>
      </c>
      <c r="G88" s="161">
        <f t="shared" si="7"/>
        <v>96</v>
      </c>
      <c r="H88" s="160">
        <f t="shared" si="9"/>
        <v>6.5618591934381409E-2</v>
      </c>
    </row>
    <row r="89" spans="1:9">
      <c r="A89" s="149" t="s">
        <v>162</v>
      </c>
      <c r="B89" s="163">
        <v>0</v>
      </c>
      <c r="C89" s="149" t="s">
        <v>163</v>
      </c>
      <c r="D89" s="157">
        <v>750</v>
      </c>
      <c r="E89" s="161">
        <f t="shared" si="8"/>
        <v>0</v>
      </c>
      <c r="F89" s="160">
        <f t="shared" si="9"/>
        <v>0</v>
      </c>
      <c r="G89" s="161">
        <f t="shared" si="7"/>
        <v>0</v>
      </c>
      <c r="H89" s="160">
        <f t="shared" si="9"/>
        <v>0</v>
      </c>
    </row>
    <row r="90" spans="1:9">
      <c r="A90" s="149" t="s">
        <v>201</v>
      </c>
      <c r="B90" s="163">
        <v>1</v>
      </c>
      <c r="C90" s="149" t="s">
        <v>163</v>
      </c>
      <c r="D90" s="157">
        <v>300</v>
      </c>
      <c r="E90" s="161">
        <f t="shared" si="8"/>
        <v>300</v>
      </c>
      <c r="F90" s="160">
        <f t="shared" si="9"/>
        <v>0.20505809979494191</v>
      </c>
      <c r="G90" s="161">
        <f>+D90*B90*AdjRate</f>
        <v>360</v>
      </c>
      <c r="H90" s="160">
        <f t="shared" si="9"/>
        <v>0.24606971975393027</v>
      </c>
      <c r="I90" s="8"/>
    </row>
    <row r="91" spans="1:9">
      <c r="A91" s="149" t="s">
        <v>165</v>
      </c>
      <c r="B91" s="163">
        <f>G12</f>
        <v>9</v>
      </c>
      <c r="C91" s="149" t="s">
        <v>166</v>
      </c>
      <c r="D91" s="157">
        <v>35</v>
      </c>
      <c r="E91" s="161">
        <f t="shared" si="8"/>
        <v>315</v>
      </c>
      <c r="F91" s="160">
        <f t="shared" si="9"/>
        <v>0.21531100478468901</v>
      </c>
      <c r="G91" s="161">
        <f>+D91*B91*AdjRate</f>
        <v>378</v>
      </c>
      <c r="H91" s="160">
        <f t="shared" si="9"/>
        <v>0.25837320574162681</v>
      </c>
    </row>
    <row r="92" spans="1:9">
      <c r="A92" s="149" t="s">
        <v>167</v>
      </c>
      <c r="B92" s="163">
        <v>0</v>
      </c>
      <c r="C92" s="149" t="s">
        <v>57</v>
      </c>
      <c r="D92" s="157">
        <v>0</v>
      </c>
      <c r="E92" s="161">
        <f t="shared" si="8"/>
        <v>0</v>
      </c>
      <c r="F92" s="160">
        <f t="shared" si="9"/>
        <v>0</v>
      </c>
      <c r="G92" s="161">
        <f>+E92*AdjRate</f>
        <v>0</v>
      </c>
      <c r="H92" s="160">
        <f t="shared" si="9"/>
        <v>0</v>
      </c>
    </row>
    <row r="93" spans="1:9">
      <c r="A93" s="149"/>
      <c r="B93" s="163"/>
      <c r="C93" s="149"/>
      <c r="D93" s="157"/>
      <c r="E93" s="161"/>
      <c r="F93" s="160"/>
      <c r="G93" s="161"/>
      <c r="H93" s="160"/>
    </row>
    <row r="94" spans="1:9">
      <c r="A94" s="152" t="s">
        <v>168</v>
      </c>
      <c r="B94" s="163"/>
      <c r="C94" s="149"/>
      <c r="D94" s="157"/>
      <c r="E94" s="161"/>
      <c r="F94" s="160"/>
      <c r="G94" s="161"/>
      <c r="H94" s="160"/>
    </row>
    <row r="95" spans="1:9">
      <c r="A95" s="149" t="s">
        <v>4</v>
      </c>
      <c r="B95" s="163">
        <v>1</v>
      </c>
      <c r="C95" s="149" t="s">
        <v>57</v>
      </c>
      <c r="D95" s="157">
        <v>550</v>
      </c>
      <c r="E95" s="161">
        <f t="shared" si="8"/>
        <v>550</v>
      </c>
      <c r="F95" s="160">
        <f t="shared" si="9"/>
        <v>0.37593984962406013</v>
      </c>
      <c r="G95" s="161">
        <f>+D95*B95*AdjRate</f>
        <v>660</v>
      </c>
      <c r="H95" s="160">
        <f t="shared" si="9"/>
        <v>0.45112781954887216</v>
      </c>
    </row>
    <row r="96" spans="1:9">
      <c r="A96" s="149" t="s">
        <v>169</v>
      </c>
      <c r="B96" s="163">
        <v>0</v>
      </c>
      <c r="C96" s="149" t="s">
        <v>66</v>
      </c>
      <c r="D96" s="157">
        <v>650</v>
      </c>
      <c r="E96" s="161">
        <f t="shared" si="8"/>
        <v>0</v>
      </c>
      <c r="F96" s="160">
        <f>+E96/$B$9</f>
        <v>0</v>
      </c>
      <c r="G96" s="161">
        <f>+D96*B96*AdjRate</f>
        <v>0</v>
      </c>
      <c r="H96" s="160">
        <f>+G96/$B$9</f>
        <v>0</v>
      </c>
    </row>
    <row r="97" spans="1:8">
      <c r="A97" s="149" t="s">
        <v>170</v>
      </c>
      <c r="B97" s="163">
        <v>1</v>
      </c>
      <c r="C97" s="149" t="s">
        <v>171</v>
      </c>
      <c r="D97" s="157">
        <v>650</v>
      </c>
      <c r="E97" s="161">
        <f t="shared" si="8"/>
        <v>650</v>
      </c>
      <c r="F97" s="160">
        <f t="shared" si="9"/>
        <v>0.44429254955570746</v>
      </c>
      <c r="G97" s="161">
        <f>+E97*AdjRate</f>
        <v>780</v>
      </c>
      <c r="H97" s="160">
        <f t="shared" si="9"/>
        <v>0.53315105946684893</v>
      </c>
    </row>
    <row r="98" spans="1:8">
      <c r="A98" s="149"/>
      <c r="B98" s="163"/>
      <c r="C98" s="149"/>
      <c r="D98" s="157"/>
      <c r="E98" s="161"/>
      <c r="F98" s="160"/>
      <c r="G98" s="161"/>
      <c r="H98" s="160"/>
    </row>
    <row r="99" spans="1:8">
      <c r="A99" s="152" t="s">
        <v>172</v>
      </c>
      <c r="B99" s="163"/>
      <c r="C99" s="149"/>
      <c r="D99" s="157"/>
      <c r="E99" s="161"/>
      <c r="F99" s="160"/>
      <c r="G99" s="161"/>
      <c r="H99" s="160"/>
    </row>
    <row r="100" spans="1:8">
      <c r="A100" s="149" t="s">
        <v>173</v>
      </c>
      <c r="B100" s="163">
        <f>TCSF</f>
        <v>1924</v>
      </c>
      <c r="C100" s="149" t="s">
        <v>65</v>
      </c>
      <c r="D100" s="157">
        <v>2.2000000000000002</v>
      </c>
      <c r="E100" s="161">
        <f t="shared" si="8"/>
        <v>4232.8</v>
      </c>
      <c r="F100" s="160">
        <f t="shared" si="9"/>
        <v>2.8932330827067672</v>
      </c>
      <c r="G100" s="161">
        <f>+D100*B100*AdjRate</f>
        <v>5079.3599999999997</v>
      </c>
      <c r="H100" s="160">
        <f t="shared" si="9"/>
        <v>3.4718796992481202</v>
      </c>
    </row>
    <row r="101" spans="1:8">
      <c r="A101" s="149" t="s">
        <v>174</v>
      </c>
      <c r="B101" s="163">
        <v>1</v>
      </c>
      <c r="C101" s="149" t="s">
        <v>57</v>
      </c>
      <c r="D101" s="157">
        <v>700</v>
      </c>
      <c r="E101" s="161">
        <f t="shared" si="8"/>
        <v>700</v>
      </c>
      <c r="F101" s="160">
        <f t="shared" si="9"/>
        <v>0.4784688995215311</v>
      </c>
      <c r="G101" s="161">
        <f>+D101*B101*AdjRate</f>
        <v>840</v>
      </c>
      <c r="H101" s="160">
        <f t="shared" si="9"/>
        <v>0.57416267942583732</v>
      </c>
    </row>
    <row r="102" spans="1:8">
      <c r="A102" s="149" t="s">
        <v>175</v>
      </c>
      <c r="B102" s="163">
        <v>1</v>
      </c>
      <c r="C102" s="149" t="s">
        <v>57</v>
      </c>
      <c r="D102" s="157">
        <v>450</v>
      </c>
      <c r="E102" s="161">
        <f t="shared" si="8"/>
        <v>450</v>
      </c>
      <c r="F102" s="160">
        <f t="shared" si="9"/>
        <v>0.30758714969241285</v>
      </c>
      <c r="G102" s="161">
        <f t="shared" ref="G102:G107" si="10">+E102*AdjRate</f>
        <v>540</v>
      </c>
      <c r="H102" s="160">
        <f t="shared" si="9"/>
        <v>0.36910457963089544</v>
      </c>
    </row>
    <row r="103" spans="1:8">
      <c r="A103" s="149"/>
      <c r="B103" s="163"/>
      <c r="C103" s="149"/>
      <c r="D103" s="157"/>
      <c r="E103" s="161"/>
      <c r="F103" s="160"/>
      <c r="G103" s="161"/>
      <c r="H103" s="160"/>
    </row>
    <row r="104" spans="1:8">
      <c r="A104" s="152" t="s">
        <v>176</v>
      </c>
      <c r="B104" s="163"/>
      <c r="C104" s="149"/>
      <c r="D104" s="157"/>
      <c r="E104" s="161"/>
      <c r="F104" s="160"/>
      <c r="G104" s="161"/>
      <c r="H104" s="160"/>
    </row>
    <row r="105" spans="1:8">
      <c r="A105" s="149" t="s">
        <v>177</v>
      </c>
      <c r="B105" s="163">
        <v>1</v>
      </c>
      <c r="C105" s="149" t="s">
        <v>57</v>
      </c>
      <c r="D105" s="157">
        <v>4200</v>
      </c>
      <c r="E105" s="161">
        <f t="shared" si="8"/>
        <v>4200</v>
      </c>
      <c r="F105" s="160">
        <f t="shared" si="9"/>
        <v>2.8708133971291865</v>
      </c>
      <c r="G105" s="161">
        <f t="shared" si="10"/>
        <v>5040</v>
      </c>
      <c r="H105" s="160">
        <f t="shared" si="9"/>
        <v>3.4449760765550241</v>
      </c>
    </row>
    <row r="106" spans="1:8">
      <c r="A106" s="149" t="s">
        <v>195</v>
      </c>
      <c r="B106" s="163">
        <v>25</v>
      </c>
      <c r="C106" s="149" t="s">
        <v>63</v>
      </c>
      <c r="D106" s="157">
        <v>15</v>
      </c>
      <c r="E106" s="161">
        <f>D106*B106</f>
        <v>375</v>
      </c>
      <c r="F106" s="160">
        <f t="shared" si="9"/>
        <v>0.2563226247436774</v>
      </c>
      <c r="G106" s="161">
        <f t="shared" si="10"/>
        <v>450</v>
      </c>
      <c r="H106" s="160">
        <f t="shared" si="9"/>
        <v>0.30758714969241285</v>
      </c>
    </row>
    <row r="107" spans="1:8">
      <c r="A107" s="149" t="s">
        <v>178</v>
      </c>
      <c r="B107" s="163">
        <v>1</v>
      </c>
      <c r="C107" s="149" t="s">
        <v>57</v>
      </c>
      <c r="D107" s="157">
        <v>2000</v>
      </c>
      <c r="E107" s="161">
        <f>D107*B107</f>
        <v>2000</v>
      </c>
      <c r="F107" s="160">
        <f t="shared" si="9"/>
        <v>1.367053998632946</v>
      </c>
      <c r="G107" s="161">
        <f t="shared" si="10"/>
        <v>2400</v>
      </c>
      <c r="H107" s="160">
        <f t="shared" si="9"/>
        <v>1.6404647983595353</v>
      </c>
    </row>
    <row r="108" spans="1:8">
      <c r="A108" s="149" t="s">
        <v>197</v>
      </c>
      <c r="B108" s="163">
        <v>1</v>
      </c>
      <c r="C108" s="149" t="s">
        <v>57</v>
      </c>
      <c r="D108" s="157">
        <v>990</v>
      </c>
      <c r="E108" s="161">
        <f>D108*B108</f>
        <v>990</v>
      </c>
      <c r="F108" s="160">
        <f t="shared" si="9"/>
        <v>0.67669172932330823</v>
      </c>
      <c r="G108" s="161">
        <f>+D108*B108*AdjRate</f>
        <v>1188</v>
      </c>
      <c r="H108" s="160">
        <f t="shared" si="9"/>
        <v>0.81203007518796988</v>
      </c>
    </row>
    <row r="109" spans="1:8">
      <c r="A109" s="149" t="s">
        <v>3</v>
      </c>
      <c r="B109" s="163">
        <f>B9</f>
        <v>1463</v>
      </c>
      <c r="C109" s="149" t="s">
        <v>65</v>
      </c>
      <c r="D109" s="157">
        <v>2.85</v>
      </c>
      <c r="E109" s="161">
        <f>D109*B109</f>
        <v>4169.55</v>
      </c>
      <c r="F109" s="160">
        <f t="shared" si="9"/>
        <v>2.85</v>
      </c>
      <c r="G109" s="161">
        <f>+D109*B109*AdjRate</f>
        <v>5003.46</v>
      </c>
      <c r="H109" s="160">
        <f t="shared" si="9"/>
        <v>3.42</v>
      </c>
    </row>
    <row r="110" spans="1:8">
      <c r="A110" s="149" t="s">
        <v>9</v>
      </c>
      <c r="B110" s="163">
        <f>ConstTime</f>
        <v>6</v>
      </c>
      <c r="C110" s="149" t="s">
        <v>77</v>
      </c>
      <c r="D110" s="157">
        <f>((1000*52)/12+250+100)/4</f>
        <v>1170.8333333333333</v>
      </c>
      <c r="E110" s="161">
        <f>D110*B110</f>
        <v>7025</v>
      </c>
      <c r="F110" s="160">
        <f t="shared" si="9"/>
        <v>4.801777170198223</v>
      </c>
      <c r="G110" s="161">
        <f>+(D110*B110)*AdjRate</f>
        <v>8430</v>
      </c>
      <c r="H110" s="160">
        <f t="shared" si="9"/>
        <v>5.7621326042378671</v>
      </c>
    </row>
    <row r="111" spans="1:8" ht="13.5" thickBot="1">
      <c r="A111" s="156" t="s">
        <v>241</v>
      </c>
      <c r="B111" s="156"/>
      <c r="C111" s="156"/>
      <c r="D111" s="156"/>
      <c r="E111" s="158">
        <f>SUM(E18:E110)</f>
        <v>82392.596861635233</v>
      </c>
      <c r="F111" s="159">
        <f>SUM(F18:F110)</f>
        <v>56.317564498725361</v>
      </c>
      <c r="G111" s="158">
        <f>SUM(G18:G110)</f>
        <v>98871.116233962268</v>
      </c>
      <c r="H111" s="159">
        <f>SUM(H18:H110)</f>
        <v>67.581077398470427</v>
      </c>
    </row>
    <row r="112" spans="1:8" ht="13.5" thickTop="1">
      <c r="A112" s="149"/>
      <c r="B112" s="149"/>
      <c r="C112" s="149"/>
      <c r="D112" s="149"/>
      <c r="E112" s="161">
        <f>+G111-E111</f>
        <v>16478.519372327035</v>
      </c>
      <c r="F112" s="161"/>
      <c r="G112" s="149"/>
      <c r="H112" s="149"/>
    </row>
    <row r="113" spans="4:6">
      <c r="D113" s="5"/>
      <c r="E113" s="5"/>
      <c r="F113" s="5"/>
    </row>
    <row r="114" spans="4:6">
      <c r="D114" s="5"/>
      <c r="E114" s="5"/>
      <c r="F114" s="5"/>
    </row>
    <row r="115" spans="4:6">
      <c r="D115" s="5"/>
      <c r="E115" s="5"/>
      <c r="F115" s="5"/>
    </row>
    <row r="116" spans="4:6">
      <c r="D116" s="5"/>
      <c r="E116" s="5"/>
      <c r="F116" s="5"/>
    </row>
    <row r="117" spans="4:6">
      <c r="D117" s="5"/>
      <c r="E117" s="5"/>
      <c r="F117" s="5"/>
    </row>
    <row r="118" spans="4:6">
      <c r="D118" s="5"/>
      <c r="E118" s="5"/>
      <c r="F118" s="5"/>
    </row>
    <row r="119" spans="4:6">
      <c r="D119" s="5"/>
      <c r="E119" s="5"/>
      <c r="F119" s="5"/>
    </row>
    <row r="120" spans="4:6">
      <c r="D120" s="5"/>
      <c r="E120" s="5"/>
      <c r="F120" s="5"/>
    </row>
    <row r="121" spans="4:6">
      <c r="D121" s="5"/>
      <c r="E121" s="5"/>
      <c r="F121" s="5"/>
    </row>
    <row r="122" spans="4:6">
      <c r="D122" s="5"/>
      <c r="E122" s="5"/>
      <c r="F122" s="5"/>
    </row>
    <row r="123" spans="4:6">
      <c r="D123" s="5"/>
      <c r="E123" s="5"/>
      <c r="F123" s="5"/>
    </row>
    <row r="124" spans="4:6">
      <c r="D124" s="5"/>
      <c r="E124" s="5"/>
      <c r="F124" s="5"/>
    </row>
    <row r="125" spans="4:6">
      <c r="D125" s="5"/>
      <c r="E125" s="5"/>
      <c r="F125" s="5"/>
    </row>
    <row r="126" spans="4:6">
      <c r="D126" s="5"/>
      <c r="E126" s="5"/>
      <c r="F126" s="5"/>
    </row>
    <row r="127" spans="4:6">
      <c r="D127" s="5"/>
      <c r="E127" s="5"/>
      <c r="F127" s="5"/>
    </row>
    <row r="128" spans="4:6">
      <c r="D128" s="5"/>
      <c r="E128" s="5"/>
      <c r="F128" s="5"/>
    </row>
    <row r="129" spans="4:6">
      <c r="D129" s="5"/>
      <c r="E129" s="5"/>
      <c r="F129" s="5"/>
    </row>
    <row r="130" spans="4:6">
      <c r="D130" s="5"/>
      <c r="E130" s="5"/>
      <c r="F130" s="5"/>
    </row>
    <row r="131" spans="4:6">
      <c r="D131" s="5"/>
      <c r="E131" s="5"/>
      <c r="F131" s="5"/>
    </row>
    <row r="132" spans="4:6">
      <c r="D132" s="5"/>
      <c r="E132" s="5"/>
      <c r="F132" s="5"/>
    </row>
    <row r="133" spans="4:6">
      <c r="D133" s="5"/>
      <c r="E133" s="5"/>
      <c r="F133" s="5"/>
    </row>
    <row r="134" spans="4:6">
      <c r="D134" s="5"/>
      <c r="E134" s="5"/>
      <c r="F134" s="5"/>
    </row>
    <row r="135" spans="4:6">
      <c r="D135" s="5"/>
      <c r="E135" s="5"/>
      <c r="F135" s="5"/>
    </row>
    <row r="136" spans="4:6">
      <c r="D136" s="5"/>
      <c r="E136" s="5"/>
      <c r="F136" s="5"/>
    </row>
    <row r="137" spans="4:6">
      <c r="D137" s="5"/>
      <c r="E137" s="5"/>
      <c r="F137" s="5"/>
    </row>
    <row r="138" spans="4:6">
      <c r="D138" s="5"/>
      <c r="E138" s="5"/>
      <c r="F138" s="5"/>
    </row>
    <row r="139" spans="4:6">
      <c r="D139" s="5"/>
      <c r="E139" s="5"/>
      <c r="F139" s="5"/>
    </row>
    <row r="140" spans="4:6">
      <c r="D140" s="5"/>
      <c r="E140" s="5"/>
      <c r="F140" s="5"/>
    </row>
    <row r="141" spans="4:6">
      <c r="D141" s="5"/>
      <c r="E141" s="5"/>
      <c r="F141" s="5"/>
    </row>
    <row r="142" spans="4:6">
      <c r="D142" s="5"/>
      <c r="E142" s="5"/>
      <c r="F142" s="5"/>
    </row>
  </sheetData>
  <mergeCells count="1">
    <mergeCell ref="A1:H1"/>
  </mergeCells>
  <phoneticPr fontId="3" type="noConversion"/>
  <printOptions horizontalCentered="1"/>
  <pageMargins left="0.25" right="0.25" top="1" bottom="1" header="0.5" footer="0.5"/>
  <pageSetup scale="88" fitToHeight="2" orientation="portrait" horizontalDpi="300" verticalDpi="300" r:id="rId1"/>
  <headerFooter alignWithMargins="0">
    <oddHeader>&amp;C&amp;"Garamond,Bold"&amp;12WESTGATE &amp;&amp; CAMERON LOOP
96 CONDOMINIUMS</oddHeader>
    <oddFooter>&amp;L&amp;"Garamond,Regular"&amp;8&amp;F&amp;C&amp;"Garamond,Regular"&amp;8&amp;P Of &amp;N&amp;R&amp;"Garamond,Regular"&amp;8&amp;D</oddFooter>
  </headerFooter>
  <colBreaks count="1" manualBreakCount="1">
    <brk id="9"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I142"/>
  <sheetViews>
    <sheetView zoomScaleNormal="100" workbookViewId="0">
      <selection activeCell="F47" activeCellId="1" sqref="B36 F47:F50"/>
    </sheetView>
  </sheetViews>
  <sheetFormatPr defaultRowHeight="12.75"/>
  <cols>
    <col min="1" max="1" width="16.5703125" style="3" customWidth="1"/>
    <col min="2" max="2" width="10.42578125" style="3" customWidth="1"/>
    <col min="3" max="3" width="5.85546875" style="3" customWidth="1"/>
    <col min="4" max="4" width="10.42578125" style="3" customWidth="1"/>
    <col min="5" max="5" width="8" style="3" bestFit="1" customWidth="1"/>
    <col min="6" max="6" width="8" style="3" customWidth="1"/>
    <col min="7" max="8" width="10.42578125" style="3" customWidth="1"/>
    <col min="9" max="9" width="20.85546875" style="3" customWidth="1"/>
    <col min="10" max="16384" width="9.140625" style="3"/>
  </cols>
  <sheetData>
    <row r="1" spans="1:9" ht="13.5" customHeight="1" thickBot="1">
      <c r="A1" s="329" t="s">
        <v>376</v>
      </c>
      <c r="B1" s="330"/>
      <c r="C1" s="330"/>
      <c r="D1" s="330"/>
      <c r="E1" s="330"/>
      <c r="F1" s="330"/>
      <c r="G1" s="330"/>
      <c r="H1" s="330"/>
    </row>
    <row r="3" spans="1:9" ht="25.5">
      <c r="A3" s="151" t="s">
        <v>100</v>
      </c>
      <c r="B3" s="151" t="s">
        <v>84</v>
      </c>
      <c r="C3" s="151" t="s">
        <v>16</v>
      </c>
      <c r="D3" s="151" t="s">
        <v>82</v>
      </c>
      <c r="E3" s="151" t="s">
        <v>101</v>
      </c>
      <c r="F3" s="151" t="s">
        <v>372</v>
      </c>
      <c r="G3" s="151" t="s">
        <v>370</v>
      </c>
      <c r="H3" s="151" t="s">
        <v>372</v>
      </c>
      <c r="I3" s="151" t="s">
        <v>103</v>
      </c>
    </row>
    <row r="4" spans="1:9">
      <c r="A4" s="4"/>
      <c r="B4" s="4"/>
      <c r="C4" s="4"/>
      <c r="D4" s="9"/>
      <c r="E4" s="147"/>
      <c r="F4" s="147"/>
      <c r="G4" s="9"/>
      <c r="H4" s="9"/>
    </row>
    <row r="5" spans="1:9">
      <c r="A5" s="152" t="s">
        <v>88</v>
      </c>
      <c r="B5" s="149"/>
      <c r="C5" s="149"/>
      <c r="E5" s="149" t="s">
        <v>98</v>
      </c>
      <c r="F5" s="149"/>
      <c r="G5" s="149">
        <f>35*9</f>
        <v>315</v>
      </c>
      <c r="H5" s="149" t="s">
        <v>65</v>
      </c>
    </row>
    <row r="6" spans="1:9">
      <c r="A6" s="152" t="s">
        <v>89</v>
      </c>
      <c r="B6" s="149"/>
      <c r="C6" s="149"/>
      <c r="E6" s="149" t="s">
        <v>8</v>
      </c>
      <c r="F6" s="149"/>
      <c r="G6" s="149">
        <f>B7+B14</f>
        <v>1960</v>
      </c>
      <c r="H6" s="149" t="s">
        <v>65</v>
      </c>
    </row>
    <row r="7" spans="1:9">
      <c r="A7" s="149" t="s">
        <v>90</v>
      </c>
      <c r="B7" s="163">
        <v>1335</v>
      </c>
      <c r="C7" s="149" t="s">
        <v>65</v>
      </c>
      <c r="E7" s="152" t="s">
        <v>130</v>
      </c>
      <c r="F7" s="149"/>
      <c r="G7" s="149">
        <f>+G8+G9+G10</f>
        <v>178.5</v>
      </c>
      <c r="H7" s="149"/>
    </row>
    <row r="8" spans="1:9">
      <c r="A8" s="162" t="s">
        <v>91</v>
      </c>
      <c r="B8" s="164">
        <v>0</v>
      </c>
      <c r="C8" s="162" t="s">
        <v>65</v>
      </c>
      <c r="E8" s="155" t="s">
        <v>179</v>
      </c>
      <c r="F8" s="149"/>
      <c r="G8" s="149">
        <f>8*7</f>
        <v>56</v>
      </c>
      <c r="H8" s="149" t="s">
        <v>65</v>
      </c>
    </row>
    <row r="9" spans="1:9">
      <c r="A9" s="149" t="s">
        <v>92</v>
      </c>
      <c r="B9" s="163">
        <f>+B8+B7</f>
        <v>1335</v>
      </c>
      <c r="C9" s="149" t="s">
        <v>65</v>
      </c>
      <c r="E9" s="155" t="s">
        <v>360</v>
      </c>
      <c r="F9" s="149"/>
      <c r="G9" s="149">
        <v>0</v>
      </c>
      <c r="H9" s="149"/>
    </row>
    <row r="10" spans="1:9">
      <c r="A10" s="149"/>
      <c r="B10" s="163"/>
      <c r="C10" s="149"/>
      <c r="E10" s="155" t="s">
        <v>180</v>
      </c>
      <c r="F10" s="149"/>
      <c r="G10" s="149">
        <f>3.5*(25+10)</f>
        <v>122.5</v>
      </c>
      <c r="H10" s="149"/>
    </row>
    <row r="11" spans="1:9">
      <c r="A11" s="152" t="s">
        <v>93</v>
      </c>
      <c r="B11" s="163"/>
      <c r="C11" s="149"/>
      <c r="E11" s="149" t="s">
        <v>181</v>
      </c>
      <c r="F11" s="149"/>
      <c r="G11" s="149">
        <f>25*18</f>
        <v>450</v>
      </c>
      <c r="H11" s="149"/>
    </row>
    <row r="12" spans="1:9">
      <c r="A12" s="149" t="s">
        <v>94</v>
      </c>
      <c r="B12" s="163">
        <v>411</v>
      </c>
      <c r="C12" s="149" t="s">
        <v>65</v>
      </c>
      <c r="E12" s="149" t="s">
        <v>1</v>
      </c>
      <c r="F12" s="149"/>
      <c r="G12" s="149">
        <v>9</v>
      </c>
      <c r="H12" s="149"/>
    </row>
    <row r="13" spans="1:9">
      <c r="A13" s="149" t="s">
        <v>95</v>
      </c>
      <c r="B13" s="163">
        <v>214</v>
      </c>
      <c r="C13" s="149" t="s">
        <v>65</v>
      </c>
      <c r="E13" s="149" t="s">
        <v>361</v>
      </c>
      <c r="F13" s="149"/>
      <c r="G13" s="149">
        <v>4</v>
      </c>
      <c r="H13" s="149"/>
    </row>
    <row r="14" spans="1:9">
      <c r="A14" s="153" t="s">
        <v>96</v>
      </c>
      <c r="B14" s="165">
        <f>+B13+B12</f>
        <v>625</v>
      </c>
      <c r="C14" s="153" t="s">
        <v>65</v>
      </c>
      <c r="E14" s="149" t="s">
        <v>138</v>
      </c>
      <c r="F14" s="149"/>
      <c r="G14" s="149">
        <v>10</v>
      </c>
      <c r="H14" s="149"/>
    </row>
    <row r="15" spans="1:9">
      <c r="A15" s="154" t="s">
        <v>97</v>
      </c>
      <c r="B15" s="166">
        <f>+B14+B9</f>
        <v>1960</v>
      </c>
      <c r="C15" s="154" t="s">
        <v>65</v>
      </c>
      <c r="E15" s="149" t="s">
        <v>187</v>
      </c>
      <c r="F15" s="149"/>
      <c r="G15" s="149">
        <f>ConstTime</f>
        <v>6</v>
      </c>
      <c r="H15" s="149" t="s">
        <v>10</v>
      </c>
    </row>
    <row r="16" spans="1:9">
      <c r="A16" s="149"/>
      <c r="B16" s="149"/>
      <c r="C16" s="149"/>
      <c r="D16" s="149"/>
      <c r="E16" s="149"/>
      <c r="F16" s="149"/>
      <c r="G16" s="149"/>
      <c r="H16" s="149"/>
    </row>
    <row r="17" spans="1:8">
      <c r="A17" s="152" t="s">
        <v>59</v>
      </c>
      <c r="B17" s="149"/>
      <c r="C17" s="149"/>
      <c r="D17" s="149"/>
      <c r="E17" s="149"/>
      <c r="F17" s="149"/>
      <c r="G17" s="149"/>
      <c r="H17" s="149"/>
    </row>
    <row r="18" spans="1:8">
      <c r="A18" s="149" t="s">
        <v>104</v>
      </c>
      <c r="B18" s="149">
        <v>0</v>
      </c>
      <c r="C18" s="149" t="s">
        <v>57</v>
      </c>
      <c r="D18" s="157">
        <v>350</v>
      </c>
      <c r="E18" s="161">
        <f>D18*B18</f>
        <v>0</v>
      </c>
      <c r="F18" s="160">
        <f>+E18/$B$9</f>
        <v>0</v>
      </c>
      <c r="G18" s="161">
        <f>+E18*AdjRate</f>
        <v>0</v>
      </c>
      <c r="H18" s="160">
        <f>+G18/$B$9</f>
        <v>0</v>
      </c>
    </row>
    <row r="19" spans="1:8">
      <c r="A19" s="149" t="s">
        <v>105</v>
      </c>
      <c r="B19" s="167">
        <f>+$G$6</f>
        <v>1960</v>
      </c>
      <c r="C19" s="149" t="s">
        <v>65</v>
      </c>
      <c r="D19" s="157">
        <v>0.15</v>
      </c>
      <c r="E19" s="161">
        <f>D19*B19</f>
        <v>294</v>
      </c>
      <c r="F19" s="160">
        <f>+E19/$B$9</f>
        <v>0.22022471910112359</v>
      </c>
      <c r="G19" s="161">
        <f>+E19*AdjRate</f>
        <v>352.8</v>
      </c>
      <c r="H19" s="160">
        <f>+G19/$B$9</f>
        <v>0.26426966292134835</v>
      </c>
    </row>
    <row r="20" spans="1:8">
      <c r="A20" s="149" t="s">
        <v>106</v>
      </c>
      <c r="B20" s="149">
        <v>0</v>
      </c>
      <c r="C20" s="149" t="s">
        <v>57</v>
      </c>
      <c r="D20" s="157">
        <v>350</v>
      </c>
      <c r="E20" s="161">
        <f>D20*B20</f>
        <v>0</v>
      </c>
      <c r="F20" s="160">
        <f>+E20/$B$9</f>
        <v>0</v>
      </c>
      <c r="G20" s="161">
        <f>+E20*AdjRate</f>
        <v>0</v>
      </c>
      <c r="H20" s="160">
        <f>+G20/$B$9</f>
        <v>0</v>
      </c>
    </row>
    <row r="21" spans="1:8">
      <c r="A21" s="149" t="s">
        <v>107</v>
      </c>
      <c r="B21" s="149">
        <v>1</v>
      </c>
      <c r="C21" s="149" t="s">
        <v>57</v>
      </c>
      <c r="D21" s="157">
        <v>0</v>
      </c>
      <c r="E21" s="161">
        <f t="shared" ref="E21:E78" si="0">D21*B21</f>
        <v>0</v>
      </c>
      <c r="F21" s="160">
        <f>+E21/$B$9</f>
        <v>0</v>
      </c>
      <c r="G21" s="161">
        <f>+E21*AdjRate</f>
        <v>0</v>
      </c>
      <c r="H21" s="160">
        <f>+G21/$B$9</f>
        <v>0</v>
      </c>
    </row>
    <row r="22" spans="1:8">
      <c r="A22" s="149"/>
      <c r="B22" s="149"/>
      <c r="C22" s="149"/>
      <c r="D22" s="157"/>
      <c r="E22" s="161"/>
      <c r="F22" s="160"/>
      <c r="G22" s="161"/>
      <c r="H22" s="160"/>
    </row>
    <row r="23" spans="1:8">
      <c r="A23" s="152" t="s">
        <v>108</v>
      </c>
      <c r="B23" s="149"/>
      <c r="C23" s="149"/>
      <c r="D23" s="157"/>
      <c r="E23" s="161"/>
      <c r="F23" s="160"/>
      <c r="G23" s="161"/>
      <c r="H23" s="160"/>
    </row>
    <row r="24" spans="1:8">
      <c r="A24" s="149" t="s">
        <v>109</v>
      </c>
      <c r="B24" s="149">
        <v>1</v>
      </c>
      <c r="C24" s="149" t="s">
        <v>57</v>
      </c>
      <c r="D24" s="157">
        <v>150</v>
      </c>
      <c r="E24" s="161">
        <f t="shared" si="0"/>
        <v>150</v>
      </c>
      <c r="F24" s="160">
        <f>+E24/$B$9</f>
        <v>0.11235955056179775</v>
      </c>
      <c r="G24" s="161">
        <f>+D24*B24*AdjRate</f>
        <v>180</v>
      </c>
      <c r="H24" s="160">
        <f>+G24/$B$9</f>
        <v>0.1348314606741573</v>
      </c>
    </row>
    <row r="25" spans="1:8">
      <c r="A25" s="149" t="s">
        <v>110</v>
      </c>
      <c r="B25" s="149">
        <v>1</v>
      </c>
      <c r="C25" s="149" t="s">
        <v>57</v>
      </c>
      <c r="D25" s="157">
        <v>100</v>
      </c>
      <c r="E25" s="161">
        <f t="shared" si="0"/>
        <v>100</v>
      </c>
      <c r="F25" s="160">
        <f>+E25/$B$9</f>
        <v>7.4906367041198504E-2</v>
      </c>
      <c r="G25" s="161">
        <f>+D25*B25*AdjRate</f>
        <v>120</v>
      </c>
      <c r="H25" s="160">
        <f>+G25/$B$9</f>
        <v>8.98876404494382E-2</v>
      </c>
    </row>
    <row r="26" spans="1:8">
      <c r="A26" s="149" t="s">
        <v>111</v>
      </c>
      <c r="B26" s="149">
        <v>1</v>
      </c>
      <c r="C26" s="149" t="s">
        <v>57</v>
      </c>
      <c r="D26" s="157">
        <v>0</v>
      </c>
      <c r="E26" s="161">
        <f t="shared" si="0"/>
        <v>0</v>
      </c>
      <c r="F26" s="160">
        <f>+E26/$B$9</f>
        <v>0</v>
      </c>
      <c r="G26" s="161">
        <f>+E26*AdjRate</f>
        <v>0</v>
      </c>
      <c r="H26" s="160">
        <f>+G26/$B$9</f>
        <v>0</v>
      </c>
    </row>
    <row r="27" spans="1:8">
      <c r="A27" s="149"/>
      <c r="B27" s="149"/>
      <c r="C27" s="149"/>
      <c r="D27" s="157"/>
      <c r="E27" s="161"/>
      <c r="F27" s="160"/>
      <c r="G27" s="161"/>
      <c r="H27" s="160"/>
    </row>
    <row r="28" spans="1:8">
      <c r="A28" s="152" t="s">
        <v>113</v>
      </c>
      <c r="B28" s="149"/>
      <c r="C28" s="149"/>
      <c r="D28" s="157"/>
      <c r="E28" s="161"/>
      <c r="F28" s="160"/>
      <c r="G28" s="161"/>
      <c r="H28" s="160"/>
    </row>
    <row r="29" spans="1:8">
      <c r="A29" s="149" t="s">
        <v>6</v>
      </c>
      <c r="B29" s="149">
        <f>ConstTime</f>
        <v>6</v>
      </c>
      <c r="C29" s="149" t="s">
        <v>77</v>
      </c>
      <c r="D29" s="157">
        <f>56</f>
        <v>56</v>
      </c>
      <c r="E29" s="161">
        <f t="shared" si="0"/>
        <v>336</v>
      </c>
      <c r="F29" s="160">
        <f>+E29/$B$9</f>
        <v>0.25168539325842698</v>
      </c>
      <c r="G29" s="161">
        <f>+D29*B29*AdjRate</f>
        <v>403.2</v>
      </c>
      <c r="H29" s="160">
        <f>+G29/$B$9</f>
        <v>0.30202247191011233</v>
      </c>
    </row>
    <row r="30" spans="1:8">
      <c r="A30" s="149" t="s">
        <v>114</v>
      </c>
      <c r="B30" s="149">
        <v>1</v>
      </c>
      <c r="C30" s="149" t="s">
        <v>57</v>
      </c>
      <c r="D30" s="157">
        <v>500</v>
      </c>
      <c r="E30" s="161">
        <f t="shared" si="0"/>
        <v>500</v>
      </c>
      <c r="F30" s="160">
        <f>+E30/$B$9</f>
        <v>0.37453183520599254</v>
      </c>
      <c r="G30" s="161">
        <f>+E30*AdjRate</f>
        <v>600</v>
      </c>
      <c r="H30" s="160">
        <f>+G30/$B$9</f>
        <v>0.449438202247191</v>
      </c>
    </row>
    <row r="31" spans="1:8">
      <c r="A31" s="149"/>
      <c r="B31" s="149"/>
      <c r="C31" s="149"/>
      <c r="D31" s="157"/>
      <c r="E31" s="161"/>
      <c r="F31" s="160"/>
      <c r="G31" s="161"/>
      <c r="H31" s="160"/>
    </row>
    <row r="32" spans="1:8">
      <c r="A32" s="152" t="s">
        <v>115</v>
      </c>
      <c r="B32" s="149"/>
      <c r="C32" s="149"/>
      <c r="D32" s="157"/>
      <c r="E32" s="161"/>
      <c r="F32" s="160"/>
      <c r="G32" s="161"/>
      <c r="H32" s="160"/>
    </row>
    <row r="33" spans="1:9">
      <c r="A33" s="149" t="s">
        <v>116</v>
      </c>
      <c r="B33" s="149">
        <f>ConstTime</f>
        <v>6</v>
      </c>
      <c r="C33" s="149" t="s">
        <v>77</v>
      </c>
      <c r="D33" s="157">
        <v>30</v>
      </c>
      <c r="E33" s="161">
        <f t="shared" si="0"/>
        <v>180</v>
      </c>
      <c r="F33" s="160">
        <f>+E33/$B$9</f>
        <v>0.1348314606741573</v>
      </c>
      <c r="G33" s="161">
        <f>+D33*B33*AdjRate</f>
        <v>216</v>
      </c>
      <c r="H33" s="160">
        <f>+G33/$B$9</f>
        <v>0.16179775280898875</v>
      </c>
      <c r="I33" s="3" t="s">
        <v>112</v>
      </c>
    </row>
    <row r="34" spans="1:9">
      <c r="A34" s="149" t="s">
        <v>117</v>
      </c>
      <c r="B34" s="149">
        <f>ConstTime</f>
        <v>6</v>
      </c>
      <c r="C34" s="149" t="s">
        <v>77</v>
      </c>
      <c r="D34" s="157">
        <v>30</v>
      </c>
      <c r="E34" s="161">
        <f t="shared" si="0"/>
        <v>180</v>
      </c>
      <c r="F34" s="160">
        <f>+E34/$B$9</f>
        <v>0.1348314606741573</v>
      </c>
      <c r="G34" s="161">
        <f>+D34*B34*AdjRate</f>
        <v>216</v>
      </c>
      <c r="H34" s="160">
        <f>+G34/$B$9</f>
        <v>0.16179775280898875</v>
      </c>
    </row>
    <row r="35" spans="1:9">
      <c r="A35" s="149" t="s">
        <v>118</v>
      </c>
      <c r="B35" s="149">
        <f>ConstTime</f>
        <v>6</v>
      </c>
      <c r="C35" s="149" t="s">
        <v>77</v>
      </c>
      <c r="D35" s="157">
        <f>85/2</f>
        <v>42.5</v>
      </c>
      <c r="E35" s="161">
        <f t="shared" si="0"/>
        <v>255</v>
      </c>
      <c r="F35" s="160">
        <f>+E35/$B$9</f>
        <v>0.19101123595505617</v>
      </c>
      <c r="G35" s="161">
        <f>+E35*AdjRate</f>
        <v>306</v>
      </c>
      <c r="H35" s="160">
        <f>+G35/$B$9</f>
        <v>0.2292134831460674</v>
      </c>
    </row>
    <row r="36" spans="1:9">
      <c r="A36" s="149"/>
      <c r="B36" s="149"/>
      <c r="C36" s="149"/>
      <c r="D36" s="157"/>
      <c r="E36" s="161"/>
      <c r="F36" s="160"/>
      <c r="G36" s="161"/>
      <c r="H36" s="160"/>
    </row>
    <row r="37" spans="1:9">
      <c r="A37" s="152" t="s">
        <v>119</v>
      </c>
      <c r="B37" s="149"/>
      <c r="C37" s="149"/>
      <c r="D37" s="157"/>
      <c r="E37" s="161"/>
      <c r="F37" s="160"/>
      <c r="G37" s="161"/>
      <c r="H37" s="160"/>
    </row>
    <row r="38" spans="1:9">
      <c r="A38" s="149" t="s">
        <v>120</v>
      </c>
      <c r="B38" s="149">
        <v>1</v>
      </c>
      <c r="C38" s="149" t="s">
        <v>57</v>
      </c>
      <c r="D38" s="157">
        <v>750</v>
      </c>
      <c r="E38" s="161">
        <f t="shared" si="0"/>
        <v>750</v>
      </c>
      <c r="F38" s="160">
        <f>+E38/$B$9</f>
        <v>0.5617977528089888</v>
      </c>
      <c r="G38" s="161">
        <f>+D38*B38*AdjRate</f>
        <v>900</v>
      </c>
      <c r="H38" s="160">
        <f>+G38/$B$9</f>
        <v>0.6741573033707865</v>
      </c>
    </row>
    <row r="39" spans="1:9">
      <c r="A39" s="149" t="s">
        <v>121</v>
      </c>
      <c r="B39" s="149">
        <f>+B$9</f>
        <v>1335</v>
      </c>
      <c r="C39" s="149" t="s">
        <v>65</v>
      </c>
      <c r="D39" s="157">
        <v>0.15</v>
      </c>
      <c r="E39" s="161">
        <f t="shared" si="0"/>
        <v>200.25</v>
      </c>
      <c r="F39" s="160">
        <f>+E39/$B$9</f>
        <v>0.15</v>
      </c>
      <c r="G39" s="161">
        <f t="shared" ref="G39:G45" si="1">+E39*AdjRate</f>
        <v>240.29999999999998</v>
      </c>
      <c r="H39" s="160">
        <f>+G39/$B$9</f>
        <v>0.18</v>
      </c>
    </row>
    <row r="40" spans="1:9">
      <c r="A40" s="149"/>
      <c r="B40" s="149"/>
      <c r="C40" s="149"/>
      <c r="D40" s="157"/>
      <c r="E40" s="161"/>
      <c r="F40" s="160"/>
      <c r="G40" s="161"/>
      <c r="H40" s="160"/>
    </row>
    <row r="41" spans="1:9">
      <c r="A41" s="152" t="s">
        <v>7</v>
      </c>
      <c r="B41" s="149"/>
      <c r="C41" s="149"/>
      <c r="D41" s="157"/>
      <c r="E41" s="161"/>
      <c r="F41" s="160"/>
      <c r="G41" s="161"/>
      <c r="H41" s="160"/>
    </row>
    <row r="42" spans="1:9">
      <c r="A42" s="149" t="s">
        <v>62</v>
      </c>
      <c r="B42" s="149">
        <v>0</v>
      </c>
      <c r="C42" s="149" t="s">
        <v>57</v>
      </c>
      <c r="D42" s="157">
        <v>0</v>
      </c>
      <c r="E42" s="161">
        <f t="shared" si="0"/>
        <v>0</v>
      </c>
      <c r="F42" s="160">
        <f t="shared" ref="F42:F48" si="2">+E42/$B$9</f>
        <v>0</v>
      </c>
      <c r="G42" s="161">
        <f t="shared" si="1"/>
        <v>0</v>
      </c>
      <c r="H42" s="160">
        <f t="shared" ref="H42:H48" si="3">+G42/$B$9</f>
        <v>0</v>
      </c>
    </row>
    <row r="43" spans="1:9">
      <c r="A43" s="149" t="s">
        <v>122</v>
      </c>
      <c r="B43" s="149">
        <v>1</v>
      </c>
      <c r="C43" s="149" t="s">
        <v>196</v>
      </c>
      <c r="D43" s="157">
        <v>150</v>
      </c>
      <c r="E43" s="161">
        <f t="shared" si="0"/>
        <v>150</v>
      </c>
      <c r="F43" s="160">
        <f t="shared" si="2"/>
        <v>0.11235955056179775</v>
      </c>
      <c r="G43" s="161">
        <f t="shared" si="1"/>
        <v>180</v>
      </c>
      <c r="H43" s="160">
        <f t="shared" si="3"/>
        <v>0.1348314606741573</v>
      </c>
    </row>
    <row r="44" spans="1:9">
      <c r="A44" s="149" t="s">
        <v>124</v>
      </c>
      <c r="B44" s="149">
        <v>1</v>
      </c>
      <c r="C44" s="149" t="s">
        <v>57</v>
      </c>
      <c r="D44" s="157">
        <v>350</v>
      </c>
      <c r="E44" s="161">
        <f t="shared" si="0"/>
        <v>350</v>
      </c>
      <c r="F44" s="160">
        <f t="shared" si="2"/>
        <v>0.26217228464419473</v>
      </c>
      <c r="G44" s="161">
        <f t="shared" si="1"/>
        <v>420</v>
      </c>
      <c r="H44" s="160">
        <f t="shared" si="3"/>
        <v>0.3146067415730337</v>
      </c>
    </row>
    <row r="45" spans="1:9">
      <c r="A45" s="149" t="s">
        <v>125</v>
      </c>
      <c r="B45" s="149">
        <v>1</v>
      </c>
      <c r="C45" s="149" t="s">
        <v>57</v>
      </c>
      <c r="D45" s="157">
        <v>0</v>
      </c>
      <c r="E45" s="161">
        <f t="shared" si="0"/>
        <v>0</v>
      </c>
      <c r="F45" s="160">
        <f t="shared" si="2"/>
        <v>0</v>
      </c>
      <c r="G45" s="161">
        <f t="shared" si="1"/>
        <v>0</v>
      </c>
      <c r="H45" s="160">
        <f t="shared" si="3"/>
        <v>0</v>
      </c>
    </row>
    <row r="46" spans="1:9">
      <c r="A46" s="149" t="s">
        <v>73</v>
      </c>
      <c r="B46" s="149">
        <v>1</v>
      </c>
      <c r="C46" s="149" t="s">
        <v>57</v>
      </c>
      <c r="D46" s="157">
        <v>0</v>
      </c>
      <c r="E46" s="161">
        <f t="shared" si="0"/>
        <v>0</v>
      </c>
      <c r="F46" s="160">
        <f t="shared" si="2"/>
        <v>0</v>
      </c>
      <c r="G46" s="161">
        <f>+D46*B46*AdjRate</f>
        <v>0</v>
      </c>
      <c r="H46" s="160">
        <f t="shared" si="3"/>
        <v>0</v>
      </c>
    </row>
    <row r="47" spans="1:9">
      <c r="A47" s="149" t="s">
        <v>126</v>
      </c>
      <c r="B47" s="149">
        <v>100</v>
      </c>
      <c r="C47" s="149" t="s">
        <v>63</v>
      </c>
      <c r="D47" s="157">
        <v>15</v>
      </c>
      <c r="E47" s="161">
        <f t="shared" si="0"/>
        <v>1500</v>
      </c>
      <c r="F47" s="160">
        <f t="shared" si="2"/>
        <v>1.1235955056179776</v>
      </c>
      <c r="G47" s="161">
        <f>+D47*B47*AdjRate</f>
        <v>1800</v>
      </c>
      <c r="H47" s="160">
        <f t="shared" si="3"/>
        <v>1.348314606741573</v>
      </c>
    </row>
    <row r="48" spans="1:9">
      <c r="A48" s="149" t="s">
        <v>198</v>
      </c>
      <c r="B48" s="149">
        <v>1</v>
      </c>
      <c r="C48" s="149" t="s">
        <v>57</v>
      </c>
      <c r="D48" s="157">
        <v>350</v>
      </c>
      <c r="E48" s="161">
        <f t="shared" si="0"/>
        <v>350</v>
      </c>
      <c r="F48" s="160">
        <f t="shared" si="2"/>
        <v>0.26217228464419473</v>
      </c>
      <c r="G48" s="161">
        <f>+E48*AdjRate</f>
        <v>420</v>
      </c>
      <c r="H48" s="160">
        <f t="shared" si="3"/>
        <v>0.3146067415730337</v>
      </c>
    </row>
    <row r="49" spans="1:9">
      <c r="A49" s="149"/>
      <c r="B49" s="149"/>
      <c r="C49" s="149"/>
      <c r="D49" s="157"/>
      <c r="E49" s="161"/>
      <c r="F49" s="160"/>
      <c r="G49" s="161"/>
      <c r="H49" s="160"/>
      <c r="I49" s="3" t="s">
        <v>112</v>
      </c>
    </row>
    <row r="50" spans="1:9">
      <c r="A50" s="152" t="s">
        <v>128</v>
      </c>
      <c r="B50" s="149"/>
      <c r="C50" s="149"/>
      <c r="D50" s="157"/>
      <c r="E50" s="161"/>
      <c r="F50" s="160"/>
      <c r="G50" s="161"/>
      <c r="H50" s="160"/>
      <c r="I50" s="3" t="s">
        <v>123</v>
      </c>
    </row>
    <row r="51" spans="1:9">
      <c r="A51" s="149" t="s">
        <v>8</v>
      </c>
      <c r="B51" s="149">
        <f>G$6</f>
        <v>1960</v>
      </c>
      <c r="C51" s="149" t="s">
        <v>65</v>
      </c>
      <c r="D51" s="157">
        <v>5.75</v>
      </c>
      <c r="E51" s="161">
        <f t="shared" si="0"/>
        <v>11270</v>
      </c>
      <c r="F51" s="160">
        <f>+E51/$B$9</f>
        <v>8.4419475655430709</v>
      </c>
      <c r="G51" s="161">
        <f>+E51*AdjRate</f>
        <v>13524</v>
      </c>
      <c r="H51" s="160">
        <f>+G51/$B$9</f>
        <v>10.130337078651685</v>
      </c>
      <c r="I51" s="3" t="s">
        <v>112</v>
      </c>
    </row>
    <row r="52" spans="1:9">
      <c r="A52" s="149" t="s">
        <v>129</v>
      </c>
      <c r="B52" s="149">
        <v>1</v>
      </c>
      <c r="C52" s="149" t="s">
        <v>57</v>
      </c>
      <c r="D52" s="157">
        <v>300</v>
      </c>
      <c r="E52" s="161">
        <f t="shared" si="0"/>
        <v>300</v>
      </c>
      <c r="F52" s="160">
        <f>+E52/$B$9</f>
        <v>0.2247191011235955</v>
      </c>
      <c r="G52" s="161">
        <f>+D52*B52*AdjRate</f>
        <v>360</v>
      </c>
      <c r="H52" s="160">
        <f>+G52/$B$9</f>
        <v>0.2696629213483146</v>
      </c>
      <c r="I52" s="3" t="s">
        <v>112</v>
      </c>
    </row>
    <row r="53" spans="1:9">
      <c r="A53" s="149" t="s">
        <v>130</v>
      </c>
      <c r="B53" s="149">
        <f>G$7</f>
        <v>178.5</v>
      </c>
      <c r="C53" s="149" t="s">
        <v>65</v>
      </c>
      <c r="D53" s="157">
        <v>2.25</v>
      </c>
      <c r="E53" s="161">
        <f t="shared" si="0"/>
        <v>401.625</v>
      </c>
      <c r="F53" s="160">
        <f>+E53/$B$9</f>
        <v>0.30084269662921348</v>
      </c>
      <c r="G53" s="161">
        <f>+D53*B53*AdjRate</f>
        <v>481.95</v>
      </c>
      <c r="H53" s="160">
        <f>+G53/$B$9</f>
        <v>0.36101123595505619</v>
      </c>
      <c r="I53" s="3" t="s">
        <v>112</v>
      </c>
    </row>
    <row r="54" spans="1:9">
      <c r="A54" s="149" t="s">
        <v>182</v>
      </c>
      <c r="B54" s="149">
        <f>G$11</f>
        <v>450</v>
      </c>
      <c r="C54" s="149" t="s">
        <v>65</v>
      </c>
      <c r="D54" s="157">
        <v>2.25</v>
      </c>
      <c r="E54" s="161">
        <f t="shared" si="0"/>
        <v>1012.5</v>
      </c>
      <c r="F54" s="160">
        <f>+E54/$B$9</f>
        <v>0.7584269662921348</v>
      </c>
      <c r="G54" s="161">
        <f t="shared" ref="G54:G64" si="4">+E54*AdjRate</f>
        <v>1215</v>
      </c>
      <c r="H54" s="160">
        <f>+G54/$B$9</f>
        <v>0.9101123595505618</v>
      </c>
      <c r="I54" s="10" t="s">
        <v>24</v>
      </c>
    </row>
    <row r="55" spans="1:9">
      <c r="A55" s="149"/>
      <c r="B55" s="149"/>
      <c r="C55" s="149"/>
      <c r="D55" s="157"/>
      <c r="E55" s="161"/>
      <c r="F55" s="160"/>
      <c r="G55" s="161"/>
      <c r="H55" s="160"/>
      <c r="I55" s="10" t="s">
        <v>24</v>
      </c>
    </row>
    <row r="56" spans="1:9">
      <c r="A56" s="152" t="s">
        <v>131</v>
      </c>
      <c r="B56" s="149"/>
      <c r="C56" s="149"/>
      <c r="D56" s="157"/>
      <c r="E56" s="161"/>
      <c r="F56" s="160"/>
      <c r="G56" s="161"/>
      <c r="H56" s="160"/>
    </row>
    <row r="57" spans="1:9">
      <c r="A57" s="149" t="s">
        <v>132</v>
      </c>
      <c r="B57" s="149">
        <f>+TCSF</f>
        <v>1960</v>
      </c>
      <c r="C57" s="149" t="s">
        <v>65</v>
      </c>
      <c r="D57" s="157">
        <v>2.5</v>
      </c>
      <c r="E57" s="161">
        <f t="shared" si="0"/>
        <v>4900</v>
      </c>
      <c r="F57" s="160">
        <f t="shared" ref="F57:F67" si="5">+E57/$B$9</f>
        <v>3.6704119850187267</v>
      </c>
      <c r="G57" s="161">
        <f t="shared" si="4"/>
        <v>5880</v>
      </c>
      <c r="H57" s="160">
        <f t="shared" ref="H57:H67" si="6">+G57/$B$9</f>
        <v>4.404494382022472</v>
      </c>
    </row>
    <row r="58" spans="1:9">
      <c r="A58" s="149" t="s">
        <v>133</v>
      </c>
      <c r="B58" s="149">
        <f>+B8</f>
        <v>0</v>
      </c>
      <c r="C58" s="149" t="s">
        <v>65</v>
      </c>
      <c r="D58" s="157">
        <v>1.9</v>
      </c>
      <c r="E58" s="161">
        <f t="shared" si="0"/>
        <v>0</v>
      </c>
      <c r="F58" s="160">
        <f t="shared" si="5"/>
        <v>0</v>
      </c>
      <c r="G58" s="161">
        <f t="shared" si="4"/>
        <v>0</v>
      </c>
      <c r="H58" s="160">
        <f t="shared" si="6"/>
        <v>0</v>
      </c>
    </row>
    <row r="59" spans="1:9">
      <c r="A59" s="149" t="s">
        <v>134</v>
      </c>
      <c r="B59" s="149">
        <f>G$6</f>
        <v>1960</v>
      </c>
      <c r="C59" s="149" t="s">
        <v>65</v>
      </c>
      <c r="D59" s="157">
        <v>1.2</v>
      </c>
      <c r="E59" s="161">
        <f t="shared" si="0"/>
        <v>2352</v>
      </c>
      <c r="F59" s="160">
        <f t="shared" si="5"/>
        <v>1.7617977528089888</v>
      </c>
      <c r="G59" s="161">
        <f t="shared" si="4"/>
        <v>2822.4</v>
      </c>
      <c r="H59" s="160">
        <f t="shared" si="6"/>
        <v>2.1141573033707868</v>
      </c>
    </row>
    <row r="60" spans="1:9">
      <c r="A60" s="149" t="s">
        <v>11</v>
      </c>
      <c r="B60" s="149">
        <f>+TCSF</f>
        <v>1960</v>
      </c>
      <c r="C60" s="149" t="s">
        <v>65</v>
      </c>
      <c r="D60" s="157">
        <v>3.5</v>
      </c>
      <c r="E60" s="161">
        <f t="shared" si="0"/>
        <v>6860</v>
      </c>
      <c r="F60" s="160">
        <f t="shared" si="5"/>
        <v>5.1385767790262173</v>
      </c>
      <c r="G60" s="161">
        <f t="shared" si="4"/>
        <v>8232</v>
      </c>
      <c r="H60" s="160">
        <f t="shared" si="6"/>
        <v>6.166292134831461</v>
      </c>
    </row>
    <row r="61" spans="1:9">
      <c r="A61" s="149" t="s">
        <v>135</v>
      </c>
      <c r="B61" s="149">
        <v>1</v>
      </c>
      <c r="C61" s="149" t="s">
        <v>57</v>
      </c>
      <c r="D61" s="157">
        <v>500</v>
      </c>
      <c r="E61" s="161">
        <f t="shared" si="0"/>
        <v>500</v>
      </c>
      <c r="F61" s="160">
        <f t="shared" si="5"/>
        <v>0.37453183520599254</v>
      </c>
      <c r="G61" s="161">
        <f t="shared" si="4"/>
        <v>600</v>
      </c>
      <c r="H61" s="160">
        <f t="shared" si="6"/>
        <v>0.449438202247191</v>
      </c>
    </row>
    <row r="62" spans="1:9">
      <c r="A62" s="149" t="s">
        <v>2</v>
      </c>
      <c r="B62" s="149">
        <f>G13</f>
        <v>4</v>
      </c>
      <c r="C62" s="149" t="s">
        <v>136</v>
      </c>
      <c r="D62" s="157">
        <v>285</v>
      </c>
      <c r="E62" s="161">
        <f t="shared" si="0"/>
        <v>1140</v>
      </c>
      <c r="F62" s="160">
        <f t="shared" si="5"/>
        <v>0.8539325842696629</v>
      </c>
      <c r="G62" s="161">
        <f t="shared" si="4"/>
        <v>1368</v>
      </c>
      <c r="H62" s="160">
        <f t="shared" si="6"/>
        <v>1.0247191011235954</v>
      </c>
    </row>
    <row r="63" spans="1:9">
      <c r="A63" s="149" t="s">
        <v>137</v>
      </c>
      <c r="B63" s="149">
        <f>+B$9</f>
        <v>1335</v>
      </c>
      <c r="C63" s="149" t="s">
        <v>65</v>
      </c>
      <c r="D63" s="157">
        <v>1</v>
      </c>
      <c r="E63" s="161">
        <f t="shared" si="0"/>
        <v>1335</v>
      </c>
      <c r="F63" s="160">
        <f t="shared" si="5"/>
        <v>1</v>
      </c>
      <c r="G63" s="161">
        <f t="shared" si="4"/>
        <v>1602</v>
      </c>
      <c r="H63" s="160">
        <f t="shared" si="6"/>
        <v>1.2</v>
      </c>
    </row>
    <row r="64" spans="1:9">
      <c r="A64" s="149" t="s">
        <v>138</v>
      </c>
      <c r="B64" s="149">
        <f>G14</f>
        <v>10</v>
      </c>
      <c r="C64" s="149" t="s">
        <v>139</v>
      </c>
      <c r="D64" s="157">
        <v>85</v>
      </c>
      <c r="E64" s="161">
        <f t="shared" si="0"/>
        <v>850</v>
      </c>
      <c r="F64" s="160">
        <f t="shared" si="5"/>
        <v>0.63670411985018727</v>
      </c>
      <c r="G64" s="161">
        <f t="shared" si="4"/>
        <v>1020</v>
      </c>
      <c r="H64" s="160">
        <f t="shared" si="6"/>
        <v>0.7640449438202247</v>
      </c>
    </row>
    <row r="65" spans="1:9">
      <c r="A65" s="149" t="s">
        <v>140</v>
      </c>
      <c r="B65" s="149">
        <f>+B$9</f>
        <v>1335</v>
      </c>
      <c r="C65" s="149" t="s">
        <v>65</v>
      </c>
      <c r="D65" s="157">
        <v>1</v>
      </c>
      <c r="E65" s="161"/>
      <c r="F65" s="160">
        <f t="shared" si="5"/>
        <v>0</v>
      </c>
      <c r="G65" s="161">
        <f>+D65*B65*AdjRate</f>
        <v>1602</v>
      </c>
      <c r="H65" s="160">
        <f t="shared" si="6"/>
        <v>1.2</v>
      </c>
    </row>
    <row r="66" spans="1:9">
      <c r="A66" s="149" t="s">
        <v>141</v>
      </c>
      <c r="B66" s="149">
        <v>33</v>
      </c>
      <c r="C66" s="149" t="s">
        <v>63</v>
      </c>
      <c r="D66" s="157">
        <v>75</v>
      </c>
      <c r="E66" s="161"/>
      <c r="F66" s="160">
        <f t="shared" si="5"/>
        <v>0</v>
      </c>
      <c r="G66" s="161">
        <f>+D66*B66*AdjRate</f>
        <v>2970</v>
      </c>
      <c r="H66" s="160">
        <f t="shared" si="6"/>
        <v>2.2247191011235956</v>
      </c>
      <c r="I66" s="8"/>
    </row>
    <row r="67" spans="1:9">
      <c r="A67" s="149" t="s">
        <v>142</v>
      </c>
      <c r="B67" s="149">
        <v>16</v>
      </c>
      <c r="C67" s="149" t="s">
        <v>63</v>
      </c>
      <c r="D67" s="157">
        <v>45</v>
      </c>
      <c r="E67" s="161">
        <f t="shared" si="0"/>
        <v>720</v>
      </c>
      <c r="F67" s="160">
        <f t="shared" si="5"/>
        <v>0.5393258426966292</v>
      </c>
      <c r="G67" s="161">
        <f>+E67*AdjRate</f>
        <v>864</v>
      </c>
      <c r="H67" s="160">
        <f t="shared" si="6"/>
        <v>0.64719101123595502</v>
      </c>
      <c r="I67" s="8"/>
    </row>
    <row r="68" spans="1:9">
      <c r="A68" s="149"/>
      <c r="B68" s="149"/>
      <c r="C68" s="149"/>
      <c r="D68" s="157"/>
      <c r="E68" s="161"/>
      <c r="F68" s="160"/>
      <c r="G68" s="161"/>
      <c r="H68" s="160"/>
    </row>
    <row r="69" spans="1:9">
      <c r="A69" s="152" t="s">
        <v>143</v>
      </c>
      <c r="B69" s="149"/>
      <c r="C69" s="149"/>
      <c r="D69" s="157"/>
      <c r="E69" s="161"/>
      <c r="F69" s="160"/>
      <c r="G69" s="161"/>
      <c r="H69" s="160"/>
    </row>
    <row r="70" spans="1:9">
      <c r="A70" s="149" t="s">
        <v>1</v>
      </c>
      <c r="B70" s="149">
        <f>G12</f>
        <v>9</v>
      </c>
      <c r="C70" s="149" t="s">
        <v>144</v>
      </c>
      <c r="D70" s="157">
        <v>85</v>
      </c>
      <c r="E70" s="161">
        <f t="shared" si="0"/>
        <v>765</v>
      </c>
      <c r="F70" s="160">
        <f>+E70/$B$9</f>
        <v>0.5730337078651685</v>
      </c>
      <c r="G70" s="161">
        <f>+D70*B70*AdjRate</f>
        <v>918</v>
      </c>
      <c r="H70" s="160">
        <f>+G70/$B$9</f>
        <v>0.68764044943820224</v>
      </c>
    </row>
    <row r="71" spans="1:9">
      <c r="A71" s="149" t="s">
        <v>145</v>
      </c>
      <c r="B71" s="149">
        <v>0</v>
      </c>
      <c r="C71" s="149" t="s">
        <v>57</v>
      </c>
      <c r="D71" s="157">
        <v>480</v>
      </c>
      <c r="E71" s="161">
        <f t="shared" si="0"/>
        <v>0</v>
      </c>
      <c r="F71" s="160">
        <f>+E71/$B$9</f>
        <v>0</v>
      </c>
      <c r="G71" s="161">
        <f>+D71*B71*AdjRate</f>
        <v>0</v>
      </c>
      <c r="H71" s="160">
        <f>+G71/$B$9</f>
        <v>0</v>
      </c>
    </row>
    <row r="72" spans="1:9">
      <c r="A72" s="149" t="s">
        <v>146</v>
      </c>
      <c r="B72" s="149">
        <v>36</v>
      </c>
      <c r="C72" s="149" t="s">
        <v>65</v>
      </c>
      <c r="D72" s="157">
        <v>7.5</v>
      </c>
      <c r="E72" s="161">
        <f t="shared" si="0"/>
        <v>270</v>
      </c>
      <c r="F72" s="160">
        <f>+E72/$B$9</f>
        <v>0.20224719101123595</v>
      </c>
      <c r="G72" s="161">
        <f>+E72*AdjRate</f>
        <v>324</v>
      </c>
      <c r="H72" s="160">
        <f>+G72/$B$9</f>
        <v>0.24269662921348314</v>
      </c>
    </row>
    <row r="73" spans="1:9">
      <c r="A73" s="149"/>
      <c r="B73" s="149"/>
      <c r="C73" s="149"/>
      <c r="D73" s="157"/>
      <c r="E73" s="161"/>
      <c r="F73" s="160"/>
      <c r="G73" s="161"/>
      <c r="H73" s="160"/>
    </row>
    <row r="74" spans="1:9">
      <c r="A74" s="152" t="s">
        <v>147</v>
      </c>
      <c r="B74" s="149"/>
      <c r="C74" s="149"/>
      <c r="D74" s="157"/>
      <c r="E74" s="161"/>
      <c r="F74" s="160"/>
      <c r="G74" s="161"/>
      <c r="H74" s="160"/>
    </row>
    <row r="75" spans="1:9">
      <c r="A75" s="149" t="s">
        <v>148</v>
      </c>
      <c r="B75" s="149">
        <f>1.3*1164/100</f>
        <v>15.132</v>
      </c>
      <c r="C75" s="149" t="s">
        <v>149</v>
      </c>
      <c r="D75" s="157">
        <v>52</v>
      </c>
      <c r="E75" s="161">
        <f t="shared" si="0"/>
        <v>786.86400000000003</v>
      </c>
      <c r="F75" s="160">
        <f>+E75/$B$9</f>
        <v>0.58941123595505618</v>
      </c>
      <c r="G75" s="161">
        <f>+E75*AdjRate</f>
        <v>944.23680000000002</v>
      </c>
      <c r="H75" s="160">
        <f>+G75/$B$9</f>
        <v>0.70729348314606744</v>
      </c>
    </row>
    <row r="76" spans="1:9">
      <c r="A76" s="149" t="s">
        <v>150</v>
      </c>
      <c r="B76" s="149">
        <v>1</v>
      </c>
      <c r="C76" s="149" t="s">
        <v>57</v>
      </c>
      <c r="D76" s="157">
        <v>200</v>
      </c>
      <c r="E76" s="161">
        <f t="shared" si="0"/>
        <v>200</v>
      </c>
      <c r="F76" s="160">
        <f>+E76/$B$9</f>
        <v>0.14981273408239701</v>
      </c>
      <c r="G76" s="161">
        <f>+D76*B76*AdjRate</f>
        <v>240</v>
      </c>
      <c r="H76" s="160">
        <f>+G76/$B$9</f>
        <v>0.1797752808988764</v>
      </c>
    </row>
    <row r="77" spans="1:9">
      <c r="A77" s="149" t="s">
        <v>151</v>
      </c>
      <c r="B77" s="149">
        <f>+B$9</f>
        <v>1335</v>
      </c>
      <c r="C77" s="149" t="s">
        <v>65</v>
      </c>
      <c r="D77" s="157">
        <v>0.75</v>
      </c>
      <c r="E77" s="161">
        <f t="shared" si="0"/>
        <v>1001.25</v>
      </c>
      <c r="F77" s="160">
        <f>+E77/$B$9</f>
        <v>0.75</v>
      </c>
      <c r="G77" s="161">
        <f>+D77*B77*AdjRate</f>
        <v>1201.5</v>
      </c>
      <c r="H77" s="160">
        <f>+G77/$B$9</f>
        <v>0.9</v>
      </c>
    </row>
    <row r="78" spans="1:9">
      <c r="A78" s="149" t="s">
        <v>15</v>
      </c>
      <c r="B78" s="149">
        <f>+B$9</f>
        <v>1335</v>
      </c>
      <c r="C78" s="149" t="s">
        <v>65</v>
      </c>
      <c r="D78" s="157">
        <v>3</v>
      </c>
      <c r="E78" s="161">
        <f t="shared" si="0"/>
        <v>4005</v>
      </c>
      <c r="F78" s="160">
        <f>+E78/$B$9</f>
        <v>3</v>
      </c>
      <c r="G78" s="161">
        <f t="shared" ref="G78:G89" si="7">+E78*AdjRate</f>
        <v>4806</v>
      </c>
      <c r="H78" s="160">
        <f>+G78/$B$9</f>
        <v>3.6</v>
      </c>
    </row>
    <row r="79" spans="1:9">
      <c r="A79" s="149"/>
      <c r="B79" s="149"/>
      <c r="C79" s="149"/>
      <c r="D79" s="157"/>
      <c r="E79" s="161"/>
      <c r="F79" s="160"/>
      <c r="G79" s="161"/>
      <c r="H79" s="160"/>
    </row>
    <row r="80" spans="1:9">
      <c r="A80" s="152" t="s">
        <v>98</v>
      </c>
      <c r="B80" s="149"/>
      <c r="C80" s="149"/>
      <c r="D80" s="157"/>
      <c r="E80" s="161"/>
      <c r="F80" s="160"/>
      <c r="G80" s="161"/>
      <c r="H80" s="160"/>
    </row>
    <row r="81" spans="1:9">
      <c r="A81" s="149" t="s">
        <v>152</v>
      </c>
      <c r="B81" s="149">
        <f>+G5</f>
        <v>315</v>
      </c>
      <c r="C81" s="149" t="s">
        <v>65</v>
      </c>
      <c r="D81" s="157">
        <v>5.5</v>
      </c>
      <c r="E81" s="161">
        <f t="shared" ref="E81:E105" si="8">D81*B81</f>
        <v>1732.5</v>
      </c>
      <c r="F81" s="160">
        <f>+E81/$B$9</f>
        <v>1.297752808988764</v>
      </c>
      <c r="G81" s="161">
        <f t="shared" si="7"/>
        <v>2079</v>
      </c>
      <c r="H81" s="160">
        <f>+G81/$B$9</f>
        <v>1.5573033707865169</v>
      </c>
    </row>
    <row r="82" spans="1:9">
      <c r="A82" s="149" t="s">
        <v>153</v>
      </c>
      <c r="B82" s="149">
        <v>0</v>
      </c>
      <c r="C82" s="149" t="s">
        <v>65</v>
      </c>
      <c r="D82" s="157">
        <v>2</v>
      </c>
      <c r="E82" s="161">
        <f t="shared" si="8"/>
        <v>0</v>
      </c>
      <c r="F82" s="160">
        <f t="shared" ref="F82:H110" si="9">+E82/$B$9</f>
        <v>0</v>
      </c>
      <c r="G82" s="161">
        <f t="shared" si="7"/>
        <v>0</v>
      </c>
      <c r="H82" s="160">
        <f t="shared" si="9"/>
        <v>0</v>
      </c>
    </row>
    <row r="83" spans="1:9">
      <c r="A83" s="149" t="s">
        <v>154</v>
      </c>
      <c r="B83" s="149">
        <f>+TCSF</f>
        <v>1960</v>
      </c>
      <c r="C83" s="149" t="s">
        <v>65</v>
      </c>
      <c r="D83" s="157">
        <v>2.1</v>
      </c>
      <c r="E83" s="161">
        <f t="shared" si="8"/>
        <v>4116</v>
      </c>
      <c r="F83" s="160">
        <f t="shared" si="9"/>
        <v>3.0831460674157305</v>
      </c>
      <c r="G83" s="161">
        <f t="shared" si="7"/>
        <v>4939.2</v>
      </c>
      <c r="H83" s="160">
        <f t="shared" si="9"/>
        <v>3.6997752808988764</v>
      </c>
    </row>
    <row r="84" spans="1:9">
      <c r="A84" s="149" t="s">
        <v>199</v>
      </c>
      <c r="B84" s="149">
        <v>48</v>
      </c>
      <c r="C84" s="149" t="s">
        <v>65</v>
      </c>
      <c r="D84" s="157">
        <v>5.5</v>
      </c>
      <c r="E84" s="161">
        <f t="shared" si="8"/>
        <v>264</v>
      </c>
      <c r="F84" s="160">
        <f t="shared" si="9"/>
        <v>0.19775280898876405</v>
      </c>
      <c r="G84" s="161">
        <f t="shared" si="7"/>
        <v>316.8</v>
      </c>
      <c r="H84" s="160">
        <f t="shared" si="9"/>
        <v>0.23730337078651687</v>
      </c>
    </row>
    <row r="85" spans="1:9">
      <c r="A85" s="149" t="s">
        <v>156</v>
      </c>
      <c r="B85" s="149">
        <f>(B9-35-150-150-100)/9</f>
        <v>100</v>
      </c>
      <c r="C85" s="149" t="s">
        <v>157</v>
      </c>
      <c r="D85" s="157">
        <v>15</v>
      </c>
      <c r="E85" s="161">
        <f t="shared" si="8"/>
        <v>1500</v>
      </c>
      <c r="F85" s="160">
        <f t="shared" si="9"/>
        <v>1.1235955056179776</v>
      </c>
      <c r="G85" s="161">
        <f t="shared" si="7"/>
        <v>1800</v>
      </c>
      <c r="H85" s="160">
        <f t="shared" si="9"/>
        <v>1.348314606741573</v>
      </c>
    </row>
    <row r="86" spans="1:9">
      <c r="A86" s="149" t="s">
        <v>158</v>
      </c>
      <c r="B86" s="149">
        <v>27</v>
      </c>
      <c r="C86" s="149" t="s">
        <v>63</v>
      </c>
      <c r="D86" s="157">
        <v>24</v>
      </c>
      <c r="E86" s="161">
        <f t="shared" si="8"/>
        <v>648</v>
      </c>
      <c r="F86" s="160">
        <f t="shared" si="9"/>
        <v>0.48539325842696629</v>
      </c>
      <c r="G86" s="161">
        <f t="shared" si="7"/>
        <v>777.6</v>
      </c>
      <c r="H86" s="160">
        <f t="shared" si="9"/>
        <v>0.58247191011235955</v>
      </c>
    </row>
    <row r="87" spans="1:9">
      <c r="A87" s="149" t="s">
        <v>200</v>
      </c>
      <c r="B87" s="149">
        <v>9</v>
      </c>
      <c r="C87" s="149" t="s">
        <v>63</v>
      </c>
      <c r="D87" s="157">
        <v>24</v>
      </c>
      <c r="E87" s="161">
        <f t="shared" si="8"/>
        <v>216</v>
      </c>
      <c r="F87" s="160">
        <f t="shared" si="9"/>
        <v>0.16179775280898875</v>
      </c>
      <c r="G87" s="161">
        <f t="shared" si="7"/>
        <v>259.2</v>
      </c>
      <c r="H87" s="160">
        <f t="shared" si="9"/>
        <v>0.19415730337078652</v>
      </c>
    </row>
    <row r="88" spans="1:9">
      <c r="A88" s="149" t="s">
        <v>160</v>
      </c>
      <c r="B88" s="149">
        <v>2</v>
      </c>
      <c r="C88" s="149" t="s">
        <v>161</v>
      </c>
      <c r="D88" s="157">
        <v>40</v>
      </c>
      <c r="E88" s="161">
        <f t="shared" si="8"/>
        <v>80</v>
      </c>
      <c r="F88" s="160">
        <f t="shared" si="9"/>
        <v>5.9925093632958802E-2</v>
      </c>
      <c r="G88" s="161">
        <f t="shared" si="7"/>
        <v>96</v>
      </c>
      <c r="H88" s="160">
        <f t="shared" si="9"/>
        <v>7.1910112359550568E-2</v>
      </c>
    </row>
    <row r="89" spans="1:9">
      <c r="A89" s="149" t="s">
        <v>162</v>
      </c>
      <c r="B89" s="149">
        <v>0</v>
      </c>
      <c r="C89" s="149" t="s">
        <v>163</v>
      </c>
      <c r="D89" s="157">
        <v>750</v>
      </c>
      <c r="E89" s="161">
        <f t="shared" si="8"/>
        <v>0</v>
      </c>
      <c r="F89" s="160">
        <f t="shared" si="9"/>
        <v>0</v>
      </c>
      <c r="G89" s="161">
        <f t="shared" si="7"/>
        <v>0</v>
      </c>
      <c r="H89" s="160">
        <f t="shared" si="9"/>
        <v>0</v>
      </c>
    </row>
    <row r="90" spans="1:9">
      <c r="A90" s="149" t="s">
        <v>201</v>
      </c>
      <c r="B90" s="149">
        <v>1</v>
      </c>
      <c r="C90" s="149" t="s">
        <v>163</v>
      </c>
      <c r="D90" s="157">
        <v>300</v>
      </c>
      <c r="E90" s="161">
        <f t="shared" si="8"/>
        <v>300</v>
      </c>
      <c r="F90" s="160">
        <f t="shared" si="9"/>
        <v>0.2247191011235955</v>
      </c>
      <c r="G90" s="161">
        <f>+D90*B90*AdjRate</f>
        <v>360</v>
      </c>
      <c r="H90" s="160">
        <f t="shared" si="9"/>
        <v>0.2696629213483146</v>
      </c>
      <c r="I90" s="8"/>
    </row>
    <row r="91" spans="1:9">
      <c r="A91" s="149" t="s">
        <v>165</v>
      </c>
      <c r="B91" s="149">
        <f>G12</f>
        <v>9</v>
      </c>
      <c r="C91" s="149" t="s">
        <v>166</v>
      </c>
      <c r="D91" s="157">
        <v>35</v>
      </c>
      <c r="E91" s="161">
        <f t="shared" si="8"/>
        <v>315</v>
      </c>
      <c r="F91" s="160">
        <f t="shared" si="9"/>
        <v>0.23595505617977527</v>
      </c>
      <c r="G91" s="161">
        <f>+D91*B91*AdjRate</f>
        <v>378</v>
      </c>
      <c r="H91" s="160">
        <f t="shared" si="9"/>
        <v>0.28314606741573034</v>
      </c>
    </row>
    <row r="92" spans="1:9">
      <c r="A92" s="149" t="s">
        <v>167</v>
      </c>
      <c r="B92" s="149">
        <v>0</v>
      </c>
      <c r="C92" s="149" t="s">
        <v>57</v>
      </c>
      <c r="D92" s="157">
        <v>0</v>
      </c>
      <c r="E92" s="161">
        <f t="shared" si="8"/>
        <v>0</v>
      </c>
      <c r="F92" s="160">
        <f t="shared" si="9"/>
        <v>0</v>
      </c>
      <c r="G92" s="161">
        <f>+E92*AdjRate</f>
        <v>0</v>
      </c>
      <c r="H92" s="160">
        <f t="shared" si="9"/>
        <v>0</v>
      </c>
    </row>
    <row r="93" spans="1:9">
      <c r="A93" s="149"/>
      <c r="B93" s="149"/>
      <c r="C93" s="149"/>
      <c r="D93" s="157"/>
      <c r="E93" s="161"/>
      <c r="F93" s="160"/>
      <c r="G93" s="161"/>
      <c r="H93" s="160"/>
    </row>
    <row r="94" spans="1:9">
      <c r="A94" s="152" t="s">
        <v>168</v>
      </c>
      <c r="B94" s="149"/>
      <c r="C94" s="149"/>
      <c r="D94" s="157"/>
      <c r="E94" s="161"/>
      <c r="F94" s="160"/>
      <c r="G94" s="161"/>
      <c r="H94" s="160"/>
    </row>
    <row r="95" spans="1:9">
      <c r="A95" s="149" t="s">
        <v>4</v>
      </c>
      <c r="B95" s="149">
        <v>1</v>
      </c>
      <c r="C95" s="149" t="s">
        <v>57</v>
      </c>
      <c r="D95" s="157">
        <v>550</v>
      </c>
      <c r="E95" s="161">
        <f t="shared" si="8"/>
        <v>550</v>
      </c>
      <c r="F95" s="160">
        <f t="shared" si="9"/>
        <v>0.41198501872659177</v>
      </c>
      <c r="G95" s="161">
        <f>+D95*B95*AdjRate</f>
        <v>660</v>
      </c>
      <c r="H95" s="160">
        <f t="shared" si="9"/>
        <v>0.4943820224719101</v>
      </c>
    </row>
    <row r="96" spans="1:9">
      <c r="A96" s="149" t="s">
        <v>169</v>
      </c>
      <c r="B96" s="149">
        <v>0</v>
      </c>
      <c r="C96" s="149" t="s">
        <v>66</v>
      </c>
      <c r="D96" s="157">
        <v>650</v>
      </c>
      <c r="E96" s="161">
        <f t="shared" si="8"/>
        <v>0</v>
      </c>
      <c r="F96" s="160">
        <f>+E96/$B$9</f>
        <v>0</v>
      </c>
      <c r="G96" s="161">
        <f>+D96*B96*AdjRate</f>
        <v>0</v>
      </c>
      <c r="H96" s="160">
        <f>+G96/$B$9</f>
        <v>0</v>
      </c>
    </row>
    <row r="97" spans="1:8">
      <c r="A97" s="149" t="s">
        <v>170</v>
      </c>
      <c r="B97" s="149">
        <v>1</v>
      </c>
      <c r="C97" s="149" t="s">
        <v>171</v>
      </c>
      <c r="D97" s="157">
        <v>650</v>
      </c>
      <c r="E97" s="161">
        <f t="shared" si="8"/>
        <v>650</v>
      </c>
      <c r="F97" s="160">
        <f t="shared" si="9"/>
        <v>0.48689138576779029</v>
      </c>
      <c r="G97" s="161">
        <f>+E97*AdjRate</f>
        <v>780</v>
      </c>
      <c r="H97" s="160">
        <f t="shared" si="9"/>
        <v>0.5842696629213483</v>
      </c>
    </row>
    <row r="98" spans="1:8">
      <c r="A98" s="149"/>
      <c r="B98" s="149"/>
      <c r="C98" s="149"/>
      <c r="D98" s="157"/>
      <c r="E98" s="161"/>
      <c r="F98" s="160"/>
      <c r="G98" s="161"/>
      <c r="H98" s="160"/>
    </row>
    <row r="99" spans="1:8">
      <c r="A99" s="152" t="s">
        <v>172</v>
      </c>
      <c r="B99" s="149"/>
      <c r="C99" s="149"/>
      <c r="D99" s="157"/>
      <c r="E99" s="161"/>
      <c r="F99" s="160"/>
      <c r="G99" s="161"/>
      <c r="H99" s="160"/>
    </row>
    <row r="100" spans="1:8">
      <c r="A100" s="149" t="s">
        <v>173</v>
      </c>
      <c r="B100" s="149">
        <f>TCSF</f>
        <v>1960</v>
      </c>
      <c r="C100" s="149" t="s">
        <v>65</v>
      </c>
      <c r="D100" s="157">
        <v>2.2000000000000002</v>
      </c>
      <c r="E100" s="161">
        <f t="shared" si="8"/>
        <v>4312</v>
      </c>
      <c r="F100" s="160">
        <f t="shared" si="9"/>
        <v>3.2299625468164792</v>
      </c>
      <c r="G100" s="161">
        <f>+D100*B100*AdjRate</f>
        <v>5174.3999999999996</v>
      </c>
      <c r="H100" s="160">
        <f t="shared" si="9"/>
        <v>3.8759550561797749</v>
      </c>
    </row>
    <row r="101" spans="1:8">
      <c r="A101" s="149" t="s">
        <v>174</v>
      </c>
      <c r="B101" s="149">
        <v>1</v>
      </c>
      <c r="C101" s="149" t="s">
        <v>57</v>
      </c>
      <c r="D101" s="157">
        <v>700</v>
      </c>
      <c r="E101" s="161">
        <f t="shared" si="8"/>
        <v>700</v>
      </c>
      <c r="F101" s="160">
        <f t="shared" si="9"/>
        <v>0.52434456928838946</v>
      </c>
      <c r="G101" s="161">
        <f>+D101*B101*AdjRate</f>
        <v>840</v>
      </c>
      <c r="H101" s="160">
        <f t="shared" si="9"/>
        <v>0.6292134831460674</v>
      </c>
    </row>
    <row r="102" spans="1:8">
      <c r="A102" s="149" t="s">
        <v>175</v>
      </c>
      <c r="B102" s="149">
        <v>1</v>
      </c>
      <c r="C102" s="149" t="s">
        <v>57</v>
      </c>
      <c r="D102" s="157">
        <v>450</v>
      </c>
      <c r="E102" s="161">
        <f t="shared" si="8"/>
        <v>450</v>
      </c>
      <c r="F102" s="160">
        <f t="shared" si="9"/>
        <v>0.33707865168539325</v>
      </c>
      <c r="G102" s="161">
        <f t="shared" ref="G102:G107" si="10">+E102*AdjRate</f>
        <v>540</v>
      </c>
      <c r="H102" s="160">
        <f t="shared" si="9"/>
        <v>0.4044943820224719</v>
      </c>
    </row>
    <row r="103" spans="1:8">
      <c r="A103" s="149"/>
      <c r="B103" s="149"/>
      <c r="C103" s="149"/>
      <c r="D103" s="157"/>
      <c r="E103" s="161"/>
      <c r="F103" s="160"/>
      <c r="G103" s="161"/>
      <c r="H103" s="160"/>
    </row>
    <row r="104" spans="1:8">
      <c r="A104" s="152" t="s">
        <v>176</v>
      </c>
      <c r="B104" s="149"/>
      <c r="C104" s="149"/>
      <c r="D104" s="157"/>
      <c r="E104" s="161"/>
      <c r="F104" s="160"/>
      <c r="G104" s="161"/>
      <c r="H104" s="160"/>
    </row>
    <row r="105" spans="1:8">
      <c r="A105" s="149" t="s">
        <v>177</v>
      </c>
      <c r="B105" s="149">
        <v>1</v>
      </c>
      <c r="C105" s="149" t="s">
        <v>57</v>
      </c>
      <c r="D105" s="157">
        <v>4200</v>
      </c>
      <c r="E105" s="161">
        <f t="shared" si="8"/>
        <v>4200</v>
      </c>
      <c r="F105" s="160">
        <f t="shared" si="9"/>
        <v>3.1460674157303372</v>
      </c>
      <c r="G105" s="161">
        <f t="shared" si="10"/>
        <v>5040</v>
      </c>
      <c r="H105" s="160">
        <f t="shared" si="9"/>
        <v>3.7752808988764044</v>
      </c>
    </row>
    <row r="106" spans="1:8">
      <c r="A106" s="149" t="s">
        <v>195</v>
      </c>
      <c r="B106" s="149">
        <v>25</v>
      </c>
      <c r="C106" s="149" t="s">
        <v>63</v>
      </c>
      <c r="D106" s="157">
        <v>15</v>
      </c>
      <c r="E106" s="161">
        <f>D106*B106</f>
        <v>375</v>
      </c>
      <c r="F106" s="160">
        <f t="shared" si="9"/>
        <v>0.2808988764044944</v>
      </c>
      <c r="G106" s="161">
        <f t="shared" si="10"/>
        <v>450</v>
      </c>
      <c r="H106" s="160">
        <f t="shared" si="9"/>
        <v>0.33707865168539325</v>
      </c>
    </row>
    <row r="107" spans="1:8">
      <c r="A107" s="149" t="s">
        <v>178</v>
      </c>
      <c r="B107" s="149">
        <v>1</v>
      </c>
      <c r="C107" s="149" t="s">
        <v>57</v>
      </c>
      <c r="D107" s="157">
        <v>2000</v>
      </c>
      <c r="E107" s="161">
        <f>D107*B107</f>
        <v>2000</v>
      </c>
      <c r="F107" s="160">
        <f t="shared" si="9"/>
        <v>1.4981273408239701</v>
      </c>
      <c r="G107" s="161">
        <f t="shared" si="10"/>
        <v>2400</v>
      </c>
      <c r="H107" s="160">
        <f t="shared" si="9"/>
        <v>1.797752808988764</v>
      </c>
    </row>
    <row r="108" spans="1:8">
      <c r="A108" s="149" t="s">
        <v>197</v>
      </c>
      <c r="B108" s="149">
        <v>1</v>
      </c>
      <c r="C108" s="149" t="s">
        <v>57</v>
      </c>
      <c r="D108" s="157">
        <v>990</v>
      </c>
      <c r="E108" s="161">
        <f>D108*B108</f>
        <v>990</v>
      </c>
      <c r="F108" s="160">
        <f t="shared" si="9"/>
        <v>0.7415730337078652</v>
      </c>
      <c r="G108" s="161">
        <f>+D108*B108*AdjRate</f>
        <v>1188</v>
      </c>
      <c r="H108" s="160">
        <f t="shared" si="9"/>
        <v>0.88988764044943824</v>
      </c>
    </row>
    <row r="109" spans="1:8">
      <c r="A109" s="149" t="s">
        <v>3</v>
      </c>
      <c r="B109" s="149">
        <f>B9</f>
        <v>1335</v>
      </c>
      <c r="C109" s="149" t="s">
        <v>65</v>
      </c>
      <c r="D109" s="157">
        <v>2.85</v>
      </c>
      <c r="E109" s="161">
        <f>D109*B109</f>
        <v>3804.75</v>
      </c>
      <c r="F109" s="160">
        <f t="shared" si="9"/>
        <v>2.85</v>
      </c>
      <c r="G109" s="161">
        <f>+D109*B109*AdjRate</f>
        <v>4565.7</v>
      </c>
      <c r="H109" s="160">
        <f t="shared" si="9"/>
        <v>3.42</v>
      </c>
    </row>
    <row r="110" spans="1:8">
      <c r="A110" s="149" t="s">
        <v>9</v>
      </c>
      <c r="B110" s="149">
        <f>ConstTime</f>
        <v>6</v>
      </c>
      <c r="C110" s="149" t="s">
        <v>77</v>
      </c>
      <c r="D110" s="157">
        <f>((1000*52)/12+250+100)/4</f>
        <v>1170.8333333333333</v>
      </c>
      <c r="E110" s="161">
        <f>D110*B110</f>
        <v>7025</v>
      </c>
      <c r="F110" s="160">
        <f t="shared" si="9"/>
        <v>5.262172284644195</v>
      </c>
      <c r="G110" s="161">
        <f>+(D110*B110)*AdjRate</f>
        <v>8430</v>
      </c>
      <c r="H110" s="160">
        <f t="shared" si="9"/>
        <v>6.3146067415730336</v>
      </c>
    </row>
    <row r="111" spans="1:8" ht="13.5" thickBot="1">
      <c r="A111" s="156" t="s">
        <v>241</v>
      </c>
      <c r="B111" s="156"/>
      <c r="C111" s="156"/>
      <c r="D111" s="156"/>
      <c r="E111" s="158">
        <f>SUM(E18:E110)</f>
        <v>78192.739000000001</v>
      </c>
      <c r="F111" s="159">
        <f>SUM(F18:F110)</f>
        <v>58.571340074906367</v>
      </c>
      <c r="G111" s="158">
        <f>SUM(G18:G110)</f>
        <v>98403.286800000002</v>
      </c>
      <c r="H111" s="159">
        <f>SUM(H18:H110)</f>
        <v>73.710327191011231</v>
      </c>
    </row>
    <row r="112" spans="1:8" ht="13.5" thickTop="1">
      <c r="A112" s="149"/>
      <c r="B112" s="149"/>
      <c r="C112" s="149"/>
      <c r="D112" s="149"/>
      <c r="E112" s="161"/>
      <c r="F112" s="161"/>
      <c r="G112" s="149"/>
      <c r="H112" s="149"/>
    </row>
    <row r="113" spans="4:6">
      <c r="D113" s="5"/>
      <c r="E113" s="5"/>
      <c r="F113" s="5"/>
    </row>
    <row r="114" spans="4:6">
      <c r="D114" s="5"/>
      <c r="E114" s="5"/>
      <c r="F114" s="5"/>
    </row>
    <row r="115" spans="4:6">
      <c r="D115" s="5"/>
      <c r="E115" s="5"/>
      <c r="F115" s="5"/>
    </row>
    <row r="116" spans="4:6">
      <c r="D116" s="5"/>
      <c r="E116" s="5"/>
      <c r="F116" s="5"/>
    </row>
    <row r="117" spans="4:6">
      <c r="D117" s="5"/>
      <c r="E117" s="5"/>
      <c r="F117" s="5"/>
    </row>
    <row r="118" spans="4:6">
      <c r="D118" s="5"/>
      <c r="E118" s="5"/>
      <c r="F118" s="5"/>
    </row>
    <row r="119" spans="4:6">
      <c r="D119" s="5"/>
      <c r="E119" s="5"/>
      <c r="F119" s="5"/>
    </row>
    <row r="120" spans="4:6">
      <c r="D120" s="5"/>
      <c r="E120" s="5"/>
      <c r="F120" s="5"/>
    </row>
    <row r="121" spans="4:6">
      <c r="D121" s="5"/>
      <c r="E121" s="5"/>
      <c r="F121" s="5"/>
    </row>
    <row r="122" spans="4:6">
      <c r="D122" s="5"/>
      <c r="E122" s="5"/>
      <c r="F122" s="5"/>
    </row>
    <row r="123" spans="4:6">
      <c r="D123" s="5"/>
      <c r="E123" s="5"/>
      <c r="F123" s="5"/>
    </row>
    <row r="124" spans="4:6">
      <c r="D124" s="5"/>
      <c r="E124" s="5"/>
      <c r="F124" s="5"/>
    </row>
    <row r="125" spans="4:6">
      <c r="D125" s="5"/>
      <c r="E125" s="5"/>
      <c r="F125" s="5"/>
    </row>
    <row r="126" spans="4:6">
      <c r="D126" s="5"/>
      <c r="E126" s="5"/>
      <c r="F126" s="5"/>
    </row>
    <row r="127" spans="4:6">
      <c r="D127" s="5"/>
      <c r="E127" s="5"/>
      <c r="F127" s="5"/>
    </row>
    <row r="128" spans="4:6">
      <c r="D128" s="5"/>
      <c r="E128" s="5"/>
      <c r="F128" s="5"/>
    </row>
    <row r="129" spans="4:6">
      <c r="D129" s="5"/>
      <c r="E129" s="5"/>
      <c r="F129" s="5"/>
    </row>
    <row r="130" spans="4:6">
      <c r="D130" s="5"/>
      <c r="E130" s="5"/>
      <c r="F130" s="5"/>
    </row>
    <row r="131" spans="4:6">
      <c r="D131" s="5"/>
      <c r="E131" s="5"/>
      <c r="F131" s="5"/>
    </row>
    <row r="132" spans="4:6">
      <c r="D132" s="5"/>
      <c r="E132" s="5"/>
      <c r="F132" s="5"/>
    </row>
    <row r="133" spans="4:6">
      <c r="D133" s="5"/>
      <c r="E133" s="5"/>
      <c r="F133" s="5"/>
    </row>
    <row r="134" spans="4:6">
      <c r="D134" s="5"/>
      <c r="E134" s="5"/>
      <c r="F134" s="5"/>
    </row>
    <row r="135" spans="4:6">
      <c r="D135" s="5"/>
      <c r="E135" s="5"/>
      <c r="F135" s="5"/>
    </row>
    <row r="136" spans="4:6">
      <c r="D136" s="5"/>
      <c r="E136" s="5"/>
      <c r="F136" s="5"/>
    </row>
    <row r="137" spans="4:6">
      <c r="D137" s="5"/>
      <c r="E137" s="5"/>
      <c r="F137" s="5"/>
    </row>
    <row r="138" spans="4:6">
      <c r="D138" s="5"/>
      <c r="E138" s="5"/>
      <c r="F138" s="5"/>
    </row>
    <row r="139" spans="4:6">
      <c r="D139" s="5"/>
      <c r="E139" s="5"/>
      <c r="F139" s="5"/>
    </row>
    <row r="140" spans="4:6">
      <c r="D140" s="5"/>
      <c r="E140" s="5"/>
      <c r="F140" s="5"/>
    </row>
    <row r="141" spans="4:6">
      <c r="D141" s="5"/>
      <c r="E141" s="5"/>
      <c r="F141" s="5"/>
    </row>
    <row r="142" spans="4:6">
      <c r="D142" s="5"/>
      <c r="E142" s="5"/>
      <c r="F142" s="5"/>
    </row>
  </sheetData>
  <mergeCells count="1">
    <mergeCell ref="A1:H1"/>
  </mergeCells>
  <phoneticPr fontId="3" type="noConversion"/>
  <printOptions horizontalCentered="1"/>
  <pageMargins left="0.25" right="0.25" top="1" bottom="1" header="0.5" footer="0.5"/>
  <pageSetup scale="88" fitToHeight="2" orientation="portrait" horizontalDpi="300" verticalDpi="300" r:id="rId1"/>
  <headerFooter alignWithMargins="0">
    <oddHeader>&amp;C&amp;"Garamond,Bold"&amp;12WESTGATE &amp;&amp; CAMERON LOOP
96 CONDOMINIIUMS</oddHeader>
    <oddFooter>&amp;L&amp;"Garamond,Regular"&amp;8&amp;F&amp;C&amp;"Garamond,Regular"&amp;P Of &amp;N&amp;R&amp;"Garamond,Regular"&amp;8&amp;D</oddFooter>
  </headerFooter>
  <colBreaks count="1" manualBreakCount="1">
    <brk id="9"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pageSetUpPr fitToPage="1"/>
  </sheetPr>
  <dimension ref="A1:L142"/>
  <sheetViews>
    <sheetView zoomScaleNormal="100" workbookViewId="0">
      <selection activeCell="F47" activeCellId="1" sqref="B36 F47:F50"/>
    </sheetView>
  </sheetViews>
  <sheetFormatPr defaultRowHeight="12.75"/>
  <cols>
    <col min="1" max="1" width="16.5703125" style="3" customWidth="1"/>
    <col min="2" max="2" width="10.42578125" style="3" customWidth="1"/>
    <col min="3" max="3" width="5.85546875" style="3" customWidth="1"/>
    <col min="4" max="4" width="10.42578125" style="3" customWidth="1"/>
    <col min="5" max="5" width="9" style="3" bestFit="1" customWidth="1"/>
    <col min="6" max="6" width="9" style="3" customWidth="1"/>
    <col min="7" max="8" width="10.42578125" style="3" customWidth="1"/>
    <col min="9" max="9" width="12.85546875" style="3" customWidth="1"/>
    <col min="10" max="10" width="20.85546875" style="3" customWidth="1"/>
    <col min="11" max="16384" width="9.140625" style="3"/>
  </cols>
  <sheetData>
    <row r="1" spans="1:9" ht="13.5" customHeight="1" thickBot="1">
      <c r="A1" s="329" t="s">
        <v>377</v>
      </c>
      <c r="B1" s="330"/>
      <c r="C1" s="330"/>
      <c r="D1" s="330"/>
      <c r="E1" s="330"/>
      <c r="F1" s="330"/>
      <c r="G1" s="330"/>
      <c r="H1" s="330"/>
    </row>
    <row r="2" spans="1:9">
      <c r="A2"/>
      <c r="B2"/>
      <c r="C2"/>
      <c r="D2"/>
      <c r="E2"/>
      <c r="F2"/>
    </row>
    <row r="3" spans="1:9" ht="25.5">
      <c r="A3" s="151" t="s">
        <v>100</v>
      </c>
      <c r="B3" s="151" t="s">
        <v>84</v>
      </c>
      <c r="C3" s="151" t="s">
        <v>16</v>
      </c>
      <c r="D3" s="151" t="s">
        <v>82</v>
      </c>
      <c r="E3" s="151" t="s">
        <v>101</v>
      </c>
      <c r="F3" s="151" t="s">
        <v>371</v>
      </c>
      <c r="G3" s="151" t="s">
        <v>370</v>
      </c>
      <c r="H3" s="151" t="s">
        <v>371</v>
      </c>
      <c r="I3" s="151"/>
    </row>
    <row r="4" spans="1:9">
      <c r="A4" s="4"/>
      <c r="B4" s="4"/>
      <c r="C4" s="4"/>
      <c r="D4" s="9"/>
      <c r="E4" s="147"/>
      <c r="F4" s="147"/>
      <c r="G4" s="9"/>
      <c r="H4" s="9"/>
    </row>
    <row r="5" spans="1:9">
      <c r="A5" s="152" t="s">
        <v>88</v>
      </c>
      <c r="B5" s="149"/>
      <c r="C5" s="149"/>
      <c r="E5" s="149" t="s">
        <v>98</v>
      </c>
      <c r="F5" s="149"/>
      <c r="G5" s="149">
        <f>35*9</f>
        <v>315</v>
      </c>
      <c r="H5" s="149" t="s">
        <v>65</v>
      </c>
    </row>
    <row r="6" spans="1:9">
      <c r="A6" s="152" t="s">
        <v>89</v>
      </c>
      <c r="B6" s="149"/>
      <c r="C6" s="149"/>
      <c r="E6" s="149" t="s">
        <v>8</v>
      </c>
      <c r="F6" s="149"/>
      <c r="G6" s="149">
        <f>B7+B14</f>
        <v>1960</v>
      </c>
      <c r="H6" s="149" t="s">
        <v>65</v>
      </c>
    </row>
    <row r="7" spans="1:9">
      <c r="A7" s="149" t="s">
        <v>90</v>
      </c>
      <c r="B7" s="163">
        <v>1335</v>
      </c>
      <c r="C7" s="149" t="s">
        <v>65</v>
      </c>
      <c r="E7" s="152" t="s">
        <v>130</v>
      </c>
      <c r="F7" s="149"/>
      <c r="G7" s="149">
        <f>+G8+G9+G10</f>
        <v>178.5</v>
      </c>
      <c r="H7" s="149"/>
    </row>
    <row r="8" spans="1:9">
      <c r="A8" s="162" t="s">
        <v>91</v>
      </c>
      <c r="B8" s="164">
        <v>0</v>
      </c>
      <c r="C8" s="162" t="s">
        <v>65</v>
      </c>
      <c r="E8" s="155" t="s">
        <v>179</v>
      </c>
      <c r="F8" s="149"/>
      <c r="G8" s="149">
        <f>8*7</f>
        <v>56</v>
      </c>
      <c r="H8" s="149" t="s">
        <v>65</v>
      </c>
    </row>
    <row r="9" spans="1:9">
      <c r="A9" s="149" t="s">
        <v>92</v>
      </c>
      <c r="B9" s="163">
        <f>+B8+B7</f>
        <v>1335</v>
      </c>
      <c r="C9" s="149" t="s">
        <v>65</v>
      </c>
      <c r="E9" s="155" t="s">
        <v>360</v>
      </c>
      <c r="F9" s="149"/>
      <c r="G9" s="149">
        <v>0</v>
      </c>
      <c r="H9" s="149"/>
    </row>
    <row r="10" spans="1:9">
      <c r="A10" s="149"/>
      <c r="B10" s="163"/>
      <c r="C10" s="149"/>
      <c r="E10" s="155" t="s">
        <v>180</v>
      </c>
      <c r="F10" s="149"/>
      <c r="G10" s="149">
        <f>3.5*(25+10)</f>
        <v>122.5</v>
      </c>
      <c r="H10" s="149"/>
    </row>
    <row r="11" spans="1:9">
      <c r="A11" s="152" t="s">
        <v>93</v>
      </c>
      <c r="B11" s="163"/>
      <c r="C11" s="149"/>
      <c r="E11" s="149" t="s">
        <v>181</v>
      </c>
      <c r="F11" s="149"/>
      <c r="G11" s="149">
        <f>25*18</f>
        <v>450</v>
      </c>
      <c r="H11" s="149"/>
    </row>
    <row r="12" spans="1:9">
      <c r="A12" s="149" t="s">
        <v>94</v>
      </c>
      <c r="B12" s="163">
        <v>411</v>
      </c>
      <c r="C12" s="149" t="s">
        <v>65</v>
      </c>
      <c r="E12" s="149" t="s">
        <v>1</v>
      </c>
      <c r="F12" s="149"/>
      <c r="G12" s="149">
        <v>9</v>
      </c>
      <c r="H12" s="149"/>
    </row>
    <row r="13" spans="1:9">
      <c r="A13" s="149" t="s">
        <v>95</v>
      </c>
      <c r="B13" s="163">
        <v>214</v>
      </c>
      <c r="C13" s="149" t="s">
        <v>65</v>
      </c>
      <c r="E13" s="149" t="s">
        <v>361</v>
      </c>
      <c r="F13" s="149"/>
      <c r="G13" s="149">
        <v>4</v>
      </c>
      <c r="H13" s="149"/>
    </row>
    <row r="14" spans="1:9">
      <c r="A14" s="153" t="s">
        <v>96</v>
      </c>
      <c r="B14" s="165">
        <f>+B13+B12</f>
        <v>625</v>
      </c>
      <c r="C14" s="153" t="s">
        <v>65</v>
      </c>
      <c r="E14" s="149" t="s">
        <v>138</v>
      </c>
      <c r="F14" s="149"/>
      <c r="G14" s="149">
        <v>10</v>
      </c>
      <c r="H14" s="149"/>
    </row>
    <row r="15" spans="1:9">
      <c r="A15" s="154" t="s">
        <v>97</v>
      </c>
      <c r="B15" s="166">
        <f>+B14+B9</f>
        <v>1960</v>
      </c>
      <c r="C15" s="154" t="s">
        <v>65</v>
      </c>
      <c r="E15" s="149" t="s">
        <v>187</v>
      </c>
      <c r="F15" s="149"/>
      <c r="G15" s="149">
        <f>ConstTime</f>
        <v>6</v>
      </c>
      <c r="H15" s="149" t="s">
        <v>10</v>
      </c>
    </row>
    <row r="16" spans="1:9">
      <c r="A16" s="149"/>
      <c r="B16" s="149"/>
      <c r="C16" s="149"/>
      <c r="D16" s="149"/>
      <c r="E16" s="149"/>
      <c r="F16" s="149"/>
      <c r="G16" s="149"/>
      <c r="H16" s="149"/>
    </row>
    <row r="17" spans="1:9">
      <c r="A17" s="152" t="s">
        <v>59</v>
      </c>
      <c r="B17" s="149"/>
      <c r="C17" s="149"/>
      <c r="D17" s="149"/>
      <c r="E17" s="149"/>
      <c r="F17" s="149"/>
      <c r="G17" s="149"/>
      <c r="H17" s="149"/>
    </row>
    <row r="18" spans="1:9">
      <c r="A18" s="149" t="s">
        <v>104</v>
      </c>
      <c r="B18" s="149">
        <v>0</v>
      </c>
      <c r="C18" s="149" t="s">
        <v>57</v>
      </c>
      <c r="D18" s="157">
        <v>350</v>
      </c>
      <c r="E18" s="161">
        <f>D18*B18</f>
        <v>0</v>
      </c>
      <c r="F18" s="160">
        <f>+E18/$B$9</f>
        <v>0</v>
      </c>
      <c r="G18" s="161">
        <f>+E18*AdjRate</f>
        <v>0</v>
      </c>
      <c r="H18" s="160">
        <f>+G18/$B$9</f>
        <v>0</v>
      </c>
    </row>
    <row r="19" spans="1:9">
      <c r="A19" s="149" t="s">
        <v>105</v>
      </c>
      <c r="B19" s="167">
        <f>+$G$6</f>
        <v>1960</v>
      </c>
      <c r="C19" s="149" t="s">
        <v>65</v>
      </c>
      <c r="D19" s="157">
        <v>0.15</v>
      </c>
      <c r="E19" s="161">
        <f>D19*B19</f>
        <v>294</v>
      </c>
      <c r="F19" s="160">
        <f>+E19/$B$9</f>
        <v>0.22022471910112359</v>
      </c>
      <c r="G19" s="161">
        <f>+E19*AdjRate</f>
        <v>352.8</v>
      </c>
      <c r="H19" s="160">
        <f>+G19/$B$9</f>
        <v>0.26426966292134835</v>
      </c>
      <c r="I19" s="12"/>
    </row>
    <row r="20" spans="1:9">
      <c r="A20" s="149" t="s">
        <v>106</v>
      </c>
      <c r="B20" s="149">
        <v>0</v>
      </c>
      <c r="C20" s="149" t="s">
        <v>57</v>
      </c>
      <c r="D20" s="157">
        <v>350</v>
      </c>
      <c r="E20" s="161">
        <f>D20*B20</f>
        <v>0</v>
      </c>
      <c r="F20" s="160">
        <f>+E20/$B$9</f>
        <v>0</v>
      </c>
      <c r="G20" s="161">
        <f>+E20*AdjRate</f>
        <v>0</v>
      </c>
      <c r="H20" s="160">
        <f>+G20/$B$9</f>
        <v>0</v>
      </c>
    </row>
    <row r="21" spans="1:9">
      <c r="A21" s="149" t="s">
        <v>107</v>
      </c>
      <c r="B21" s="149">
        <v>1</v>
      </c>
      <c r="C21" s="149" t="s">
        <v>57</v>
      </c>
      <c r="D21" s="157">
        <v>0</v>
      </c>
      <c r="E21" s="161">
        <f t="shared" ref="E21:E78" si="0">D21*B21</f>
        <v>0</v>
      </c>
      <c r="F21" s="160">
        <f>+E21/$B$9</f>
        <v>0</v>
      </c>
      <c r="G21" s="161">
        <f t="shared" ref="G21:G26" si="1">+E21*AdjRate</f>
        <v>0</v>
      </c>
      <c r="H21" s="160">
        <f>+G21/$B$9</f>
        <v>0</v>
      </c>
    </row>
    <row r="22" spans="1:9">
      <c r="A22" s="149"/>
      <c r="B22" s="149"/>
      <c r="C22" s="149"/>
      <c r="D22" s="157"/>
      <c r="E22" s="161"/>
      <c r="F22" s="160"/>
      <c r="G22" s="161"/>
      <c r="H22" s="160"/>
    </row>
    <row r="23" spans="1:9">
      <c r="A23" s="152" t="s">
        <v>108</v>
      </c>
      <c r="B23" s="149"/>
      <c r="C23" s="149"/>
      <c r="D23" s="157"/>
      <c r="E23" s="161"/>
      <c r="F23" s="160"/>
      <c r="G23" s="161"/>
      <c r="H23" s="160"/>
      <c r="I23" s="28"/>
    </row>
    <row r="24" spans="1:9">
      <c r="A24" s="149" t="s">
        <v>109</v>
      </c>
      <c r="B24" s="149">
        <v>1</v>
      </c>
      <c r="C24" s="149" t="s">
        <v>57</v>
      </c>
      <c r="D24" s="157">
        <v>150</v>
      </c>
      <c r="E24" s="161">
        <f t="shared" si="0"/>
        <v>150</v>
      </c>
      <c r="F24" s="160">
        <f>+E24/$B$9</f>
        <v>0.11235955056179775</v>
      </c>
      <c r="G24" s="161">
        <f t="shared" si="1"/>
        <v>180</v>
      </c>
      <c r="H24" s="160">
        <f>+G24/$B$9</f>
        <v>0.1348314606741573</v>
      </c>
    </row>
    <row r="25" spans="1:9">
      <c r="A25" s="149" t="s">
        <v>110</v>
      </c>
      <c r="B25" s="149">
        <v>1</v>
      </c>
      <c r="C25" s="149" t="s">
        <v>57</v>
      </c>
      <c r="D25" s="157">
        <v>100</v>
      </c>
      <c r="E25" s="161">
        <f t="shared" si="0"/>
        <v>100</v>
      </c>
      <c r="F25" s="160">
        <f>+E25/$B$9</f>
        <v>7.4906367041198504E-2</v>
      </c>
      <c r="G25" s="161">
        <f t="shared" si="1"/>
        <v>120</v>
      </c>
      <c r="H25" s="160">
        <f>+G25/$B$9</f>
        <v>8.98876404494382E-2</v>
      </c>
      <c r="I25" s="7"/>
    </row>
    <row r="26" spans="1:9">
      <c r="A26" s="149" t="s">
        <v>111</v>
      </c>
      <c r="B26" s="149">
        <v>1</v>
      </c>
      <c r="C26" s="149" t="s">
        <v>57</v>
      </c>
      <c r="D26" s="157">
        <v>0</v>
      </c>
      <c r="E26" s="161">
        <f t="shared" si="0"/>
        <v>0</v>
      </c>
      <c r="F26" s="160">
        <f>+E26/$B$9</f>
        <v>0</v>
      </c>
      <c r="G26" s="161">
        <f t="shared" si="1"/>
        <v>0</v>
      </c>
      <c r="H26" s="160">
        <f>+G26/$B$9</f>
        <v>0</v>
      </c>
      <c r="I26" s="7"/>
    </row>
    <row r="27" spans="1:9">
      <c r="A27" s="149"/>
      <c r="B27" s="149"/>
      <c r="C27" s="149"/>
      <c r="D27" s="157"/>
      <c r="E27" s="161"/>
      <c r="F27" s="160"/>
      <c r="G27" s="161"/>
      <c r="H27" s="160"/>
      <c r="I27" s="7"/>
    </row>
    <row r="28" spans="1:9">
      <c r="A28" s="152" t="s">
        <v>113</v>
      </c>
      <c r="B28" s="149"/>
      <c r="C28" s="149"/>
      <c r="D28" s="157"/>
      <c r="E28" s="161"/>
      <c r="F28" s="160"/>
      <c r="G28" s="161"/>
      <c r="H28" s="160"/>
      <c r="I28" s="7"/>
    </row>
    <row r="29" spans="1:9">
      <c r="A29" s="149" t="s">
        <v>6</v>
      </c>
      <c r="B29" s="149">
        <f>ConstTime</f>
        <v>6</v>
      </c>
      <c r="C29" s="149" t="s">
        <v>77</v>
      </c>
      <c r="D29" s="157">
        <f>56</f>
        <v>56</v>
      </c>
      <c r="E29" s="161">
        <f t="shared" si="0"/>
        <v>336</v>
      </c>
      <c r="F29" s="160">
        <f>+E29/$B$9</f>
        <v>0.25168539325842698</v>
      </c>
      <c r="G29" s="161">
        <f>+E29*AdjRate</f>
        <v>403.2</v>
      </c>
      <c r="H29" s="160">
        <f>+G29/$B$9</f>
        <v>0.30202247191011233</v>
      </c>
      <c r="I29" s="7"/>
    </row>
    <row r="30" spans="1:9">
      <c r="A30" s="149" t="s">
        <v>114</v>
      </c>
      <c r="B30" s="149">
        <v>1</v>
      </c>
      <c r="C30" s="149" t="s">
        <v>57</v>
      </c>
      <c r="D30" s="157">
        <v>500</v>
      </c>
      <c r="E30" s="161">
        <f t="shared" si="0"/>
        <v>500</v>
      </c>
      <c r="F30" s="160">
        <f>+E30/$B$9</f>
        <v>0.37453183520599254</v>
      </c>
      <c r="G30" s="161">
        <f>+E30*AdjRate</f>
        <v>600</v>
      </c>
      <c r="H30" s="160">
        <f>+G30/$B$9</f>
        <v>0.449438202247191</v>
      </c>
      <c r="I30" s="7"/>
    </row>
    <row r="31" spans="1:9">
      <c r="A31" s="149"/>
      <c r="B31" s="149"/>
      <c r="C31" s="149"/>
      <c r="D31" s="157"/>
      <c r="E31" s="161"/>
      <c r="F31" s="160"/>
      <c r="G31" s="161"/>
      <c r="H31" s="160"/>
      <c r="I31" s="7"/>
    </row>
    <row r="32" spans="1:9">
      <c r="A32" s="152" t="s">
        <v>115</v>
      </c>
      <c r="B32" s="149"/>
      <c r="C32" s="149"/>
      <c r="D32" s="157"/>
      <c r="E32" s="161"/>
      <c r="F32" s="160"/>
      <c r="G32" s="161"/>
      <c r="H32" s="160"/>
      <c r="I32" s="7"/>
    </row>
    <row r="33" spans="1:10">
      <c r="A33" s="149" t="s">
        <v>116</v>
      </c>
      <c r="B33" s="149">
        <f>ConstTime</f>
        <v>6</v>
      </c>
      <c r="C33" s="149" t="s">
        <v>77</v>
      </c>
      <c r="D33" s="157">
        <v>30</v>
      </c>
      <c r="E33" s="161">
        <f t="shared" si="0"/>
        <v>180</v>
      </c>
      <c r="F33" s="160">
        <f>+E33/$B$9</f>
        <v>0.1348314606741573</v>
      </c>
      <c r="G33" s="161">
        <f>+E33*AdjRate</f>
        <v>216</v>
      </c>
      <c r="H33" s="160">
        <f>+G33/$B$9</f>
        <v>0.16179775280898875</v>
      </c>
      <c r="I33" s="7"/>
      <c r="J33" s="3" t="s">
        <v>112</v>
      </c>
    </row>
    <row r="34" spans="1:10">
      <c r="A34" s="149" t="s">
        <v>117</v>
      </c>
      <c r="B34" s="149">
        <f>ConstTime</f>
        <v>6</v>
      </c>
      <c r="C34" s="149" t="s">
        <v>77</v>
      </c>
      <c r="D34" s="157">
        <v>30</v>
      </c>
      <c r="E34" s="161">
        <f t="shared" si="0"/>
        <v>180</v>
      </c>
      <c r="F34" s="160">
        <f>+E34/$B$9</f>
        <v>0.1348314606741573</v>
      </c>
      <c r="G34" s="161">
        <f>+E34*AdjRate</f>
        <v>216</v>
      </c>
      <c r="H34" s="160">
        <f>+G34/$B$9</f>
        <v>0.16179775280898875</v>
      </c>
      <c r="I34" s="7"/>
    </row>
    <row r="35" spans="1:10">
      <c r="A35" s="149" t="s">
        <v>118</v>
      </c>
      <c r="B35" s="149">
        <f>ConstTime</f>
        <v>6</v>
      </c>
      <c r="C35" s="149" t="s">
        <v>77</v>
      </c>
      <c r="D35" s="157">
        <f>85/4</f>
        <v>21.25</v>
      </c>
      <c r="E35" s="161">
        <f t="shared" si="0"/>
        <v>127.5</v>
      </c>
      <c r="F35" s="160">
        <f>+E35/$B$9</f>
        <v>9.5505617977528087E-2</v>
      </c>
      <c r="G35" s="161">
        <f>+E35*AdjRate</f>
        <v>153</v>
      </c>
      <c r="H35" s="160">
        <f>+G35/$B$9</f>
        <v>0.1146067415730337</v>
      </c>
      <c r="I35" s="7"/>
    </row>
    <row r="36" spans="1:10">
      <c r="A36" s="149"/>
      <c r="B36" s="149"/>
      <c r="C36" s="149"/>
      <c r="D36" s="157"/>
      <c r="E36" s="161"/>
      <c r="F36" s="160"/>
      <c r="G36" s="161"/>
      <c r="H36" s="160"/>
      <c r="I36" s="7"/>
    </row>
    <row r="37" spans="1:10">
      <c r="A37" s="152" t="s">
        <v>119</v>
      </c>
      <c r="B37" s="149"/>
      <c r="C37" s="149"/>
      <c r="D37" s="157"/>
      <c r="E37" s="161"/>
      <c r="F37" s="160"/>
      <c r="G37" s="161"/>
      <c r="H37" s="160"/>
      <c r="I37" s="7"/>
    </row>
    <row r="38" spans="1:10">
      <c r="A38" s="149" t="s">
        <v>120</v>
      </c>
      <c r="B38" s="149">
        <v>1</v>
      </c>
      <c r="C38" s="149" t="s">
        <v>57</v>
      </c>
      <c r="D38" s="157">
        <v>750</v>
      </c>
      <c r="E38" s="161">
        <f t="shared" si="0"/>
        <v>750</v>
      </c>
      <c r="F38" s="160">
        <f>+E38/$B$9</f>
        <v>0.5617977528089888</v>
      </c>
      <c r="G38" s="161">
        <f>+E38*AdjRate</f>
        <v>900</v>
      </c>
      <c r="H38" s="160">
        <f>+G38/$B$9</f>
        <v>0.6741573033707865</v>
      </c>
      <c r="I38" s="7"/>
    </row>
    <row r="39" spans="1:10">
      <c r="A39" s="149" t="s">
        <v>121</v>
      </c>
      <c r="B39" s="149">
        <f>+B$9</f>
        <v>1335</v>
      </c>
      <c r="C39" s="149" t="s">
        <v>65</v>
      </c>
      <c r="D39" s="157">
        <v>0.15</v>
      </c>
      <c r="E39" s="161">
        <f t="shared" si="0"/>
        <v>200.25</v>
      </c>
      <c r="F39" s="160">
        <f>+E39/$B$9</f>
        <v>0.15</v>
      </c>
      <c r="G39" s="161">
        <f>+E39*AdjRate</f>
        <v>240.29999999999998</v>
      </c>
      <c r="H39" s="160">
        <f>+G39/$B$9</f>
        <v>0.18</v>
      </c>
      <c r="I39" s="7"/>
    </row>
    <row r="40" spans="1:10">
      <c r="A40" s="149"/>
      <c r="B40" s="149"/>
      <c r="C40" s="149"/>
      <c r="D40" s="157"/>
      <c r="E40" s="161"/>
      <c r="F40" s="160"/>
      <c r="G40" s="161"/>
      <c r="H40" s="160"/>
      <c r="I40" s="7"/>
    </row>
    <row r="41" spans="1:10">
      <c r="A41" s="152" t="s">
        <v>7</v>
      </c>
      <c r="B41" s="149"/>
      <c r="C41" s="149"/>
      <c r="D41" s="157"/>
      <c r="E41" s="161"/>
      <c r="F41" s="160"/>
      <c r="G41" s="161"/>
      <c r="H41" s="160"/>
      <c r="I41" s="7"/>
    </row>
    <row r="42" spans="1:10">
      <c r="A42" s="149" t="s">
        <v>62</v>
      </c>
      <c r="B42" s="149">
        <v>0</v>
      </c>
      <c r="C42" s="149" t="s">
        <v>57</v>
      </c>
      <c r="D42" s="157">
        <v>0</v>
      </c>
      <c r="E42" s="161">
        <f t="shared" si="0"/>
        <v>0</v>
      </c>
      <c r="F42" s="160">
        <f t="shared" ref="F42:F48" si="2">+E42/$B$9</f>
        <v>0</v>
      </c>
      <c r="G42" s="161">
        <f t="shared" ref="G42:G48" si="3">+E42*AdjRate</f>
        <v>0</v>
      </c>
      <c r="H42" s="160">
        <f t="shared" ref="H42:H48" si="4">+G42/$B$9</f>
        <v>0</v>
      </c>
      <c r="I42" s="7"/>
      <c r="J42" s="3" t="s">
        <v>112</v>
      </c>
    </row>
    <row r="43" spans="1:10">
      <c r="A43" s="149" t="s">
        <v>122</v>
      </c>
      <c r="B43" s="149">
        <v>1</v>
      </c>
      <c r="C43" s="149" t="s">
        <v>196</v>
      </c>
      <c r="D43" s="157">
        <v>150</v>
      </c>
      <c r="E43" s="161">
        <f t="shared" si="0"/>
        <v>150</v>
      </c>
      <c r="F43" s="160">
        <f t="shared" si="2"/>
        <v>0.11235955056179775</v>
      </c>
      <c r="G43" s="161">
        <f t="shared" si="3"/>
        <v>180</v>
      </c>
      <c r="H43" s="160">
        <f t="shared" si="4"/>
        <v>0.1348314606741573</v>
      </c>
      <c r="I43" s="7"/>
    </row>
    <row r="44" spans="1:10">
      <c r="A44" s="149" t="s">
        <v>124</v>
      </c>
      <c r="B44" s="149">
        <v>1</v>
      </c>
      <c r="C44" s="149" t="s">
        <v>57</v>
      </c>
      <c r="D44" s="157">
        <v>350</v>
      </c>
      <c r="E44" s="161">
        <f t="shared" si="0"/>
        <v>350</v>
      </c>
      <c r="F44" s="160">
        <f t="shared" si="2"/>
        <v>0.26217228464419473</v>
      </c>
      <c r="G44" s="161">
        <f t="shared" si="3"/>
        <v>420</v>
      </c>
      <c r="H44" s="160">
        <f t="shared" si="4"/>
        <v>0.3146067415730337</v>
      </c>
      <c r="I44" s="7"/>
    </row>
    <row r="45" spans="1:10">
      <c r="A45" s="149" t="s">
        <v>125</v>
      </c>
      <c r="B45" s="149">
        <v>1</v>
      </c>
      <c r="C45" s="149" t="s">
        <v>57</v>
      </c>
      <c r="D45" s="157">
        <v>0</v>
      </c>
      <c r="E45" s="161">
        <f t="shared" si="0"/>
        <v>0</v>
      </c>
      <c r="F45" s="160">
        <f t="shared" si="2"/>
        <v>0</v>
      </c>
      <c r="G45" s="161">
        <f t="shared" si="3"/>
        <v>0</v>
      </c>
      <c r="H45" s="160">
        <f t="shared" si="4"/>
        <v>0</v>
      </c>
      <c r="I45" s="7"/>
    </row>
    <row r="46" spans="1:10">
      <c r="A46" s="149" t="s">
        <v>73</v>
      </c>
      <c r="B46" s="149">
        <v>1</v>
      </c>
      <c r="C46" s="149" t="s">
        <v>57</v>
      </c>
      <c r="D46" s="157">
        <v>0</v>
      </c>
      <c r="E46" s="161">
        <f t="shared" si="0"/>
        <v>0</v>
      </c>
      <c r="F46" s="160">
        <f t="shared" si="2"/>
        <v>0</v>
      </c>
      <c r="G46" s="161">
        <f t="shared" si="3"/>
        <v>0</v>
      </c>
      <c r="H46" s="160">
        <f t="shared" si="4"/>
        <v>0</v>
      </c>
      <c r="I46" s="7"/>
    </row>
    <row r="47" spans="1:10">
      <c r="A47" s="149" t="s">
        <v>191</v>
      </c>
      <c r="B47" s="168">
        <f>(1+7/8+1.75)*KFScale</f>
        <v>38.301886792452827</v>
      </c>
      <c r="C47" s="149" t="s">
        <v>63</v>
      </c>
      <c r="D47" s="157">
        <v>15</v>
      </c>
      <c r="E47" s="161">
        <f t="shared" si="0"/>
        <v>574.52830188679241</v>
      </c>
      <c r="F47" s="160">
        <f t="shared" si="2"/>
        <v>0.43035827856688569</v>
      </c>
      <c r="G47" s="161">
        <f t="shared" si="3"/>
        <v>689.43396226415086</v>
      </c>
      <c r="H47" s="160">
        <f t="shared" si="4"/>
        <v>0.51642993428026285</v>
      </c>
      <c r="I47" s="7"/>
    </row>
    <row r="48" spans="1:10">
      <c r="A48" s="149" t="s">
        <v>198</v>
      </c>
      <c r="B48" s="149">
        <v>1</v>
      </c>
      <c r="C48" s="149" t="s">
        <v>57</v>
      </c>
      <c r="D48" s="157">
        <v>350</v>
      </c>
      <c r="E48" s="161">
        <f t="shared" si="0"/>
        <v>350</v>
      </c>
      <c r="F48" s="160">
        <f t="shared" si="2"/>
        <v>0.26217228464419473</v>
      </c>
      <c r="G48" s="161">
        <f t="shared" si="3"/>
        <v>420</v>
      </c>
      <c r="H48" s="160">
        <f t="shared" si="4"/>
        <v>0.3146067415730337</v>
      </c>
      <c r="I48" s="7"/>
    </row>
    <row r="49" spans="1:12">
      <c r="A49" s="149"/>
      <c r="B49" s="149"/>
      <c r="C49" s="149"/>
      <c r="D49" s="157"/>
      <c r="E49" s="161"/>
      <c r="F49" s="160"/>
      <c r="G49" s="161"/>
      <c r="H49" s="160"/>
      <c r="I49" s="7"/>
      <c r="J49" s="3" t="s">
        <v>112</v>
      </c>
    </row>
    <row r="50" spans="1:12">
      <c r="A50" s="152" t="s">
        <v>128</v>
      </c>
      <c r="B50" s="149"/>
      <c r="C50" s="149"/>
      <c r="D50" s="157"/>
      <c r="E50" s="161"/>
      <c r="F50" s="160"/>
      <c r="G50" s="161"/>
      <c r="H50" s="160"/>
      <c r="I50" s="7"/>
      <c r="J50" s="3" t="s">
        <v>123</v>
      </c>
    </row>
    <row r="51" spans="1:12">
      <c r="A51" s="149" t="s">
        <v>8</v>
      </c>
      <c r="B51" s="149">
        <f>G$6</f>
        <v>1960</v>
      </c>
      <c r="C51" s="149" t="s">
        <v>65</v>
      </c>
      <c r="D51" s="157">
        <v>5.75</v>
      </c>
      <c r="E51" s="161">
        <f t="shared" si="0"/>
        <v>11270</v>
      </c>
      <c r="F51" s="160">
        <f>+E51/$B$9</f>
        <v>8.4419475655430709</v>
      </c>
      <c r="G51" s="161">
        <f>+E51*AdjRate</f>
        <v>13524</v>
      </c>
      <c r="H51" s="160">
        <f>+G51/$B$9</f>
        <v>10.130337078651685</v>
      </c>
      <c r="I51" s="7"/>
      <c r="J51" s="3" t="s">
        <v>112</v>
      </c>
    </row>
    <row r="52" spans="1:12">
      <c r="A52" s="149" t="s">
        <v>129</v>
      </c>
      <c r="B52" s="149">
        <v>1</v>
      </c>
      <c r="C52" s="149" t="s">
        <v>57</v>
      </c>
      <c r="D52" s="157">
        <v>300</v>
      </c>
      <c r="E52" s="161">
        <f t="shared" si="0"/>
        <v>300</v>
      </c>
      <c r="F52" s="160">
        <f>+E52/$B$9</f>
        <v>0.2247191011235955</v>
      </c>
      <c r="G52" s="161">
        <f>+E52*AdjRate</f>
        <v>360</v>
      </c>
      <c r="H52" s="160">
        <f>+G52/$B$9</f>
        <v>0.2696629213483146</v>
      </c>
      <c r="I52" s="7"/>
      <c r="J52" s="3" t="s">
        <v>112</v>
      </c>
    </row>
    <row r="53" spans="1:12">
      <c r="A53" s="149" t="s">
        <v>130</v>
      </c>
      <c r="B53" s="149">
        <f>G$7</f>
        <v>178.5</v>
      </c>
      <c r="C53" s="149" t="s">
        <v>65</v>
      </c>
      <c r="D53" s="157">
        <v>2.25</v>
      </c>
      <c r="E53" s="161">
        <f t="shared" si="0"/>
        <v>401.625</v>
      </c>
      <c r="F53" s="160">
        <f>+E53/$B$9</f>
        <v>0.30084269662921348</v>
      </c>
      <c r="G53" s="161">
        <f>+E53*AdjRate</f>
        <v>481.95</v>
      </c>
      <c r="H53" s="160">
        <f>+G53/$B$9</f>
        <v>0.36101123595505619</v>
      </c>
      <c r="I53" s="7"/>
      <c r="J53" s="3" t="s">
        <v>112</v>
      </c>
    </row>
    <row r="54" spans="1:12">
      <c r="A54" s="149" t="s">
        <v>182</v>
      </c>
      <c r="B54" s="149">
        <f>G$11</f>
        <v>450</v>
      </c>
      <c r="C54" s="149" t="s">
        <v>65</v>
      </c>
      <c r="D54" s="157">
        <v>2.25</v>
      </c>
      <c r="E54" s="161">
        <f t="shared" si="0"/>
        <v>1012.5</v>
      </c>
      <c r="F54" s="160">
        <f>+E54/$B$9</f>
        <v>0.7584269662921348</v>
      </c>
      <c r="G54" s="161">
        <f>+E54*AdjRate</f>
        <v>1215</v>
      </c>
      <c r="H54" s="160">
        <f>+G54/$B$9</f>
        <v>0.9101123595505618</v>
      </c>
      <c r="I54" s="7"/>
      <c r="J54" s="10" t="s">
        <v>24</v>
      </c>
    </row>
    <row r="55" spans="1:12">
      <c r="A55" s="149"/>
      <c r="B55" s="149"/>
      <c r="C55" s="149"/>
      <c r="D55" s="157"/>
      <c r="E55" s="161"/>
      <c r="F55" s="160"/>
      <c r="G55" s="161"/>
      <c r="H55" s="160"/>
      <c r="I55" s="7"/>
      <c r="J55" s="10" t="s">
        <v>24</v>
      </c>
    </row>
    <row r="56" spans="1:12">
      <c r="A56" s="152" t="s">
        <v>131</v>
      </c>
      <c r="B56" s="149"/>
      <c r="C56" s="149"/>
      <c r="D56" s="157"/>
      <c r="E56" s="161"/>
      <c r="F56" s="160"/>
      <c r="G56" s="161"/>
      <c r="H56" s="160"/>
      <c r="I56" s="7"/>
    </row>
    <row r="57" spans="1:12">
      <c r="A57" s="149" t="s">
        <v>132</v>
      </c>
      <c r="B57" s="149">
        <f>B$15</f>
        <v>1960</v>
      </c>
      <c r="C57" s="149" t="s">
        <v>65</v>
      </c>
      <c r="D57" s="157">
        <v>2.5</v>
      </c>
      <c r="E57" s="161">
        <f t="shared" si="0"/>
        <v>4900</v>
      </c>
      <c r="F57" s="160">
        <f t="shared" ref="F57:F67" si="5">+E57/$B$9</f>
        <v>3.6704119850187267</v>
      </c>
      <c r="G57" s="161">
        <f t="shared" ref="G57:G67" si="6">+E57*AdjRate</f>
        <v>5880</v>
      </c>
      <c r="H57" s="160">
        <f t="shared" ref="H57:H67" si="7">+G57/$B$9</f>
        <v>4.404494382022472</v>
      </c>
      <c r="I57" s="7"/>
    </row>
    <row r="58" spans="1:12">
      <c r="A58" s="149" t="s">
        <v>133</v>
      </c>
      <c r="B58" s="149">
        <f>+B8</f>
        <v>0</v>
      </c>
      <c r="C58" s="149" t="s">
        <v>65</v>
      </c>
      <c r="D58" s="157">
        <v>1.9</v>
      </c>
      <c r="E58" s="161">
        <f t="shared" si="0"/>
        <v>0</v>
      </c>
      <c r="F58" s="160">
        <f t="shared" si="5"/>
        <v>0</v>
      </c>
      <c r="G58" s="161">
        <f t="shared" si="6"/>
        <v>0</v>
      </c>
      <c r="H58" s="160">
        <f t="shared" si="7"/>
        <v>0</v>
      </c>
      <c r="I58" s="7"/>
    </row>
    <row r="59" spans="1:12">
      <c r="A59" s="149" t="s">
        <v>134</v>
      </c>
      <c r="B59" s="149">
        <f>G$6</f>
        <v>1960</v>
      </c>
      <c r="C59" s="149" t="s">
        <v>65</v>
      </c>
      <c r="D59" s="157">
        <v>1.2</v>
      </c>
      <c r="E59" s="161">
        <f t="shared" si="0"/>
        <v>2352</v>
      </c>
      <c r="F59" s="160">
        <f t="shared" si="5"/>
        <v>1.7617977528089888</v>
      </c>
      <c r="G59" s="161">
        <f t="shared" si="6"/>
        <v>2822.4</v>
      </c>
      <c r="H59" s="160">
        <f t="shared" si="7"/>
        <v>2.1141573033707868</v>
      </c>
      <c r="I59" s="7"/>
    </row>
    <row r="60" spans="1:12">
      <c r="A60" s="149" t="s">
        <v>11</v>
      </c>
      <c r="B60" s="149">
        <f>B$15</f>
        <v>1960</v>
      </c>
      <c r="C60" s="149" t="s">
        <v>65</v>
      </c>
      <c r="D60" s="157">
        <v>3.5</v>
      </c>
      <c r="E60" s="161">
        <f t="shared" si="0"/>
        <v>6860</v>
      </c>
      <c r="F60" s="160">
        <f t="shared" si="5"/>
        <v>5.1385767790262173</v>
      </c>
      <c r="G60" s="161">
        <f t="shared" si="6"/>
        <v>8232</v>
      </c>
      <c r="H60" s="160">
        <f t="shared" si="7"/>
        <v>6.166292134831461</v>
      </c>
      <c r="I60" s="7"/>
    </row>
    <row r="61" spans="1:12">
      <c r="A61" s="149" t="s">
        <v>135</v>
      </c>
      <c r="B61" s="149">
        <v>1</v>
      </c>
      <c r="C61" s="149" t="s">
        <v>57</v>
      </c>
      <c r="D61" s="157">
        <v>500</v>
      </c>
      <c r="E61" s="161">
        <f t="shared" si="0"/>
        <v>500</v>
      </c>
      <c r="F61" s="160">
        <f t="shared" si="5"/>
        <v>0.37453183520599254</v>
      </c>
      <c r="G61" s="161">
        <f t="shared" si="6"/>
        <v>600</v>
      </c>
      <c r="H61" s="160">
        <f t="shared" si="7"/>
        <v>0.449438202247191</v>
      </c>
      <c r="I61" s="7"/>
    </row>
    <row r="62" spans="1:12">
      <c r="A62" s="149" t="s">
        <v>2</v>
      </c>
      <c r="B62" s="149">
        <f>G13</f>
        <v>4</v>
      </c>
      <c r="C62" s="149" t="s">
        <v>136</v>
      </c>
      <c r="D62" s="157">
        <v>145</v>
      </c>
      <c r="E62" s="161">
        <f t="shared" si="0"/>
        <v>580</v>
      </c>
      <c r="F62" s="160">
        <f t="shared" si="5"/>
        <v>0.43445692883895132</v>
      </c>
      <c r="G62" s="161">
        <f t="shared" si="6"/>
        <v>696</v>
      </c>
      <c r="H62" s="160">
        <f t="shared" si="7"/>
        <v>0.52134831460674158</v>
      </c>
      <c r="I62" s="7"/>
    </row>
    <row r="63" spans="1:12">
      <c r="A63" s="149" t="s">
        <v>137</v>
      </c>
      <c r="B63" s="149">
        <f>+B$9</f>
        <v>1335</v>
      </c>
      <c r="C63" s="149" t="s">
        <v>65</v>
      </c>
      <c r="D63" s="157">
        <v>1</v>
      </c>
      <c r="E63" s="161">
        <f t="shared" si="0"/>
        <v>1335</v>
      </c>
      <c r="F63" s="160">
        <f t="shared" si="5"/>
        <v>1</v>
      </c>
      <c r="G63" s="161">
        <f t="shared" si="6"/>
        <v>1602</v>
      </c>
      <c r="H63" s="160">
        <f t="shared" si="7"/>
        <v>1.2</v>
      </c>
      <c r="I63" s="7"/>
    </row>
    <row r="64" spans="1:12">
      <c r="A64" s="149" t="s">
        <v>138</v>
      </c>
      <c r="B64" s="149">
        <f>G14</f>
        <v>10</v>
      </c>
      <c r="C64" s="149" t="s">
        <v>139</v>
      </c>
      <c r="D64" s="157">
        <v>85</v>
      </c>
      <c r="E64" s="161">
        <f t="shared" si="0"/>
        <v>850</v>
      </c>
      <c r="F64" s="160">
        <f t="shared" si="5"/>
        <v>0.63670411985018727</v>
      </c>
      <c r="G64" s="161">
        <f t="shared" si="6"/>
        <v>1020</v>
      </c>
      <c r="H64" s="160">
        <f t="shared" si="7"/>
        <v>0.7640449438202247</v>
      </c>
      <c r="I64" s="7"/>
      <c r="L64" s="26">
        <f>AdjRate</f>
        <v>1.2</v>
      </c>
    </row>
    <row r="65" spans="1:11">
      <c r="A65" s="149" t="s">
        <v>140</v>
      </c>
      <c r="B65" s="149">
        <f>+B$9</f>
        <v>1335</v>
      </c>
      <c r="C65" s="149" t="s">
        <v>65</v>
      </c>
      <c r="D65" s="157">
        <v>1</v>
      </c>
      <c r="E65" s="161">
        <f t="shared" si="0"/>
        <v>1335</v>
      </c>
      <c r="F65" s="160">
        <f t="shared" si="5"/>
        <v>1</v>
      </c>
      <c r="G65" s="161">
        <f t="shared" si="6"/>
        <v>1602</v>
      </c>
      <c r="H65" s="160">
        <f t="shared" si="7"/>
        <v>1.2</v>
      </c>
      <c r="I65" s="7"/>
    </row>
    <row r="66" spans="1:11">
      <c r="A66" s="149" t="s">
        <v>141</v>
      </c>
      <c r="B66" s="168">
        <f>18/8*KFScale</f>
        <v>23.773584905660375</v>
      </c>
      <c r="C66" s="149" t="s">
        <v>63</v>
      </c>
      <c r="D66" s="157">
        <v>75</v>
      </c>
      <c r="E66" s="161">
        <f t="shared" si="0"/>
        <v>1783.0188679245282</v>
      </c>
      <c r="F66" s="160">
        <f t="shared" si="5"/>
        <v>1.3355946576213695</v>
      </c>
      <c r="G66" s="161">
        <f t="shared" si="6"/>
        <v>2139.6226415094338</v>
      </c>
      <c r="H66" s="160">
        <f t="shared" si="7"/>
        <v>1.6027135891456432</v>
      </c>
      <c r="I66" s="7"/>
      <c r="J66" s="8"/>
    </row>
    <row r="67" spans="1:11">
      <c r="A67" s="149" t="s">
        <v>142</v>
      </c>
      <c r="B67" s="168">
        <f>11.25/8*KFScale</f>
        <v>14.858490566037736</v>
      </c>
      <c r="C67" s="149" t="s">
        <v>63</v>
      </c>
      <c r="D67" s="157">
        <v>45</v>
      </c>
      <c r="E67" s="161">
        <f t="shared" si="0"/>
        <v>668.63207547169804</v>
      </c>
      <c r="F67" s="160">
        <f t="shared" si="5"/>
        <v>0.50084799660801349</v>
      </c>
      <c r="G67" s="161">
        <f t="shared" si="6"/>
        <v>802.35849056603763</v>
      </c>
      <c r="H67" s="160">
        <f t="shared" si="7"/>
        <v>0.60101759592961623</v>
      </c>
      <c r="I67" s="7"/>
      <c r="J67" s="8"/>
    </row>
    <row r="68" spans="1:11">
      <c r="A68" s="149"/>
      <c r="B68" s="149"/>
      <c r="C68" s="149"/>
      <c r="D68" s="157"/>
      <c r="E68" s="161"/>
      <c r="F68" s="160"/>
      <c r="G68" s="161"/>
      <c r="H68" s="160"/>
      <c r="I68" s="7"/>
    </row>
    <row r="69" spans="1:11">
      <c r="A69" s="152" t="s">
        <v>143</v>
      </c>
      <c r="B69" s="149"/>
      <c r="C69" s="149"/>
      <c r="D69" s="157"/>
      <c r="E69" s="161"/>
      <c r="F69" s="160"/>
      <c r="G69" s="161"/>
      <c r="H69" s="160"/>
      <c r="I69" s="7"/>
    </row>
    <row r="70" spans="1:11">
      <c r="A70" s="149" t="s">
        <v>1</v>
      </c>
      <c r="B70" s="149">
        <f>G12</f>
        <v>9</v>
      </c>
      <c r="C70" s="149" t="s">
        <v>144</v>
      </c>
      <c r="D70" s="157">
        <v>85</v>
      </c>
      <c r="E70" s="161">
        <f t="shared" si="0"/>
        <v>765</v>
      </c>
      <c r="F70" s="160">
        <f>+E70/$B$9</f>
        <v>0.5730337078651685</v>
      </c>
      <c r="G70" s="161">
        <f>+E70*AdjRate</f>
        <v>918</v>
      </c>
      <c r="H70" s="160">
        <f>+G70/$B$9</f>
        <v>0.68764044943820224</v>
      </c>
      <c r="I70" s="7"/>
    </row>
    <row r="71" spans="1:11">
      <c r="A71" s="149" t="s">
        <v>145</v>
      </c>
      <c r="B71" s="149">
        <v>0</v>
      </c>
      <c r="C71" s="149" t="s">
        <v>57</v>
      </c>
      <c r="D71" s="157">
        <v>480</v>
      </c>
      <c r="E71" s="161">
        <f t="shared" si="0"/>
        <v>0</v>
      </c>
      <c r="F71" s="160">
        <f>+E71/$B$9</f>
        <v>0</v>
      </c>
      <c r="G71" s="161">
        <f>+E71*AdjRate</f>
        <v>0</v>
      </c>
      <c r="H71" s="160">
        <f>+G71/$B$9</f>
        <v>0</v>
      </c>
      <c r="I71" s="7"/>
    </row>
    <row r="72" spans="1:11">
      <c r="A72" s="149" t="s">
        <v>146</v>
      </c>
      <c r="B72" s="149">
        <f>4*5*2</f>
        <v>40</v>
      </c>
      <c r="C72" s="149" t="s">
        <v>65</v>
      </c>
      <c r="D72" s="157">
        <v>7.5</v>
      </c>
      <c r="E72" s="161">
        <f t="shared" si="0"/>
        <v>300</v>
      </c>
      <c r="F72" s="160">
        <f>+E72/$B$9</f>
        <v>0.2247191011235955</v>
      </c>
      <c r="G72" s="161">
        <f>+E72*AdjRate</f>
        <v>360</v>
      </c>
      <c r="H72" s="160">
        <f>+G72/$B$9</f>
        <v>0.2696629213483146</v>
      </c>
      <c r="I72" s="7"/>
    </row>
    <row r="73" spans="1:11">
      <c r="A73" s="149"/>
      <c r="B73" s="149"/>
      <c r="C73" s="149"/>
      <c r="D73" s="157"/>
      <c r="E73" s="161"/>
      <c r="F73" s="160"/>
      <c r="G73" s="161"/>
      <c r="H73" s="160"/>
      <c r="I73" s="7"/>
    </row>
    <row r="74" spans="1:11">
      <c r="A74" s="152" t="s">
        <v>147</v>
      </c>
      <c r="B74" s="149"/>
      <c r="C74" s="149"/>
      <c r="D74" s="157"/>
      <c r="E74" s="161"/>
      <c r="F74" s="160"/>
      <c r="G74" s="161"/>
      <c r="H74" s="160"/>
      <c r="I74" s="7"/>
    </row>
    <row r="75" spans="1:11">
      <c r="A75" s="149" t="s">
        <v>148</v>
      </c>
      <c r="B75" s="168">
        <f>(1.3*B$9)/100</f>
        <v>17.355</v>
      </c>
      <c r="C75" s="149" t="s">
        <v>149</v>
      </c>
      <c r="D75" s="157">
        <v>52</v>
      </c>
      <c r="E75" s="161">
        <f t="shared" si="0"/>
        <v>902.46</v>
      </c>
      <c r="F75" s="160">
        <f>+E75/$B$9</f>
        <v>0.67600000000000005</v>
      </c>
      <c r="G75" s="161">
        <f>+E75*AdjRate</f>
        <v>1082.952</v>
      </c>
      <c r="H75" s="160">
        <f>+G75/$B$9</f>
        <v>0.81120000000000003</v>
      </c>
      <c r="I75" s="7"/>
    </row>
    <row r="76" spans="1:11">
      <c r="A76" s="149" t="s">
        <v>150</v>
      </c>
      <c r="B76" s="149">
        <v>1</v>
      </c>
      <c r="C76" s="149" t="s">
        <v>57</v>
      </c>
      <c r="D76" s="157">
        <v>200</v>
      </c>
      <c r="E76" s="161">
        <f t="shared" si="0"/>
        <v>200</v>
      </c>
      <c r="F76" s="160">
        <f>+E76/$B$9</f>
        <v>0.14981273408239701</v>
      </c>
      <c r="G76" s="161">
        <f>+E76*AdjRate</f>
        <v>240</v>
      </c>
      <c r="H76" s="160">
        <f>+G76/$B$9</f>
        <v>0.1797752808988764</v>
      </c>
      <c r="I76" s="7"/>
    </row>
    <row r="77" spans="1:11">
      <c r="A77" s="149" t="s">
        <v>151</v>
      </c>
      <c r="B77" s="149">
        <f>+B$9</f>
        <v>1335</v>
      </c>
      <c r="C77" s="149" t="s">
        <v>65</v>
      </c>
      <c r="D77" s="157">
        <v>0.75</v>
      </c>
      <c r="E77" s="161">
        <f t="shared" si="0"/>
        <v>1001.25</v>
      </c>
      <c r="F77" s="160">
        <f>+E77/$B$9</f>
        <v>0.75</v>
      </c>
      <c r="G77" s="161">
        <f>+E77*AdjRate</f>
        <v>1201.5</v>
      </c>
      <c r="H77" s="160">
        <f>+G77/$B$9</f>
        <v>0.9</v>
      </c>
      <c r="I77" s="7"/>
    </row>
    <row r="78" spans="1:11">
      <c r="A78" s="149" t="s">
        <v>15</v>
      </c>
      <c r="B78" s="149">
        <f>+B$9</f>
        <v>1335</v>
      </c>
      <c r="C78" s="149" t="s">
        <v>65</v>
      </c>
      <c r="D78" s="157">
        <v>3</v>
      </c>
      <c r="E78" s="161">
        <f t="shared" si="0"/>
        <v>4005</v>
      </c>
      <c r="F78" s="160">
        <f>+E78/$B$9</f>
        <v>3</v>
      </c>
      <c r="G78" s="161">
        <f>+E78*AdjRate</f>
        <v>4806</v>
      </c>
      <c r="H78" s="160">
        <f>+G78/$B$9</f>
        <v>3.6</v>
      </c>
      <c r="I78" s="7"/>
    </row>
    <row r="79" spans="1:11">
      <c r="A79" s="149"/>
      <c r="B79" s="149"/>
      <c r="C79" s="149"/>
      <c r="D79" s="157"/>
      <c r="E79" s="161"/>
      <c r="F79" s="160"/>
      <c r="G79" s="161"/>
      <c r="H79" s="160"/>
      <c r="I79" s="7"/>
      <c r="K79" s="3">
        <f>3/8*KFScale</f>
        <v>3.9622641509433958</v>
      </c>
    </row>
    <row r="80" spans="1:11">
      <c r="A80" s="152" t="s">
        <v>98</v>
      </c>
      <c r="B80" s="149"/>
      <c r="C80" s="149"/>
      <c r="D80" s="157"/>
      <c r="E80" s="161"/>
      <c r="F80" s="160"/>
      <c r="G80" s="161"/>
      <c r="H80" s="160"/>
      <c r="I80" s="7"/>
      <c r="K80" s="10" t="s">
        <v>24</v>
      </c>
    </row>
    <row r="81" spans="1:10">
      <c r="A81" s="149" t="s">
        <v>152</v>
      </c>
      <c r="B81" s="149">
        <f>+G5</f>
        <v>315</v>
      </c>
      <c r="C81" s="149" t="s">
        <v>65</v>
      </c>
      <c r="D81" s="157">
        <v>5.5</v>
      </c>
      <c r="E81" s="161">
        <f t="shared" ref="E81:E105" si="8">D81*B81</f>
        <v>1732.5</v>
      </c>
      <c r="F81" s="160">
        <f>+E81/$B$9</f>
        <v>1.297752808988764</v>
      </c>
      <c r="G81" s="161">
        <f t="shared" ref="G81:G92" si="9">+E81*AdjRate</f>
        <v>2079</v>
      </c>
      <c r="H81" s="160">
        <f>+G81/$B$9</f>
        <v>1.5573033707865169</v>
      </c>
      <c r="I81" s="7"/>
    </row>
    <row r="82" spans="1:10">
      <c r="A82" s="149" t="s">
        <v>153</v>
      </c>
      <c r="B82" s="149">
        <v>0</v>
      </c>
      <c r="C82" s="149" t="s">
        <v>65</v>
      </c>
      <c r="D82" s="157">
        <v>2</v>
      </c>
      <c r="E82" s="161">
        <f t="shared" si="8"/>
        <v>0</v>
      </c>
      <c r="F82" s="160">
        <f t="shared" ref="F82:H110" si="10">+E82/$B$9</f>
        <v>0</v>
      </c>
      <c r="G82" s="161">
        <f t="shared" si="9"/>
        <v>0</v>
      </c>
      <c r="H82" s="160">
        <f t="shared" si="10"/>
        <v>0</v>
      </c>
      <c r="I82" s="7"/>
    </row>
    <row r="83" spans="1:10">
      <c r="A83" s="149" t="s">
        <v>154</v>
      </c>
      <c r="B83" s="149">
        <f>B$15</f>
        <v>1960</v>
      </c>
      <c r="C83" s="149" t="s">
        <v>65</v>
      </c>
      <c r="D83" s="157">
        <v>2.1</v>
      </c>
      <c r="E83" s="161">
        <f t="shared" si="8"/>
        <v>4116</v>
      </c>
      <c r="F83" s="160">
        <f t="shared" si="10"/>
        <v>3.0831460674157305</v>
      </c>
      <c r="G83" s="161">
        <f t="shared" si="9"/>
        <v>4939.2</v>
      </c>
      <c r="H83" s="160">
        <f t="shared" si="10"/>
        <v>3.6997752808988764</v>
      </c>
      <c r="I83" s="7"/>
    </row>
    <row r="84" spans="1:10">
      <c r="A84" s="149" t="s">
        <v>199</v>
      </c>
      <c r="B84" s="168">
        <f>(1.75*KFScale)*((1+1/8)*KFScale)+((3/8*KFScale)*(3.5/8*KFScale))</f>
        <v>238.10964756140976</v>
      </c>
      <c r="C84" s="149" t="s">
        <v>65</v>
      </c>
      <c r="D84" s="157">
        <f>(2.75+1.25)</f>
        <v>4</v>
      </c>
      <c r="E84" s="161">
        <f t="shared" si="8"/>
        <v>952.43859024563903</v>
      </c>
      <c r="F84" s="160">
        <f t="shared" si="10"/>
        <v>0.71343714625141497</v>
      </c>
      <c r="G84" s="161">
        <f t="shared" si="9"/>
        <v>1142.9263082947668</v>
      </c>
      <c r="H84" s="160">
        <f t="shared" si="10"/>
        <v>0.85612457550169796</v>
      </c>
      <c r="I84" s="7"/>
    </row>
    <row r="85" spans="1:10">
      <c r="A85" s="149" t="s">
        <v>156</v>
      </c>
      <c r="B85" s="168">
        <f>(B9-35-150-150-100)/9</f>
        <v>100</v>
      </c>
      <c r="C85" s="149" t="s">
        <v>157</v>
      </c>
      <c r="D85" s="157">
        <v>10</v>
      </c>
      <c r="E85" s="161">
        <f t="shared" si="8"/>
        <v>1000</v>
      </c>
      <c r="F85" s="160">
        <f t="shared" si="10"/>
        <v>0.74906367041198507</v>
      </c>
      <c r="G85" s="161">
        <f t="shared" si="9"/>
        <v>1200</v>
      </c>
      <c r="H85" s="160">
        <f t="shared" si="10"/>
        <v>0.898876404494382</v>
      </c>
      <c r="I85" s="7"/>
    </row>
    <row r="86" spans="1:10">
      <c r="A86" s="149" t="s">
        <v>158</v>
      </c>
      <c r="B86" s="168">
        <v>0</v>
      </c>
      <c r="C86" s="149" t="s">
        <v>63</v>
      </c>
      <c r="D86" s="157">
        <v>24</v>
      </c>
      <c r="E86" s="161">
        <f t="shared" si="8"/>
        <v>0</v>
      </c>
      <c r="F86" s="160">
        <f t="shared" si="10"/>
        <v>0</v>
      </c>
      <c r="G86" s="161">
        <f t="shared" si="9"/>
        <v>0</v>
      </c>
      <c r="H86" s="160">
        <f t="shared" si="10"/>
        <v>0</v>
      </c>
      <c r="I86" s="7"/>
    </row>
    <row r="87" spans="1:10">
      <c r="A87" s="149" t="s">
        <v>200</v>
      </c>
      <c r="B87" s="168">
        <f>((1+5/8)*KFScale)*3.5</f>
        <v>60.094339622641499</v>
      </c>
      <c r="C87" s="149" t="s">
        <v>65</v>
      </c>
      <c r="D87" s="157">
        <f>(3.25+1.25)</f>
        <v>4.5</v>
      </c>
      <c r="E87" s="161">
        <f t="shared" si="8"/>
        <v>270.42452830188677</v>
      </c>
      <c r="F87" s="160">
        <f t="shared" si="10"/>
        <v>0.20256518973924104</v>
      </c>
      <c r="G87" s="161">
        <f t="shared" si="9"/>
        <v>324.5094339622641</v>
      </c>
      <c r="H87" s="160">
        <f t="shared" si="10"/>
        <v>0.2430782276870892</v>
      </c>
      <c r="I87" s="7"/>
    </row>
    <row r="88" spans="1:10">
      <c r="A88" s="149" t="s">
        <v>160</v>
      </c>
      <c r="B88" s="168">
        <f>(9/16+3/8)*KFScale</f>
        <v>9.9056603773584904</v>
      </c>
      <c r="C88" s="149" t="s">
        <v>63</v>
      </c>
      <c r="D88" s="157">
        <v>24</v>
      </c>
      <c r="E88" s="161">
        <f t="shared" si="8"/>
        <v>237.73584905660377</v>
      </c>
      <c r="F88" s="160">
        <f t="shared" si="10"/>
        <v>0.17807928768284925</v>
      </c>
      <c r="G88" s="161">
        <f t="shared" si="9"/>
        <v>285.28301886792451</v>
      </c>
      <c r="H88" s="160">
        <f t="shared" si="10"/>
        <v>0.2136951452194191</v>
      </c>
      <c r="I88" s="7"/>
    </row>
    <row r="89" spans="1:10">
      <c r="A89" s="149" t="s">
        <v>162</v>
      </c>
      <c r="B89" s="168">
        <v>2</v>
      </c>
      <c r="C89" s="149" t="s">
        <v>163</v>
      </c>
      <c r="D89" s="157">
        <v>670</v>
      </c>
      <c r="E89" s="161">
        <f t="shared" si="8"/>
        <v>1340</v>
      </c>
      <c r="F89" s="160">
        <f t="shared" si="10"/>
        <v>1.0037453183520599</v>
      </c>
      <c r="G89" s="161">
        <f t="shared" si="9"/>
        <v>1608</v>
      </c>
      <c r="H89" s="160">
        <f t="shared" si="10"/>
        <v>1.2044943820224718</v>
      </c>
      <c r="I89" s="7"/>
    </row>
    <row r="90" spans="1:10">
      <c r="A90" s="149" t="s">
        <v>201</v>
      </c>
      <c r="B90" s="168">
        <f>((5.5/8)*KFScale)*5</f>
        <v>36.320754716981128</v>
      </c>
      <c r="C90" s="149" t="s">
        <v>163</v>
      </c>
      <c r="D90" s="157">
        <f>(1.25+3.75)</f>
        <v>5</v>
      </c>
      <c r="E90" s="161">
        <f t="shared" si="8"/>
        <v>181.60377358490564</v>
      </c>
      <c r="F90" s="160">
        <f t="shared" si="10"/>
        <v>0.13603278920217651</v>
      </c>
      <c r="G90" s="161">
        <f t="shared" si="9"/>
        <v>217.92452830188677</v>
      </c>
      <c r="H90" s="160">
        <f t="shared" si="10"/>
        <v>0.16323934704261181</v>
      </c>
      <c r="I90" s="7"/>
      <c r="J90" s="8"/>
    </row>
    <row r="91" spans="1:10">
      <c r="A91" s="149" t="s">
        <v>165</v>
      </c>
      <c r="B91" s="149">
        <f>G12</f>
        <v>9</v>
      </c>
      <c r="C91" s="149" t="s">
        <v>166</v>
      </c>
      <c r="D91" s="157">
        <v>35</v>
      </c>
      <c r="E91" s="161">
        <f t="shared" si="8"/>
        <v>315</v>
      </c>
      <c r="F91" s="160">
        <f t="shared" si="10"/>
        <v>0.23595505617977527</v>
      </c>
      <c r="G91" s="161">
        <f t="shared" si="9"/>
        <v>378</v>
      </c>
      <c r="H91" s="160">
        <f t="shared" si="10"/>
        <v>0.28314606741573034</v>
      </c>
      <c r="I91" s="7"/>
    </row>
    <row r="92" spans="1:10">
      <c r="A92" s="149" t="s">
        <v>192</v>
      </c>
      <c r="B92" s="149">
        <v>0</v>
      </c>
      <c r="C92" s="149" t="s">
        <v>57</v>
      </c>
      <c r="D92" s="157">
        <v>0</v>
      </c>
      <c r="E92" s="161">
        <f t="shared" si="8"/>
        <v>0</v>
      </c>
      <c r="F92" s="160">
        <f t="shared" si="10"/>
        <v>0</v>
      </c>
      <c r="G92" s="161">
        <f t="shared" si="9"/>
        <v>0</v>
      </c>
      <c r="H92" s="160">
        <f t="shared" si="10"/>
        <v>0</v>
      </c>
      <c r="I92" s="7"/>
    </row>
    <row r="93" spans="1:10">
      <c r="A93" s="149"/>
      <c r="B93" s="149"/>
      <c r="C93" s="149"/>
      <c r="D93" s="157"/>
      <c r="E93" s="161"/>
      <c r="F93" s="160"/>
      <c r="G93" s="161"/>
      <c r="H93" s="160"/>
      <c r="I93" s="7"/>
    </row>
    <row r="94" spans="1:10">
      <c r="A94" s="152" t="s">
        <v>168</v>
      </c>
      <c r="B94" s="149"/>
      <c r="C94" s="149"/>
      <c r="D94" s="157"/>
      <c r="E94" s="161"/>
      <c r="F94" s="160"/>
      <c r="G94" s="161"/>
      <c r="H94" s="160"/>
      <c r="I94" s="7"/>
    </row>
    <row r="95" spans="1:10">
      <c r="A95" s="149" t="s">
        <v>4</v>
      </c>
      <c r="B95" s="149">
        <v>1</v>
      </c>
      <c r="C95" s="149" t="s">
        <v>57</v>
      </c>
      <c r="D95" s="157">
        <v>550</v>
      </c>
      <c r="E95" s="161">
        <f t="shared" si="8"/>
        <v>550</v>
      </c>
      <c r="F95" s="160">
        <f t="shared" si="10"/>
        <v>0.41198501872659177</v>
      </c>
      <c r="G95" s="161">
        <f>+E95*AdjRate</f>
        <v>660</v>
      </c>
      <c r="H95" s="160">
        <f t="shared" si="10"/>
        <v>0.4943820224719101</v>
      </c>
      <c r="I95" s="7"/>
    </row>
    <row r="96" spans="1:10">
      <c r="A96" s="149" t="s">
        <v>193</v>
      </c>
      <c r="B96" s="149">
        <v>0</v>
      </c>
      <c r="C96" s="149" t="s">
        <v>66</v>
      </c>
      <c r="D96" s="157">
        <v>650</v>
      </c>
      <c r="E96" s="161">
        <f t="shared" si="8"/>
        <v>0</v>
      </c>
      <c r="F96" s="160">
        <f>+E96/$B$9</f>
        <v>0</v>
      </c>
      <c r="G96" s="161">
        <f>+E96*AdjRate</f>
        <v>0</v>
      </c>
      <c r="H96" s="160">
        <f>+G96/$B$9</f>
        <v>0</v>
      </c>
      <c r="I96" s="7"/>
    </row>
    <row r="97" spans="1:11">
      <c r="A97" s="149" t="s">
        <v>170</v>
      </c>
      <c r="B97" s="149">
        <v>1</v>
      </c>
      <c r="C97" s="149" t="s">
        <v>171</v>
      </c>
      <c r="D97" s="157">
        <v>650</v>
      </c>
      <c r="E97" s="161">
        <f t="shared" si="8"/>
        <v>650</v>
      </c>
      <c r="F97" s="160">
        <f t="shared" si="10"/>
        <v>0.48689138576779029</v>
      </c>
      <c r="G97" s="161">
        <f>+E97*AdjRate</f>
        <v>780</v>
      </c>
      <c r="H97" s="160">
        <f t="shared" si="10"/>
        <v>0.5842696629213483</v>
      </c>
      <c r="I97" s="7"/>
    </row>
    <row r="98" spans="1:11">
      <c r="A98" s="149"/>
      <c r="B98" s="149"/>
      <c r="C98" s="149"/>
      <c r="D98" s="157"/>
      <c r="E98" s="161"/>
      <c r="F98" s="160"/>
      <c r="G98" s="161"/>
      <c r="H98" s="160"/>
      <c r="I98" s="7"/>
    </row>
    <row r="99" spans="1:11">
      <c r="A99" s="152" t="s">
        <v>172</v>
      </c>
      <c r="B99" s="149"/>
      <c r="C99" s="149"/>
      <c r="D99" s="157"/>
      <c r="E99" s="161"/>
      <c r="F99" s="160"/>
      <c r="G99" s="161"/>
      <c r="H99" s="160"/>
      <c r="I99" s="7"/>
    </row>
    <row r="100" spans="1:11">
      <c r="A100" s="149" t="s">
        <v>173</v>
      </c>
      <c r="B100" s="149">
        <f>B$15</f>
        <v>1960</v>
      </c>
      <c r="C100" s="149" t="s">
        <v>65</v>
      </c>
      <c r="D100" s="157">
        <v>2.2000000000000002</v>
      </c>
      <c r="E100" s="161">
        <f t="shared" si="8"/>
        <v>4312</v>
      </c>
      <c r="F100" s="160">
        <f t="shared" si="10"/>
        <v>3.2299625468164792</v>
      </c>
      <c r="G100" s="161">
        <f>+E100*AdjRate</f>
        <v>5174.3999999999996</v>
      </c>
      <c r="H100" s="160">
        <f t="shared" si="10"/>
        <v>3.8759550561797749</v>
      </c>
      <c r="I100" s="7"/>
    </row>
    <row r="101" spans="1:11">
      <c r="A101" s="149" t="s">
        <v>174</v>
      </c>
      <c r="B101" s="149">
        <v>1</v>
      </c>
      <c r="C101" s="149" t="s">
        <v>57</v>
      </c>
      <c r="D101" s="157">
        <v>700</v>
      </c>
      <c r="E101" s="161">
        <f t="shared" si="8"/>
        <v>700</v>
      </c>
      <c r="F101" s="160">
        <f t="shared" si="10"/>
        <v>0.52434456928838946</v>
      </c>
      <c r="G101" s="161">
        <f>+E101*AdjRate</f>
        <v>840</v>
      </c>
      <c r="H101" s="160">
        <f t="shared" si="10"/>
        <v>0.6292134831460674</v>
      </c>
      <c r="I101" s="7"/>
    </row>
    <row r="102" spans="1:11">
      <c r="A102" s="149" t="s">
        <v>175</v>
      </c>
      <c r="B102" s="149">
        <v>1</v>
      </c>
      <c r="C102" s="149" t="s">
        <v>57</v>
      </c>
      <c r="D102" s="157">
        <v>450</v>
      </c>
      <c r="E102" s="161">
        <f t="shared" si="8"/>
        <v>450</v>
      </c>
      <c r="F102" s="160">
        <f t="shared" si="10"/>
        <v>0.33707865168539325</v>
      </c>
      <c r="G102" s="161">
        <f>+E102*AdjRate</f>
        <v>540</v>
      </c>
      <c r="H102" s="160">
        <f t="shared" si="10"/>
        <v>0.4044943820224719</v>
      </c>
      <c r="I102" s="7"/>
    </row>
    <row r="103" spans="1:11">
      <c r="A103" s="149"/>
      <c r="B103" s="149"/>
      <c r="C103" s="149"/>
      <c r="D103" s="157"/>
      <c r="E103" s="161"/>
      <c r="F103" s="160"/>
      <c r="G103" s="161"/>
      <c r="H103" s="160"/>
      <c r="I103" s="7"/>
    </row>
    <row r="104" spans="1:11">
      <c r="A104" s="152" t="s">
        <v>176</v>
      </c>
      <c r="B104" s="149"/>
      <c r="C104" s="149"/>
      <c r="D104" s="157"/>
      <c r="E104" s="161"/>
      <c r="F104" s="160"/>
      <c r="G104" s="161"/>
      <c r="H104" s="160"/>
      <c r="I104" s="7"/>
    </row>
    <row r="105" spans="1:11">
      <c r="A105" s="149" t="s">
        <v>194</v>
      </c>
      <c r="B105" s="149">
        <v>1</v>
      </c>
      <c r="C105" s="149" t="s">
        <v>57</v>
      </c>
      <c r="D105" s="157">
        <v>4200</v>
      </c>
      <c r="E105" s="161">
        <f t="shared" si="8"/>
        <v>4200</v>
      </c>
      <c r="F105" s="160">
        <f t="shared" si="10"/>
        <v>3.1460674157303372</v>
      </c>
      <c r="G105" s="161">
        <f t="shared" ref="G105:G110" si="11">+E105*AdjRate</f>
        <v>5040</v>
      </c>
      <c r="H105" s="160">
        <f t="shared" si="10"/>
        <v>3.7752808988764044</v>
      </c>
      <c r="I105" s="7"/>
    </row>
    <row r="106" spans="1:11">
      <c r="A106" s="149" t="s">
        <v>195</v>
      </c>
      <c r="B106" s="149">
        <v>25</v>
      </c>
      <c r="C106" s="149" t="s">
        <v>196</v>
      </c>
      <c r="D106" s="157">
        <v>15</v>
      </c>
      <c r="E106" s="161">
        <f>D106*B106</f>
        <v>375</v>
      </c>
      <c r="F106" s="160">
        <f t="shared" si="10"/>
        <v>0.2808988764044944</v>
      </c>
      <c r="G106" s="161">
        <f t="shared" si="11"/>
        <v>450</v>
      </c>
      <c r="H106" s="160">
        <f t="shared" si="10"/>
        <v>0.33707865168539325</v>
      </c>
      <c r="I106" s="7"/>
    </row>
    <row r="107" spans="1:11">
      <c r="A107" s="149" t="s">
        <v>178</v>
      </c>
      <c r="B107" s="149">
        <v>1</v>
      </c>
      <c r="C107" s="149" t="s">
        <v>57</v>
      </c>
      <c r="D107" s="157">
        <v>2000</v>
      </c>
      <c r="E107" s="161">
        <f>D107*B107</f>
        <v>2000</v>
      </c>
      <c r="F107" s="160">
        <f t="shared" si="10"/>
        <v>1.4981273408239701</v>
      </c>
      <c r="G107" s="161">
        <f t="shared" si="11"/>
        <v>2400</v>
      </c>
      <c r="H107" s="160">
        <f t="shared" si="10"/>
        <v>1.797752808988764</v>
      </c>
      <c r="I107" s="7"/>
      <c r="K107" s="3">
        <f>5000/1839</f>
        <v>2.7188689505165851</v>
      </c>
    </row>
    <row r="108" spans="1:11">
      <c r="A108" s="149" t="s">
        <v>197</v>
      </c>
      <c r="B108" s="149">
        <v>1</v>
      </c>
      <c r="C108" s="149" t="s">
        <v>57</v>
      </c>
      <c r="D108" s="157">
        <v>990</v>
      </c>
      <c r="E108" s="161">
        <f>D108*B108</f>
        <v>990</v>
      </c>
      <c r="F108" s="160">
        <f t="shared" si="10"/>
        <v>0.7415730337078652</v>
      </c>
      <c r="G108" s="161">
        <f t="shared" si="11"/>
        <v>1188</v>
      </c>
      <c r="H108" s="160">
        <f t="shared" si="10"/>
        <v>0.88988764044943824</v>
      </c>
      <c r="I108" s="7"/>
    </row>
    <row r="109" spans="1:11">
      <c r="A109" s="149" t="s">
        <v>3</v>
      </c>
      <c r="B109" s="149">
        <f>B9</f>
        <v>1335</v>
      </c>
      <c r="C109" s="149" t="s">
        <v>65</v>
      </c>
      <c r="D109" s="157">
        <v>2.85</v>
      </c>
      <c r="E109" s="161">
        <f>D109*B109</f>
        <v>3804.75</v>
      </c>
      <c r="F109" s="160">
        <f t="shared" si="10"/>
        <v>2.85</v>
      </c>
      <c r="G109" s="161">
        <f t="shared" si="11"/>
        <v>4565.7</v>
      </c>
      <c r="H109" s="160">
        <f t="shared" si="10"/>
        <v>3.42</v>
      </c>
      <c r="I109" s="7"/>
    </row>
    <row r="110" spans="1:11">
      <c r="A110" s="149" t="s">
        <v>9</v>
      </c>
      <c r="B110" s="149">
        <f>ConstTime</f>
        <v>6</v>
      </c>
      <c r="C110" s="149" t="s">
        <v>77</v>
      </c>
      <c r="D110" s="157">
        <f>((1000*52)/12+250+100)/4</f>
        <v>1170.8333333333333</v>
      </c>
      <c r="E110" s="161">
        <f>D110*B110</f>
        <v>7025</v>
      </c>
      <c r="F110" s="160">
        <f t="shared" si="10"/>
        <v>5.262172284644195</v>
      </c>
      <c r="G110" s="161">
        <f t="shared" si="11"/>
        <v>8430</v>
      </c>
      <c r="H110" s="160">
        <f t="shared" si="10"/>
        <v>6.3146067415730336</v>
      </c>
      <c r="I110" s="7"/>
    </row>
    <row r="111" spans="1:11" ht="13.5" thickBot="1">
      <c r="A111" s="156" t="s">
        <v>241</v>
      </c>
      <c r="B111" s="156"/>
      <c r="C111" s="156"/>
      <c r="D111" s="156"/>
      <c r="E111" s="158">
        <f>SUM(E18:E110)</f>
        <v>80766.216986472049</v>
      </c>
      <c r="F111" s="159">
        <f>SUM(F18:F110)</f>
        <v>60.49903894117756</v>
      </c>
      <c r="G111" s="158">
        <f>SUM(G18:G110)</f>
        <v>96919.460383766447</v>
      </c>
      <c r="H111" s="159">
        <f>SUM(H18:H110)</f>
        <v>72.598846729413054</v>
      </c>
      <c r="I111" s="7"/>
    </row>
    <row r="112" spans="1:11" ht="13.5" thickTop="1">
      <c r="A112" s="149"/>
      <c r="B112" s="149"/>
      <c r="C112" s="149"/>
      <c r="D112" s="149"/>
      <c r="E112" s="161">
        <f>+G111-E111</f>
        <v>16153.243397294398</v>
      </c>
      <c r="F112" s="161"/>
      <c r="G112" s="149"/>
      <c r="H112" s="149"/>
    </row>
    <row r="113" spans="4:6">
      <c r="D113" s="5"/>
      <c r="E113" s="5"/>
      <c r="F113" s="5"/>
    </row>
    <row r="114" spans="4:6">
      <c r="D114" s="5"/>
      <c r="E114" s="5"/>
      <c r="F114" s="5"/>
    </row>
    <row r="115" spans="4:6">
      <c r="D115" s="5"/>
      <c r="E115" s="5"/>
      <c r="F115" s="5"/>
    </row>
    <row r="116" spans="4:6">
      <c r="D116" s="5"/>
      <c r="E116" s="5"/>
      <c r="F116" s="5"/>
    </row>
    <row r="117" spans="4:6">
      <c r="D117" s="5"/>
      <c r="E117" s="5"/>
      <c r="F117" s="5"/>
    </row>
    <row r="118" spans="4:6">
      <c r="D118" s="5"/>
      <c r="E118" s="5"/>
      <c r="F118" s="5"/>
    </row>
    <row r="119" spans="4:6">
      <c r="D119" s="5"/>
      <c r="E119" s="5"/>
      <c r="F119" s="5"/>
    </row>
    <row r="120" spans="4:6">
      <c r="D120" s="5"/>
      <c r="E120" s="5"/>
      <c r="F120" s="5"/>
    </row>
    <row r="121" spans="4:6">
      <c r="D121" s="5"/>
      <c r="E121" s="5"/>
      <c r="F121" s="5"/>
    </row>
    <row r="122" spans="4:6">
      <c r="D122" s="5"/>
      <c r="E122" s="5"/>
      <c r="F122" s="5"/>
    </row>
    <row r="123" spans="4:6">
      <c r="D123" s="5"/>
      <c r="E123" s="5"/>
      <c r="F123" s="5"/>
    </row>
    <row r="124" spans="4:6">
      <c r="D124" s="5"/>
      <c r="E124" s="5"/>
      <c r="F124" s="5"/>
    </row>
    <row r="125" spans="4:6">
      <c r="D125" s="5"/>
      <c r="E125" s="5"/>
      <c r="F125" s="5"/>
    </row>
    <row r="126" spans="4:6">
      <c r="D126" s="5"/>
      <c r="E126" s="5"/>
      <c r="F126" s="5"/>
    </row>
    <row r="127" spans="4:6">
      <c r="D127" s="5"/>
      <c r="E127" s="5"/>
      <c r="F127" s="5"/>
    </row>
    <row r="128" spans="4:6">
      <c r="D128" s="5"/>
      <c r="E128" s="5"/>
      <c r="F128" s="5"/>
    </row>
    <row r="129" spans="4:6">
      <c r="D129" s="5"/>
      <c r="E129" s="5"/>
      <c r="F129" s="5"/>
    </row>
    <row r="130" spans="4:6">
      <c r="D130" s="5"/>
      <c r="E130" s="5"/>
      <c r="F130" s="5"/>
    </row>
    <row r="131" spans="4:6">
      <c r="D131" s="5"/>
      <c r="E131" s="5"/>
      <c r="F131" s="5"/>
    </row>
    <row r="132" spans="4:6">
      <c r="D132" s="5"/>
      <c r="E132" s="5"/>
      <c r="F132" s="5"/>
    </row>
    <row r="133" spans="4:6">
      <c r="D133" s="5"/>
      <c r="E133" s="5"/>
      <c r="F133" s="5"/>
    </row>
    <row r="134" spans="4:6">
      <c r="D134" s="5"/>
      <c r="E134" s="5"/>
      <c r="F134" s="5"/>
    </row>
    <row r="135" spans="4:6">
      <c r="D135" s="5"/>
      <c r="E135" s="5"/>
      <c r="F135" s="5"/>
    </row>
    <row r="136" spans="4:6">
      <c r="D136" s="5"/>
      <c r="E136" s="5"/>
      <c r="F136" s="5"/>
    </row>
    <row r="137" spans="4:6">
      <c r="D137" s="5"/>
      <c r="E137" s="5"/>
      <c r="F137" s="5"/>
    </row>
    <row r="138" spans="4:6">
      <c r="D138" s="5"/>
      <c r="E138" s="5"/>
      <c r="F138" s="5"/>
    </row>
    <row r="139" spans="4:6">
      <c r="D139" s="5"/>
      <c r="E139" s="5"/>
      <c r="F139" s="5"/>
    </row>
    <row r="140" spans="4:6">
      <c r="D140" s="5"/>
      <c r="E140" s="5"/>
      <c r="F140" s="5"/>
    </row>
    <row r="141" spans="4:6">
      <c r="D141" s="5"/>
      <c r="E141" s="5"/>
      <c r="F141" s="5"/>
    </row>
    <row r="142" spans="4:6">
      <c r="D142" s="5"/>
      <c r="E142" s="5"/>
      <c r="F142" s="5"/>
    </row>
  </sheetData>
  <mergeCells count="1">
    <mergeCell ref="A1:H1"/>
  </mergeCells>
  <phoneticPr fontId="3" type="noConversion"/>
  <printOptions horizontalCentered="1"/>
  <pageMargins left="0.25" right="0.25" top="1" bottom="1" header="0.5" footer="0.5"/>
  <pageSetup scale="88" fitToHeight="2" orientation="portrait" horizontalDpi="300" verticalDpi="300" r:id="rId1"/>
  <headerFooter alignWithMargins="0">
    <oddHeader>&amp;CWESTGATE &amp;&amp; CAMERON LOOP
96 CONDOMINIUMS</oddHeader>
    <oddFooter>&amp;L&amp;"Garamond,Regular"&amp;8&amp;F  Tab &amp;A&amp;C&amp;"Garamond,Regular"&amp;8&amp;P Of &amp;N&amp;R&amp;"Garamond,Regular"&amp;8&amp;D</oddFooter>
  </headerFooter>
  <rowBreaks count="1" manualBreakCount="1">
    <brk id="47" max="8" man="1"/>
  </rowBreaks>
  <colBreaks count="1" manualBreakCount="1">
    <brk id="10"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G122"/>
  <sheetViews>
    <sheetView workbookViewId="0">
      <selection activeCell="B25" sqref="B25"/>
    </sheetView>
  </sheetViews>
  <sheetFormatPr defaultColWidth="10.5703125" defaultRowHeight="12.75"/>
  <cols>
    <col min="1" max="1" width="39.28515625" style="3" customWidth="1"/>
    <col min="2" max="2" width="16.85546875" style="3" customWidth="1"/>
    <col min="3" max="3" width="12" style="3" customWidth="1"/>
    <col min="4" max="4" width="14" style="3" customWidth="1"/>
    <col min="5" max="5" width="7.28515625" style="3" bestFit="1" customWidth="1"/>
    <col min="6" max="6" width="10.5703125" style="3" customWidth="1"/>
    <col min="7" max="7" width="26.7109375" style="3" customWidth="1"/>
    <col min="8" max="8" width="14.5703125" style="3" customWidth="1"/>
    <col min="9" max="9" width="10.5703125" style="3" customWidth="1"/>
    <col min="10" max="10" width="10.42578125" style="3" customWidth="1"/>
    <col min="11" max="11" width="9.85546875" style="3" customWidth="1"/>
    <col min="12" max="12" width="5.28515625" style="3" customWidth="1"/>
    <col min="13" max="13" width="8" style="3" customWidth="1"/>
    <col min="14" max="14" width="13.28515625" style="3" customWidth="1"/>
    <col min="15" max="15" width="10" style="3" customWidth="1"/>
    <col min="16" max="16" width="11.28515625" style="3" customWidth="1"/>
    <col min="17" max="17" width="13.28515625" style="3" customWidth="1"/>
    <col min="18" max="19" width="11.85546875" style="3" customWidth="1"/>
    <col min="20" max="22" width="10.5703125" style="3" customWidth="1"/>
    <col min="23" max="32" width="11.5703125" style="3" customWidth="1"/>
    <col min="33" max="33" width="12.7109375" style="3" customWidth="1"/>
    <col min="34" max="16384" width="10.5703125" style="3"/>
  </cols>
  <sheetData>
    <row r="1" spans="1:33" ht="19.5" thickBot="1">
      <c r="A1" s="317" t="s">
        <v>261</v>
      </c>
      <c r="B1" s="318"/>
      <c r="C1" s="318"/>
      <c r="D1" s="318"/>
      <c r="E1" s="319"/>
      <c r="F1"/>
      <c r="R1" s="53"/>
      <c r="S1" s="15"/>
      <c r="U1"/>
      <c r="V1"/>
      <c r="W1" s="4"/>
      <c r="X1"/>
      <c r="Y1"/>
      <c r="Z1"/>
      <c r="AA1"/>
      <c r="AB1"/>
      <c r="AC1"/>
      <c r="AD1"/>
      <c r="AE1"/>
      <c r="AF1"/>
      <c r="AG1"/>
    </row>
    <row r="2" spans="1:33">
      <c r="F2"/>
      <c r="R2" s="53"/>
      <c r="S2" s="15"/>
      <c r="U2"/>
      <c r="V2"/>
      <c r="W2"/>
      <c r="X2"/>
      <c r="Y2"/>
      <c r="Z2"/>
      <c r="AA2"/>
      <c r="AB2"/>
      <c r="AC2"/>
      <c r="AD2"/>
      <c r="AE2"/>
      <c r="AF2"/>
      <c r="AG2"/>
    </row>
    <row r="3" spans="1:33">
      <c r="A3" s="15"/>
      <c r="B3" s="16" t="s">
        <v>40</v>
      </c>
      <c r="C3" s="16" t="s">
        <v>5</v>
      </c>
      <c r="D3" s="16" t="s">
        <v>13</v>
      </c>
      <c r="E3" s="16" t="s">
        <v>186</v>
      </c>
      <c r="F3" s="20"/>
      <c r="U3"/>
      <c r="V3"/>
      <c r="W3" s="1"/>
      <c r="X3" s="1"/>
      <c r="Y3" s="1"/>
      <c r="Z3" s="1"/>
      <c r="AA3" s="1"/>
      <c r="AB3" s="1"/>
      <c r="AC3" s="1"/>
      <c r="AD3" s="1"/>
      <c r="AE3" s="1"/>
      <c r="AF3" s="1"/>
      <c r="AG3" s="1"/>
    </row>
    <row r="4" spans="1:33">
      <c r="A4" s="22" t="s">
        <v>37</v>
      </c>
      <c r="B4" s="22">
        <f>+TLU</f>
        <v>96</v>
      </c>
      <c r="C4" s="291"/>
      <c r="D4" s="15"/>
      <c r="E4" s="15"/>
      <c r="F4" s="20"/>
      <c r="T4" s="9"/>
      <c r="U4"/>
      <c r="V4"/>
      <c r="W4" s="1"/>
      <c r="X4" s="1"/>
      <c r="Y4" s="1"/>
      <c r="Z4" s="1"/>
      <c r="AA4" s="1"/>
      <c r="AB4" s="1"/>
      <c r="AC4" s="1"/>
      <c r="AD4" s="1"/>
      <c r="AE4" s="1"/>
      <c r="AF4" s="1"/>
      <c r="AG4" s="1"/>
    </row>
    <row r="5" spans="1:33">
      <c r="A5" s="22" t="s">
        <v>38</v>
      </c>
      <c r="B5" s="292">
        <f>+'Unit Summary'!M14</f>
        <v>127290</v>
      </c>
      <c r="C5" s="293">
        <f>+B5/B4</f>
        <v>1325.9375</v>
      </c>
      <c r="D5" s="15"/>
      <c r="E5" s="15"/>
      <c r="F5" s="20"/>
      <c r="T5"/>
      <c r="U5" s="13"/>
      <c r="V5"/>
      <c r="W5" s="1"/>
      <c r="X5" s="1"/>
      <c r="Y5" s="1"/>
      <c r="Z5" s="1"/>
      <c r="AA5" s="1"/>
      <c r="AB5" s="1"/>
      <c r="AC5" s="1"/>
      <c r="AD5" s="1"/>
      <c r="AE5" s="1"/>
      <c r="AF5" s="1"/>
      <c r="AG5" s="1"/>
    </row>
    <row r="6" spans="1:33">
      <c r="A6" s="15"/>
      <c r="F6" s="20"/>
      <c r="T6"/>
      <c r="U6"/>
      <c r="V6"/>
      <c r="W6" s="1"/>
      <c r="X6" s="1"/>
      <c r="Y6" s="1"/>
      <c r="Z6" s="1"/>
      <c r="AA6" s="1"/>
      <c r="AB6" s="1"/>
      <c r="AC6" s="1"/>
      <c r="AD6" s="1"/>
      <c r="AE6" s="1"/>
      <c r="AF6" s="1"/>
      <c r="AG6" s="1"/>
    </row>
    <row r="7" spans="1:33">
      <c r="A7" s="21" t="s">
        <v>46</v>
      </c>
      <c r="B7" s="15"/>
      <c r="C7" s="37"/>
      <c r="D7" s="34"/>
      <c r="E7" s="42"/>
      <c r="F7" s="20"/>
      <c r="T7"/>
      <c r="U7"/>
      <c r="V7"/>
      <c r="W7" s="1"/>
      <c r="X7" s="1"/>
      <c r="Y7" s="1"/>
      <c r="Z7" s="1"/>
      <c r="AA7" s="1"/>
      <c r="AB7" s="1"/>
      <c r="AC7" s="1"/>
      <c r="AD7" s="1"/>
      <c r="AE7" s="1"/>
      <c r="AF7" s="1"/>
      <c r="AG7" s="1"/>
    </row>
    <row r="8" spans="1:33">
      <c r="A8" s="15" t="s">
        <v>47</v>
      </c>
      <c r="B8" s="36">
        <f>+'Unit Summary'!K14</f>
        <v>13423236</v>
      </c>
      <c r="C8" s="37">
        <f>+$B8/TLU</f>
        <v>139825.375</v>
      </c>
      <c r="D8" s="34">
        <f t="shared" ref="D8:D13" si="0">+B8/$B$5</f>
        <v>105.45397124675937</v>
      </c>
      <c r="E8" s="42">
        <f>+B8/B$8</f>
        <v>1</v>
      </c>
      <c r="F8" s="20"/>
      <c r="T8"/>
      <c r="U8"/>
      <c r="V8"/>
      <c r="W8" s="1"/>
      <c r="X8" s="1"/>
      <c r="Y8" s="1"/>
      <c r="Z8" s="1"/>
      <c r="AA8" s="1"/>
      <c r="AB8" s="1"/>
      <c r="AC8" s="1"/>
      <c r="AD8" s="1"/>
      <c r="AE8" s="1"/>
      <c r="AF8" s="1"/>
      <c r="AG8" s="1"/>
    </row>
    <row r="9" spans="1:33">
      <c r="A9" s="15"/>
      <c r="B9" s="15"/>
      <c r="C9" s="37"/>
      <c r="D9" s="34"/>
      <c r="E9" s="42"/>
      <c r="F9" s="20"/>
      <c r="T9"/>
      <c r="U9"/>
      <c r="V9"/>
      <c r="W9" s="1"/>
      <c r="X9" s="1"/>
      <c r="Y9" s="1"/>
      <c r="Z9" s="1"/>
      <c r="AA9" s="1"/>
      <c r="AB9" s="1"/>
      <c r="AC9" s="1"/>
      <c r="AD9" s="1"/>
      <c r="AE9" s="1"/>
      <c r="AF9" s="1"/>
      <c r="AG9" s="1"/>
    </row>
    <row r="10" spans="1:33">
      <c r="A10" s="21" t="s">
        <v>48</v>
      </c>
      <c r="B10" s="15"/>
      <c r="C10" s="37"/>
      <c r="D10" s="34"/>
      <c r="E10" s="42"/>
      <c r="F10" s="20"/>
      <c r="T10"/>
      <c r="U10"/>
      <c r="V10"/>
      <c r="W10"/>
      <c r="X10"/>
      <c r="Y10"/>
      <c r="Z10"/>
      <c r="AA10"/>
      <c r="AB10"/>
      <c r="AC10"/>
      <c r="AD10"/>
      <c r="AE10"/>
      <c r="AF10"/>
      <c r="AG10" s="1"/>
    </row>
    <row r="11" spans="1:33">
      <c r="A11" s="15" t="s">
        <v>49</v>
      </c>
      <c r="B11" s="36">
        <f>B$8*Slscomm</f>
        <v>671161.8</v>
      </c>
      <c r="C11" s="37">
        <f>+$B11/TLU</f>
        <v>6991.2687500000002</v>
      </c>
      <c r="D11" s="34">
        <f t="shared" si="0"/>
        <v>5.2726985623379692</v>
      </c>
      <c r="E11" s="42">
        <f>+B11/B$8</f>
        <v>0.05</v>
      </c>
      <c r="F11" s="20"/>
      <c r="U11"/>
      <c r="V11"/>
      <c r="W11"/>
      <c r="X11"/>
      <c r="Y11"/>
      <c r="Z11"/>
      <c r="AA11"/>
      <c r="AB11"/>
      <c r="AC11"/>
      <c r="AD11"/>
      <c r="AE11"/>
      <c r="AF11"/>
      <c r="AG11" s="1"/>
    </row>
    <row r="12" spans="1:33">
      <c r="A12" s="38" t="s">
        <v>50</v>
      </c>
      <c r="B12" s="39">
        <f>B$8*Ccost</f>
        <v>167790.45</v>
      </c>
      <c r="C12" s="44">
        <f>+$B12/TLU</f>
        <v>1747.8171875</v>
      </c>
      <c r="D12" s="2">
        <f t="shared" si="0"/>
        <v>1.3181746405844923</v>
      </c>
      <c r="E12" s="47">
        <f>+B12/B$8</f>
        <v>1.2500000000000001E-2</v>
      </c>
      <c r="F12" s="20"/>
      <c r="U12"/>
      <c r="V12"/>
      <c r="W12"/>
      <c r="X12"/>
      <c r="Y12"/>
      <c r="Z12"/>
      <c r="AA12"/>
      <c r="AB12"/>
      <c r="AC12"/>
      <c r="AD12"/>
      <c r="AE12"/>
      <c r="AF12"/>
      <c r="AG12" s="1">
        <f>SUM(W12:AF12)</f>
        <v>0</v>
      </c>
    </row>
    <row r="13" spans="1:33">
      <c r="A13" s="15" t="s">
        <v>51</v>
      </c>
      <c r="B13" s="36">
        <f>+B12+B11</f>
        <v>838952.25</v>
      </c>
      <c r="C13" s="37">
        <f>+$B13/TLU</f>
        <v>8739.0859375</v>
      </c>
      <c r="D13" s="34">
        <f t="shared" si="0"/>
        <v>6.5908732029224604</v>
      </c>
      <c r="E13" s="42">
        <f>+B13/B$8</f>
        <v>6.25E-2</v>
      </c>
      <c r="F13" s="20"/>
      <c r="U13"/>
      <c r="V13"/>
      <c r="W13"/>
      <c r="X13"/>
      <c r="Y13"/>
      <c r="Z13"/>
      <c r="AA13"/>
      <c r="AB13"/>
      <c r="AC13"/>
      <c r="AD13"/>
      <c r="AE13"/>
      <c r="AF13"/>
      <c r="AG13" s="1">
        <f>SUM(W13:AF13)</f>
        <v>0</v>
      </c>
    </row>
    <row r="14" spans="1:33" ht="12.75" customHeight="1">
      <c r="A14" s="15"/>
      <c r="C14" s="37"/>
      <c r="D14" s="34"/>
      <c r="U14"/>
      <c r="V14"/>
      <c r="X14"/>
      <c r="Y14"/>
      <c r="Z14"/>
      <c r="AA14"/>
      <c r="AB14"/>
      <c r="AC14"/>
      <c r="AD14"/>
      <c r="AE14"/>
      <c r="AF14"/>
      <c r="AG14" s="1">
        <f t="shared" ref="AG14:AG23" si="1">SUM(X14:AF14)</f>
        <v>0</v>
      </c>
    </row>
    <row r="15" spans="1:33">
      <c r="A15" s="22" t="s">
        <v>359</v>
      </c>
      <c r="B15" s="67">
        <f>+B8-B13</f>
        <v>12584283.75</v>
      </c>
      <c r="C15" s="67">
        <f>+$B15/TLU</f>
        <v>131086.2890625</v>
      </c>
      <c r="D15" s="34">
        <f>+B15/$B$5</f>
        <v>98.863098043836914</v>
      </c>
      <c r="E15" s="42">
        <f>+B15/B$8</f>
        <v>0.9375</v>
      </c>
      <c r="F15" s="20"/>
      <c r="R15" s="6"/>
      <c r="T15" s="52"/>
      <c r="U15"/>
      <c r="V15"/>
      <c r="X15"/>
      <c r="Y15"/>
      <c r="Z15"/>
      <c r="AA15"/>
      <c r="AB15"/>
      <c r="AC15"/>
      <c r="AD15"/>
      <c r="AE15"/>
      <c r="AF15"/>
      <c r="AG15" s="1">
        <f t="shared" si="1"/>
        <v>0</v>
      </c>
    </row>
    <row r="16" spans="1:33">
      <c r="A16" s="15"/>
      <c r="B16" s="41"/>
      <c r="C16" s="37"/>
      <c r="D16" s="34"/>
      <c r="E16" s="45"/>
      <c r="F16" s="20"/>
      <c r="U16"/>
      <c r="V16"/>
      <c r="X16"/>
      <c r="Y16"/>
      <c r="Z16"/>
      <c r="AA16"/>
      <c r="AB16"/>
      <c r="AC16"/>
      <c r="AD16"/>
      <c r="AE16"/>
      <c r="AF16"/>
      <c r="AG16" s="1">
        <f t="shared" si="1"/>
        <v>0</v>
      </c>
    </row>
    <row r="17" spans="1:33">
      <c r="A17" s="21" t="s">
        <v>39</v>
      </c>
      <c r="D17" s="34"/>
      <c r="E17" s="15"/>
      <c r="F17" s="20"/>
      <c r="U17"/>
      <c r="V17"/>
      <c r="X17"/>
      <c r="Y17"/>
      <c r="Z17"/>
      <c r="AA17"/>
      <c r="AB17"/>
      <c r="AC17"/>
      <c r="AD17"/>
      <c r="AE17"/>
      <c r="AF17"/>
      <c r="AG17" s="1">
        <f t="shared" si="1"/>
        <v>0</v>
      </c>
    </row>
    <row r="18" spans="1:33">
      <c r="A18" s="15" t="s">
        <v>210</v>
      </c>
      <c r="B18" s="36">
        <f>+'A&amp;D Costs'!E$12</f>
        <v>764840</v>
      </c>
      <c r="C18" s="37">
        <f>+$B18/TLU</f>
        <v>7967.083333333333</v>
      </c>
      <c r="D18" s="34">
        <f>+B18/$B$5</f>
        <v>6.0086416843428392</v>
      </c>
      <c r="E18" s="42">
        <f>+B18/B$8</f>
        <v>5.6978808984659138E-2</v>
      </c>
      <c r="F18" s="20"/>
      <c r="U18"/>
      <c r="V18"/>
      <c r="X18"/>
      <c r="Y18"/>
      <c r="Z18"/>
      <c r="AA18"/>
      <c r="AB18"/>
      <c r="AC18"/>
      <c r="AD18"/>
      <c r="AE18"/>
      <c r="AF18"/>
      <c r="AG18" s="1">
        <f t="shared" si="1"/>
        <v>0</v>
      </c>
    </row>
    <row r="19" spans="1:33">
      <c r="A19" s="15" t="s">
        <v>209</v>
      </c>
      <c r="B19" s="48">
        <f>+'A&amp;D Costs'!E103</f>
        <v>1129444.8351851851</v>
      </c>
      <c r="C19" s="69">
        <f>+$B19/TLU</f>
        <v>11765.050366512345</v>
      </c>
      <c r="D19" s="1">
        <f>+B19/$B$5</f>
        <v>8.8730052257458176</v>
      </c>
      <c r="E19" s="70">
        <f>+B19/B$8</f>
        <v>8.4141024949958787E-2</v>
      </c>
      <c r="F19" s="20"/>
      <c r="U19"/>
      <c r="V19"/>
      <c r="X19"/>
      <c r="Y19"/>
      <c r="Z19"/>
      <c r="AA19"/>
      <c r="AB19"/>
      <c r="AC19"/>
      <c r="AD19"/>
      <c r="AE19"/>
      <c r="AF19"/>
      <c r="AG19" s="1">
        <f t="shared" si="1"/>
        <v>0</v>
      </c>
    </row>
    <row r="20" spans="1:33">
      <c r="A20" s="38" t="s">
        <v>41</v>
      </c>
      <c r="B20" s="49">
        <f>+'Unit Summary'!H14</f>
        <v>8500475.543816518</v>
      </c>
      <c r="C20" s="49">
        <f>+$B20/TLU</f>
        <v>88546.62024808873</v>
      </c>
      <c r="D20" s="2">
        <f>+B20/$B$5</f>
        <v>66.780387648806013</v>
      </c>
      <c r="E20" s="47">
        <f>+B20/B$8</f>
        <v>0.63326574484844922</v>
      </c>
      <c r="F20" s="20"/>
      <c r="U20"/>
      <c r="V20"/>
      <c r="X20"/>
      <c r="Y20"/>
      <c r="Z20"/>
      <c r="AA20"/>
      <c r="AB20"/>
      <c r="AC20"/>
      <c r="AD20"/>
      <c r="AE20"/>
      <c r="AF20"/>
      <c r="AG20" s="1">
        <f t="shared" si="1"/>
        <v>0</v>
      </c>
    </row>
    <row r="21" spans="1:33">
      <c r="A21" s="15" t="s">
        <v>42</v>
      </c>
      <c r="B21" s="36">
        <f>SUM(B18:B20)</f>
        <v>10394760.379001703</v>
      </c>
      <c r="C21" s="37">
        <f>+$B21/TLU</f>
        <v>108278.75394793441</v>
      </c>
      <c r="D21" s="34">
        <f>+B21/$B$5</f>
        <v>81.662034558894675</v>
      </c>
      <c r="E21" s="42">
        <f>+B21/B$8</f>
        <v>0.77438557878306713</v>
      </c>
      <c r="F21" s="20"/>
      <c r="U21"/>
      <c r="V21"/>
      <c r="X21"/>
      <c r="Y21"/>
      <c r="Z21"/>
      <c r="AA21"/>
      <c r="AB21"/>
      <c r="AC21"/>
      <c r="AD21"/>
      <c r="AE21"/>
      <c r="AF21"/>
      <c r="AG21" s="1">
        <f t="shared" si="1"/>
        <v>0</v>
      </c>
    </row>
    <row r="22" spans="1:33">
      <c r="A22" s="15"/>
      <c r="B22" s="15"/>
      <c r="C22" s="37"/>
      <c r="D22" s="34"/>
      <c r="E22" s="42"/>
      <c r="F22" s="20"/>
      <c r="U22"/>
      <c r="V22"/>
      <c r="X22"/>
      <c r="Y22"/>
      <c r="Z22"/>
      <c r="AA22"/>
      <c r="AB22"/>
      <c r="AC22"/>
      <c r="AD22"/>
      <c r="AE22"/>
      <c r="AF22"/>
      <c r="AG22" s="1">
        <f t="shared" si="1"/>
        <v>0</v>
      </c>
    </row>
    <row r="23" spans="1:33">
      <c r="A23" s="21"/>
      <c r="C23" s="37"/>
      <c r="D23" s="34"/>
      <c r="E23" s="42"/>
      <c r="F23" s="20"/>
      <c r="U23"/>
      <c r="V23"/>
      <c r="X23"/>
      <c r="Y23"/>
      <c r="Z23"/>
      <c r="AA23"/>
      <c r="AB23"/>
      <c r="AC23"/>
      <c r="AD23"/>
      <c r="AE23"/>
      <c r="AF23"/>
      <c r="AG23" s="1">
        <f t="shared" si="1"/>
        <v>0</v>
      </c>
    </row>
    <row r="24" spans="1:33">
      <c r="A24" s="15" t="s">
        <v>43</v>
      </c>
      <c r="B24" s="36">
        <f>B21*CLPts</f>
        <v>103947.60379001703</v>
      </c>
      <c r="C24" s="37">
        <f>+$B24/TLU</f>
        <v>1082.7875394793441</v>
      </c>
      <c r="D24" s="34">
        <f>+B24/$B$5</f>
        <v>0.81662034558894681</v>
      </c>
      <c r="E24" s="42">
        <f>+B24/B$8</f>
        <v>7.7438557878306714E-3</v>
      </c>
      <c r="F24" s="20"/>
    </row>
    <row r="25" spans="1:33">
      <c r="A25" s="38" t="s">
        <v>44</v>
      </c>
      <c r="B25" s="39">
        <f>B$8*LTV*AvgBal*CLIntRt*ConstTime</f>
        <v>413435.66879999998</v>
      </c>
      <c r="C25" s="44">
        <f>+$B25/TLU</f>
        <v>4306.6215499999998</v>
      </c>
      <c r="D25" s="2">
        <f>+B25/$B$5</f>
        <v>3.2479823144001885</v>
      </c>
      <c r="E25" s="47">
        <f>+B25/B$8</f>
        <v>3.0799999999999998E-2</v>
      </c>
      <c r="F25" s="20"/>
    </row>
    <row r="26" spans="1:33">
      <c r="A26" s="15" t="s">
        <v>45</v>
      </c>
      <c r="B26" s="36">
        <f>+B25+B24</f>
        <v>517383.272590017</v>
      </c>
      <c r="C26" s="37">
        <f>+$B26/TLU</f>
        <v>5389.4090894793435</v>
      </c>
      <c r="D26" s="34">
        <f>+B26/$B$5</f>
        <v>4.0646026599891352</v>
      </c>
      <c r="E26" s="42">
        <f>+B26/B$8</f>
        <v>3.8543855787830671E-2</v>
      </c>
      <c r="F26" s="20"/>
    </row>
    <row r="27" spans="1:33">
      <c r="A27" s="15"/>
      <c r="B27" s="15"/>
      <c r="C27" s="37"/>
      <c r="D27" s="34"/>
      <c r="E27" s="42"/>
      <c r="F27" s="20"/>
    </row>
    <row r="28" spans="1:33">
      <c r="A28" s="22" t="s">
        <v>249</v>
      </c>
      <c r="B28" s="66">
        <f>+B26+B21</f>
        <v>10912143.65159172</v>
      </c>
      <c r="C28" s="67">
        <f>+$B28/TLU</f>
        <v>113668.16303741375</v>
      </c>
      <c r="D28" s="34">
        <f>+B28/$B$5</f>
        <v>85.726637218883809</v>
      </c>
      <c r="E28" s="45">
        <f>+B28/B$8</f>
        <v>0.81292943457089784</v>
      </c>
      <c r="F28" s="20"/>
    </row>
    <row r="29" spans="1:33" ht="13.5" thickBot="1">
      <c r="A29" s="15"/>
      <c r="B29" s="15"/>
      <c r="C29" s="37"/>
      <c r="D29" s="34"/>
      <c r="E29" s="42"/>
      <c r="F29" s="20"/>
    </row>
    <row r="30" spans="1:33" ht="13.5" thickBot="1">
      <c r="A30" s="19" t="s">
        <v>52</v>
      </c>
      <c r="B30" s="23">
        <f>+B15-B28</f>
        <v>1672140.0984082799</v>
      </c>
      <c r="C30" s="24">
        <f>+$B30/TLU</f>
        <v>17418.126025086251</v>
      </c>
      <c r="D30" s="25">
        <f>+B30/$B$5</f>
        <v>13.136460824953099</v>
      </c>
      <c r="E30" s="46">
        <f>B30/B$8</f>
        <v>0.12457056542910219</v>
      </c>
      <c r="F30" s="20"/>
    </row>
    <row r="31" spans="1:33">
      <c r="A31" s="15"/>
      <c r="B31" s="15"/>
      <c r="C31" s="37"/>
      <c r="D31" s="40"/>
      <c r="E31" s="15"/>
      <c r="F31" s="20"/>
    </row>
    <row r="32" spans="1:33">
      <c r="A32" s="22" t="s">
        <v>366</v>
      </c>
      <c r="B32" s="66">
        <v>700000</v>
      </c>
      <c r="C32" s="67">
        <f>+$B32/TLU</f>
        <v>7291.666666666667</v>
      </c>
      <c r="D32" s="68">
        <f>+$B32/'Unit Summary'!M$14</f>
        <v>5.4992536727158461</v>
      </c>
      <c r="E32" s="45">
        <f>+B32/B$8</f>
        <v>5.2148379124080067E-2</v>
      </c>
      <c r="F32" s="20"/>
    </row>
    <row r="33" spans="1:6">
      <c r="A33" s="22" t="s">
        <v>367</v>
      </c>
      <c r="B33" s="290">
        <f>0.5*B30</f>
        <v>836070.04920413997</v>
      </c>
      <c r="C33" s="67">
        <f>+B33/TLU</f>
        <v>8709.0630125431253</v>
      </c>
      <c r="D33" s="68">
        <f>+$B33/'Unit Summary'!M$14</f>
        <v>6.5682304124765496</v>
      </c>
      <c r="E33" s="45">
        <f>+B33/B$8</f>
        <v>6.2285282714551096E-2</v>
      </c>
      <c r="F33" s="20"/>
    </row>
    <row r="34" spans="1:6">
      <c r="A34" s="15" t="s">
        <v>406</v>
      </c>
      <c r="B34" s="146">
        <f>+B33/B32</f>
        <v>1.1943857845773429</v>
      </c>
      <c r="C34" s="37"/>
      <c r="D34" s="40"/>
      <c r="E34" s="15"/>
      <c r="F34" s="20"/>
    </row>
    <row r="35" spans="1:6">
      <c r="A35" s="15" t="s">
        <v>405</v>
      </c>
      <c r="B35" s="146">
        <f>B34/36*12</f>
        <v>0.39812859485911434</v>
      </c>
      <c r="C35" s="37"/>
      <c r="D35" s="40"/>
      <c r="E35" s="15"/>
      <c r="F35" s="20"/>
    </row>
    <row r="36" spans="1:6">
      <c r="A36" s="15"/>
      <c r="B36" s="15"/>
      <c r="C36" s="37"/>
      <c r="D36" s="40"/>
      <c r="E36" s="15"/>
      <c r="F36" s="20"/>
    </row>
    <row r="37" spans="1:6">
      <c r="A37" s="320" t="s">
        <v>422</v>
      </c>
      <c r="B37" s="320"/>
      <c r="C37" s="320"/>
      <c r="D37" s="320"/>
      <c r="E37" s="15"/>
      <c r="F37" s="20"/>
    </row>
    <row r="38" spans="1:6">
      <c r="A38" s="21"/>
      <c r="B38" s="16" t="s">
        <v>12</v>
      </c>
      <c r="C38" s="312" t="s">
        <v>423</v>
      </c>
      <c r="D38" s="40"/>
      <c r="E38" s="15"/>
      <c r="F38" s="20"/>
    </row>
    <row r="39" spans="1:6">
      <c r="A39" s="21" t="s">
        <v>414</v>
      </c>
      <c r="B39" s="15"/>
      <c r="C39" s="37"/>
      <c r="D39" s="40"/>
      <c r="E39" s="15"/>
      <c r="F39" s="20"/>
    </row>
    <row r="40" spans="1:6">
      <c r="A40" s="5" t="s">
        <v>417</v>
      </c>
      <c r="B40" s="36">
        <f t="shared" ref="B40:B45" si="2">C40*TLU</f>
        <v>1920000</v>
      </c>
      <c r="C40" s="36">
        <v>20000</v>
      </c>
      <c r="D40" s="146">
        <f t="shared" ref="D40:D45" si="3">+C40/C$40</f>
        <v>1</v>
      </c>
      <c r="E40" s="15"/>
      <c r="F40" s="20"/>
    </row>
    <row r="41" spans="1:6">
      <c r="A41" s="10" t="s">
        <v>412</v>
      </c>
      <c r="B41" s="36">
        <f t="shared" si="2"/>
        <v>1440000</v>
      </c>
      <c r="C41" s="36">
        <f>0.75*C40</f>
        <v>15000</v>
      </c>
      <c r="D41" s="146">
        <f t="shared" si="3"/>
        <v>0.75</v>
      </c>
      <c r="E41" s="15"/>
      <c r="F41" s="20"/>
    </row>
    <row r="42" spans="1:6">
      <c r="A42" s="10" t="s">
        <v>388</v>
      </c>
      <c r="B42" s="36">
        <f t="shared" si="2"/>
        <v>1894284.8351851851</v>
      </c>
      <c r="C42" s="36">
        <f>+C19+C18</f>
        <v>19732.133699845679</v>
      </c>
      <c r="D42" s="146">
        <f t="shared" si="3"/>
        <v>0.98660668499228399</v>
      </c>
      <c r="E42" s="15"/>
      <c r="F42" s="20"/>
    </row>
    <row r="43" spans="1:6">
      <c r="A43" s="10" t="s">
        <v>410</v>
      </c>
      <c r="B43" s="36">
        <f t="shared" si="2"/>
        <v>454284.83518518519</v>
      </c>
      <c r="C43" s="36">
        <f>+C42-C41</f>
        <v>4732.1336998456791</v>
      </c>
      <c r="D43" s="146">
        <f t="shared" si="3"/>
        <v>0.23660668499228396</v>
      </c>
      <c r="E43" s="15"/>
      <c r="F43" s="20"/>
    </row>
    <row r="44" spans="1:6">
      <c r="A44" s="10" t="s">
        <v>411</v>
      </c>
      <c r="B44" s="36">
        <f t="shared" si="2"/>
        <v>225888.96703703704</v>
      </c>
      <c r="C44" s="36">
        <f>0.2*C19</f>
        <v>2353.0100733024692</v>
      </c>
      <c r="D44" s="146">
        <f t="shared" si="3"/>
        <v>0.11765050366512346</v>
      </c>
      <c r="E44" s="15"/>
      <c r="F44" s="20"/>
    </row>
    <row r="45" spans="1:6">
      <c r="A45" s="10" t="s">
        <v>413</v>
      </c>
      <c r="B45" s="36">
        <f t="shared" si="2"/>
        <v>1728000</v>
      </c>
      <c r="C45" s="36">
        <f>$C$41*1.2</f>
        <v>18000</v>
      </c>
      <c r="D45" s="146">
        <f t="shared" si="3"/>
        <v>0.9</v>
      </c>
      <c r="E45" s="15"/>
      <c r="F45" s="20"/>
    </row>
    <row r="46" spans="1:6">
      <c r="A46" s="10"/>
      <c r="B46" s="306"/>
      <c r="C46" s="306"/>
      <c r="D46" s="146"/>
      <c r="E46" s="15"/>
      <c r="F46" s="20"/>
    </row>
    <row r="47" spans="1:6">
      <c r="A47" s="307" t="s">
        <v>415</v>
      </c>
      <c r="B47" s="306"/>
      <c r="C47" s="306"/>
      <c r="D47" s="146"/>
      <c r="E47" s="15"/>
      <c r="F47" s="20"/>
    </row>
    <row r="48" spans="1:6">
      <c r="A48" s="307" t="s">
        <v>424</v>
      </c>
      <c r="B48" s="306"/>
      <c r="C48" s="306"/>
      <c r="D48" s="146"/>
      <c r="E48" s="15"/>
      <c r="F48" s="20"/>
    </row>
    <row r="49" spans="1:6">
      <c r="A49" s="308" t="s">
        <v>420</v>
      </c>
      <c r="B49" s="306"/>
      <c r="C49" s="306">
        <v>10</v>
      </c>
      <c r="D49" s="146"/>
      <c r="E49" s="15"/>
      <c r="F49" s="20"/>
    </row>
    <row r="50" spans="1:6">
      <c r="A50" s="308" t="s">
        <v>416</v>
      </c>
      <c r="B50" s="36">
        <f t="shared" ref="B50:B55" si="4">C50*C$49</f>
        <v>1398253.75</v>
      </c>
      <c r="C50" s="36">
        <f>C8</f>
        <v>139825.375</v>
      </c>
      <c r="D50" s="146">
        <f>+C50/C$50</f>
        <v>1</v>
      </c>
      <c r="E50" s="15"/>
      <c r="F50" s="20"/>
    </row>
    <row r="51" spans="1:6">
      <c r="A51" s="15" t="s">
        <v>427</v>
      </c>
      <c r="B51" s="36">
        <f t="shared" si="4"/>
        <v>978777.625</v>
      </c>
      <c r="C51" s="36">
        <f>0.7*C50</f>
        <v>97877.762499999997</v>
      </c>
      <c r="D51" s="146">
        <f t="shared" ref="D51:D63" si="5">+C51/C$50</f>
        <v>0.7</v>
      </c>
      <c r="E51" s="15"/>
      <c r="F51" s="20"/>
    </row>
    <row r="52" spans="1:6">
      <c r="A52" s="309" t="s">
        <v>418</v>
      </c>
      <c r="B52" s="36">
        <f t="shared" si="4"/>
        <v>-180000</v>
      </c>
      <c r="C52" s="36">
        <f>+-LotRel</f>
        <v>-18000</v>
      </c>
      <c r="D52" s="146">
        <f t="shared" si="5"/>
        <v>-0.1287319987520148</v>
      </c>
      <c r="E52" s="15"/>
      <c r="F52" s="20"/>
    </row>
    <row r="53" spans="1:6">
      <c r="A53" s="310" t="str">
        <f>+A20</f>
        <v>Building Construction Cost</v>
      </c>
      <c r="B53" s="36">
        <f t="shared" si="4"/>
        <v>-885466.2024808873</v>
      </c>
      <c r="C53" s="36">
        <f>-C20</f>
        <v>-88546.62024808873</v>
      </c>
      <c r="D53" s="146">
        <f t="shared" si="5"/>
        <v>-0.63326574484844922</v>
      </c>
      <c r="E53" s="15"/>
      <c r="F53" s="20"/>
    </row>
    <row r="54" spans="1:6">
      <c r="A54" s="310" t="s">
        <v>419</v>
      </c>
      <c r="B54" s="36">
        <f t="shared" si="4"/>
        <v>-53894.090894793437</v>
      </c>
      <c r="C54" s="36">
        <f>+-C26</f>
        <v>-5389.4090894793435</v>
      </c>
      <c r="D54" s="146">
        <f t="shared" si="5"/>
        <v>-3.8543855787830671E-2</v>
      </c>
      <c r="E54" s="15"/>
      <c r="F54" s="20"/>
    </row>
    <row r="55" spans="1:6">
      <c r="A55" s="15" t="s">
        <v>389</v>
      </c>
      <c r="B55" s="36">
        <f t="shared" si="4"/>
        <v>-140582.66837568078</v>
      </c>
      <c r="C55" s="36">
        <f>SUM(C51:C54)</f>
        <v>-14058.266837568077</v>
      </c>
      <c r="D55" s="146">
        <f t="shared" si="5"/>
        <v>-0.1005415993882947</v>
      </c>
      <c r="E55" s="15"/>
      <c r="F55" s="20"/>
    </row>
    <row r="56" spans="1:6">
      <c r="A56" s="15"/>
      <c r="B56" s="306"/>
      <c r="C56" s="306"/>
      <c r="D56" s="146"/>
      <c r="E56" s="15"/>
      <c r="F56" s="20"/>
    </row>
    <row r="57" spans="1:6">
      <c r="A57" s="21" t="s">
        <v>425</v>
      </c>
      <c r="B57" s="306"/>
      <c r="C57" s="36"/>
      <c r="D57" s="146"/>
      <c r="E57" s="15"/>
      <c r="F57" s="20"/>
    </row>
    <row r="58" spans="1:6">
      <c r="A58" s="15" t="s">
        <v>421</v>
      </c>
      <c r="B58" s="306"/>
      <c r="C58" s="306">
        <v>20</v>
      </c>
      <c r="D58" s="146"/>
      <c r="E58" s="15"/>
      <c r="F58" s="20"/>
    </row>
    <row r="59" spans="1:6">
      <c r="A59" s="15" t="s">
        <v>426</v>
      </c>
      <c r="B59" s="36">
        <f>C59*C$49</f>
        <v>1118603</v>
      </c>
      <c r="C59" s="36">
        <f>0.8*C8</f>
        <v>111860.3</v>
      </c>
      <c r="D59" s="146">
        <f t="shared" si="5"/>
        <v>0.8</v>
      </c>
      <c r="E59" s="15"/>
      <c r="F59" s="20"/>
    </row>
    <row r="60" spans="1:6">
      <c r="A60" s="309" t="s">
        <v>418</v>
      </c>
      <c r="B60" s="36">
        <f>C60*C$49</f>
        <v>-180000</v>
      </c>
      <c r="C60" s="36">
        <f>-LotRel</f>
        <v>-18000</v>
      </c>
      <c r="D60" s="146">
        <f t="shared" si="5"/>
        <v>-0.1287319987520148</v>
      </c>
      <c r="E60" s="15"/>
      <c r="F60" s="20"/>
    </row>
    <row r="61" spans="1:6">
      <c r="A61" s="310" t="str">
        <f>+A20</f>
        <v>Building Construction Cost</v>
      </c>
      <c r="B61" s="36">
        <f>C61*C$49</f>
        <v>-885466.2024808873</v>
      </c>
      <c r="C61" s="36">
        <f>-C20</f>
        <v>-88546.62024808873</v>
      </c>
      <c r="D61" s="146">
        <f t="shared" si="5"/>
        <v>-0.63326574484844922</v>
      </c>
      <c r="E61" s="15"/>
      <c r="F61" s="20"/>
    </row>
    <row r="62" spans="1:6">
      <c r="A62" s="310" t="s">
        <v>419</v>
      </c>
      <c r="B62" s="36">
        <f>C62*C$49</f>
        <v>-53894.090894793437</v>
      </c>
      <c r="C62" s="36">
        <f>-C26</f>
        <v>-5389.4090894793435</v>
      </c>
      <c r="D62" s="146">
        <f t="shared" si="5"/>
        <v>-3.8543855787830671E-2</v>
      </c>
      <c r="E62" s="15"/>
      <c r="F62" s="20"/>
    </row>
    <row r="63" spans="1:6">
      <c r="A63" s="15" t="s">
        <v>428</v>
      </c>
      <c r="B63" s="36">
        <f>C63*C$49</f>
        <v>0</v>
      </c>
      <c r="C63" s="311">
        <f>IF(SUM(C59:C61)&gt;0,0,SUM(C59:C61))</f>
        <v>0</v>
      </c>
      <c r="D63" s="146">
        <f t="shared" si="5"/>
        <v>0</v>
      </c>
      <c r="E63" s="15"/>
      <c r="F63" s="20"/>
    </row>
    <row r="64" spans="1:6" s="11" customFormat="1">
      <c r="A64" s="15"/>
      <c r="B64" s="36"/>
      <c r="C64" s="306"/>
      <c r="D64" s="146"/>
      <c r="E64" s="304"/>
      <c r="F64" s="305"/>
    </row>
    <row r="65" spans="1:6" s="11" customFormat="1">
      <c r="A65" s="15"/>
      <c r="B65" s="306"/>
      <c r="C65" s="311"/>
      <c r="D65" s="146"/>
      <c r="E65" s="304"/>
      <c r="F65" s="305"/>
    </row>
    <row r="66" spans="1:6" s="11" customFormat="1">
      <c r="A66" s="3"/>
      <c r="F66" s="305"/>
    </row>
    <row r="67" spans="1:6" s="11" customFormat="1">
      <c r="A67" s="3"/>
      <c r="F67" s="305"/>
    </row>
    <row r="68" spans="1:6" s="11" customFormat="1">
      <c r="A68" s="3"/>
      <c r="F68" s="305"/>
    </row>
    <row r="69" spans="1:6">
      <c r="F69" s="20"/>
    </row>
    <row r="70" spans="1:6">
      <c r="A70" s="15"/>
      <c r="B70" s="15"/>
      <c r="C70" s="37"/>
      <c r="D70" s="40"/>
      <c r="E70" s="15"/>
      <c r="F70" s="20"/>
    </row>
    <row r="71" spans="1:6">
      <c r="A71" s="15"/>
      <c r="B71" s="15"/>
      <c r="C71" s="37"/>
      <c r="D71" s="40"/>
      <c r="E71" s="15"/>
      <c r="F71" s="20"/>
    </row>
    <row r="122" spans="2:2">
      <c r="B122" s="133">
        <f>+E11</f>
        <v>0.05</v>
      </c>
    </row>
  </sheetData>
  <mergeCells count="2">
    <mergeCell ref="A1:E1"/>
    <mergeCell ref="A37:D37"/>
  </mergeCells>
  <phoneticPr fontId="3" type="noConversion"/>
  <printOptions horizontalCentered="1"/>
  <pageMargins left="0.25" right="0.25" top="1.49" bottom="1" header="0.5" footer="0.5"/>
  <pageSetup orientation="portrait" horizontalDpi="300" verticalDpi="300" copies="2" r:id="rId1"/>
  <headerFooter alignWithMargins="0">
    <oddHeader>&amp;C&amp;"Garamond,Bold"&amp;12WESTGATE &amp;&amp; CAMERON LOOP
96 CONDOMINIUMS</oddHeader>
    <oddFooter>&amp;L&amp;"Garamond,Regular"&amp;8&amp;F&amp;C&amp;"Garamond,Regular"&amp;8&amp;P Of &amp;N&amp;R&amp;"Garamond,Regular"&amp;8&amp;D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pageSetUpPr fitToPage="1"/>
  </sheetPr>
  <dimension ref="A1:DX108"/>
  <sheetViews>
    <sheetView tabSelected="1" topLeftCell="B13" zoomScaleNormal="100" workbookViewId="0">
      <pane xSplit="4065" ySplit="1440" topLeftCell="A31" activePane="bottomRight"/>
      <selection activeCell="B51" sqref="B51"/>
      <selection pane="topRight" activeCell="B51" sqref="B51"/>
      <selection pane="bottomLeft" activeCell="B26" sqref="B26"/>
      <selection pane="bottomRight" activeCell="C63" sqref="C63"/>
    </sheetView>
  </sheetViews>
  <sheetFormatPr defaultColWidth="10.5703125" defaultRowHeight="12"/>
  <cols>
    <col min="1" max="1" width="1.42578125" style="181" customWidth="1"/>
    <col min="2" max="2" width="33.85546875" style="181" customWidth="1"/>
    <col min="3" max="8" width="8.5703125" style="181" customWidth="1"/>
    <col min="9" max="10" width="9.42578125" style="181" customWidth="1"/>
    <col min="11" max="11" width="11" style="181" customWidth="1"/>
    <col min="12" max="15" width="10" style="181" customWidth="1"/>
    <col min="16" max="16" width="12.42578125" style="181" customWidth="1"/>
    <col min="17" max="38" width="11" style="181" customWidth="1"/>
    <col min="39" max="39" width="11.42578125" style="181" customWidth="1"/>
    <col min="40" max="40" width="9.42578125" style="181" customWidth="1"/>
    <col min="41" max="41" width="10.42578125" style="181" customWidth="1"/>
    <col min="42" max="42" width="11.85546875" style="181" bestFit="1" customWidth="1"/>
    <col min="43" max="43" width="9.42578125" style="181" bestFit="1" customWidth="1"/>
    <col min="44" max="16384" width="10.5703125" style="181"/>
  </cols>
  <sheetData>
    <row r="1" spans="1:43" ht="10.5" customHeight="1">
      <c r="A1" s="178"/>
      <c r="B1" s="179"/>
      <c r="C1" s="180"/>
      <c r="D1" s="180"/>
      <c r="E1" s="180"/>
      <c r="F1" s="180"/>
      <c r="G1" s="180"/>
      <c r="H1" s="180"/>
      <c r="I1" s="180"/>
      <c r="J1" s="180"/>
      <c r="K1" s="180"/>
      <c r="L1" s="180"/>
      <c r="M1" s="180"/>
      <c r="N1" s="180"/>
      <c r="O1" s="180"/>
      <c r="P1" s="180"/>
      <c r="Q1" s="180"/>
      <c r="R1" s="180"/>
      <c r="S1" s="180"/>
      <c r="T1" s="180"/>
      <c r="U1" s="180"/>
      <c r="V1" s="180"/>
      <c r="W1" s="180"/>
      <c r="X1" s="180"/>
      <c r="Y1" s="180"/>
      <c r="Z1" s="180"/>
      <c r="AA1" s="180"/>
      <c r="AB1" s="180"/>
      <c r="AC1" s="180"/>
      <c r="AD1" s="180"/>
      <c r="AE1" s="180"/>
      <c r="AF1" s="180"/>
      <c r="AG1" s="180"/>
      <c r="AH1" s="180"/>
      <c r="AI1" s="180"/>
      <c r="AJ1" s="180"/>
      <c r="AK1" s="180"/>
      <c r="AL1" s="180"/>
      <c r="AM1" s="180"/>
      <c r="AN1" s="180"/>
      <c r="AO1" s="180"/>
    </row>
    <row r="2" spans="1:43" ht="19.5" customHeight="1">
      <c r="A2" s="178"/>
      <c r="B2" s="182" t="s">
        <v>17</v>
      </c>
      <c r="C2" s="180"/>
      <c r="D2" s="180"/>
      <c r="E2" s="180"/>
      <c r="F2" s="180"/>
      <c r="G2" s="180"/>
      <c r="H2" s="180"/>
      <c r="I2" s="180"/>
      <c r="J2" s="180"/>
      <c r="K2" s="180"/>
      <c r="L2" s="180"/>
      <c r="M2" s="180"/>
      <c r="N2" s="180"/>
      <c r="O2" s="180"/>
      <c r="P2" s="180"/>
      <c r="Q2" s="180"/>
      <c r="R2" s="180"/>
      <c r="S2" s="180"/>
      <c r="T2" s="180"/>
      <c r="U2" s="180"/>
      <c r="V2" s="180"/>
      <c r="W2" s="180"/>
      <c r="X2" s="180"/>
      <c r="Y2" s="180"/>
      <c r="Z2" s="180"/>
      <c r="AA2" s="180"/>
      <c r="AB2" s="180"/>
      <c r="AC2" s="180"/>
      <c r="AD2" s="180"/>
      <c r="AE2" s="180"/>
      <c r="AF2" s="180"/>
      <c r="AG2" s="180"/>
      <c r="AH2" s="180"/>
      <c r="AI2" s="180"/>
      <c r="AJ2" s="180"/>
      <c r="AK2" s="180"/>
      <c r="AL2" s="180"/>
      <c r="AM2" s="180"/>
      <c r="AN2" s="180"/>
      <c r="AO2" s="180"/>
    </row>
    <row r="3" spans="1:43">
      <c r="A3" s="178"/>
      <c r="B3" s="183"/>
      <c r="C3" s="184"/>
      <c r="D3" s="184"/>
      <c r="E3" s="184"/>
      <c r="F3" s="184"/>
      <c r="G3" s="184"/>
      <c r="H3" s="184"/>
      <c r="I3" s="184"/>
      <c r="J3" s="184"/>
      <c r="K3" s="184"/>
      <c r="L3" s="184"/>
      <c r="M3" s="184"/>
      <c r="N3" s="184"/>
      <c r="O3" s="184"/>
      <c r="P3" s="184"/>
      <c r="Q3" s="184"/>
      <c r="R3" s="184"/>
      <c r="S3" s="184"/>
      <c r="T3" s="184"/>
      <c r="U3" s="184"/>
      <c r="V3" s="184"/>
      <c r="W3" s="184"/>
      <c r="X3" s="184"/>
      <c r="Y3" s="184"/>
      <c r="Z3" s="184"/>
      <c r="AA3" s="184"/>
      <c r="AB3" s="184"/>
      <c r="AC3" s="184"/>
      <c r="AD3" s="184"/>
      <c r="AE3" s="184"/>
      <c r="AF3" s="184"/>
      <c r="AG3" s="184"/>
      <c r="AH3" s="184"/>
      <c r="AI3" s="184"/>
      <c r="AJ3" s="184"/>
      <c r="AK3" s="184"/>
      <c r="AL3" s="184"/>
      <c r="AM3" s="184"/>
      <c r="AN3" s="184"/>
      <c r="AO3" s="184"/>
    </row>
    <row r="4" spans="1:43">
      <c r="A4" s="178"/>
      <c r="B4" s="183" t="s">
        <v>18</v>
      </c>
      <c r="C4" s="184"/>
      <c r="D4" s="184"/>
      <c r="E4" s="184"/>
      <c r="F4" s="184"/>
      <c r="G4" s="184"/>
      <c r="H4" s="184"/>
      <c r="I4" s="184"/>
      <c r="J4" s="184"/>
      <c r="K4" s="184"/>
      <c r="L4" s="184"/>
      <c r="M4" s="184"/>
      <c r="N4" s="184"/>
      <c r="O4" s="184"/>
      <c r="P4" s="184"/>
      <c r="Q4" s="184"/>
      <c r="R4" s="184"/>
      <c r="S4" s="184"/>
      <c r="T4" s="184"/>
      <c r="U4" s="184"/>
      <c r="V4" s="184"/>
      <c r="W4" s="184"/>
      <c r="X4" s="184"/>
      <c r="Y4" s="184"/>
      <c r="Z4" s="184"/>
      <c r="AA4" s="184"/>
      <c r="AB4" s="184"/>
      <c r="AC4" s="184"/>
      <c r="AD4" s="184"/>
      <c r="AE4" s="184"/>
      <c r="AF4" s="184"/>
      <c r="AG4" s="184"/>
      <c r="AH4" s="184"/>
      <c r="AI4" s="184"/>
      <c r="AJ4" s="184"/>
      <c r="AK4" s="184"/>
      <c r="AL4" s="184"/>
      <c r="AM4" s="184"/>
      <c r="AN4" s="184"/>
      <c r="AO4" s="184"/>
    </row>
    <row r="5" spans="1:43">
      <c r="A5" s="178"/>
      <c r="B5" s="185" t="s">
        <v>19</v>
      </c>
      <c r="C5" s="184"/>
      <c r="D5" s="184"/>
      <c r="E5" s="184"/>
      <c r="F5" s="184"/>
      <c r="G5" s="184"/>
      <c r="H5" s="184"/>
      <c r="I5" s="184"/>
      <c r="J5" s="184"/>
      <c r="K5" s="184"/>
      <c r="L5" s="184"/>
      <c r="M5" s="184"/>
      <c r="N5" s="184"/>
      <c r="O5" s="184"/>
      <c r="P5" s="184"/>
      <c r="Q5" s="184"/>
      <c r="R5" s="184"/>
      <c r="S5" s="184"/>
      <c r="T5" s="184"/>
      <c r="U5" s="184"/>
      <c r="V5" s="184"/>
      <c r="W5" s="184"/>
      <c r="X5" s="184"/>
      <c r="Y5" s="184"/>
      <c r="Z5" s="184"/>
      <c r="AA5" s="184"/>
      <c r="AB5" s="184"/>
      <c r="AC5" s="184"/>
      <c r="AD5" s="184"/>
      <c r="AE5" s="184"/>
      <c r="AF5" s="184"/>
      <c r="AG5" s="184"/>
      <c r="AH5" s="184"/>
      <c r="AI5" s="184"/>
      <c r="AJ5" s="184"/>
      <c r="AK5" s="184"/>
      <c r="AL5" s="184"/>
      <c r="AM5" s="184"/>
      <c r="AN5" s="184"/>
      <c r="AO5" s="184"/>
    </row>
    <row r="6" spans="1:43">
      <c r="A6" s="178"/>
      <c r="B6" s="186"/>
      <c r="C6" s="186"/>
      <c r="D6" s="186"/>
      <c r="E6" s="186"/>
      <c r="F6" s="186"/>
      <c r="G6" s="186"/>
      <c r="H6" s="186"/>
      <c r="I6" s="186"/>
      <c r="J6" s="186"/>
      <c r="K6" s="186"/>
      <c r="L6" s="186"/>
      <c r="M6" s="186"/>
      <c r="N6" s="186"/>
      <c r="O6" s="186"/>
      <c r="P6" s="186"/>
      <c r="Q6" s="186"/>
      <c r="R6" s="186"/>
      <c r="S6" s="186"/>
      <c r="T6" s="186"/>
      <c r="U6" s="186"/>
      <c r="V6" s="186"/>
      <c r="W6" s="186"/>
      <c r="X6" s="186"/>
      <c r="Y6" s="186"/>
      <c r="Z6" s="186"/>
      <c r="AA6" s="186"/>
      <c r="AB6" s="186"/>
      <c r="AC6" s="186"/>
      <c r="AD6" s="186"/>
      <c r="AE6" s="186"/>
      <c r="AF6" s="186"/>
      <c r="AG6" s="186"/>
      <c r="AH6" s="186"/>
      <c r="AI6" s="186"/>
      <c r="AJ6" s="186"/>
      <c r="AK6" s="186"/>
      <c r="AL6" s="186"/>
      <c r="AM6" s="186"/>
      <c r="AN6" s="186"/>
      <c r="AO6" s="186"/>
    </row>
    <row r="7" spans="1:43">
      <c r="A7" s="178"/>
      <c r="B7" s="187"/>
      <c r="C7" s="187"/>
      <c r="D7" s="187"/>
      <c r="E7" s="187"/>
      <c r="F7" s="187"/>
      <c r="G7" s="187"/>
      <c r="H7" s="187"/>
      <c r="I7" s="187"/>
      <c r="J7" s="187"/>
      <c r="K7" s="187"/>
      <c r="L7" s="187"/>
      <c r="M7" s="187"/>
      <c r="N7" s="187"/>
      <c r="O7" s="187"/>
      <c r="P7" s="187"/>
      <c r="Q7" s="187"/>
      <c r="R7" s="187"/>
      <c r="S7" s="187"/>
      <c r="T7" s="187"/>
      <c r="U7" s="187"/>
      <c r="V7" s="187"/>
      <c r="W7" s="187"/>
      <c r="X7" s="187"/>
      <c r="Y7" s="187"/>
      <c r="Z7" s="187"/>
      <c r="AA7" s="187"/>
      <c r="AB7" s="187"/>
      <c r="AC7" s="187"/>
      <c r="AD7" s="187"/>
      <c r="AE7" s="187"/>
      <c r="AF7" s="187"/>
      <c r="AG7" s="187"/>
      <c r="AH7" s="187"/>
      <c r="AI7" s="187"/>
      <c r="AJ7" s="187"/>
      <c r="AK7" s="187"/>
      <c r="AL7" s="187"/>
      <c r="AM7" s="187"/>
      <c r="AN7" s="187"/>
      <c r="AO7" s="187"/>
    </row>
    <row r="8" spans="1:43" ht="14.25" customHeight="1">
      <c r="A8" s="178"/>
      <c r="B8" s="324" t="s">
        <v>20</v>
      </c>
      <c r="C8" s="324"/>
      <c r="D8" s="324"/>
      <c r="E8" s="324"/>
      <c r="F8" s="324"/>
      <c r="G8" s="324"/>
      <c r="H8" s="324"/>
      <c r="I8" s="188"/>
      <c r="J8" s="188"/>
      <c r="K8" s="188"/>
      <c r="L8" s="188"/>
      <c r="M8" s="188"/>
      <c r="N8" s="188"/>
      <c r="O8" s="188"/>
      <c r="P8" s="188"/>
      <c r="Q8" s="188"/>
      <c r="R8" s="188"/>
      <c r="S8" s="188"/>
      <c r="T8" s="188"/>
      <c r="U8" s="188"/>
      <c r="V8" s="188"/>
      <c r="W8" s="188"/>
      <c r="X8" s="188"/>
      <c r="Y8" s="188"/>
      <c r="Z8" s="188"/>
      <c r="AA8" s="188"/>
      <c r="AB8" s="188"/>
      <c r="AC8" s="188"/>
      <c r="AD8" s="188"/>
      <c r="AE8" s="188"/>
      <c r="AF8" s="188"/>
      <c r="AG8" s="188"/>
      <c r="AH8" s="188"/>
      <c r="AI8" s="188"/>
      <c r="AJ8" s="188"/>
      <c r="AK8" s="188"/>
      <c r="AL8" s="188"/>
      <c r="AM8" s="188"/>
      <c r="AN8" s="188"/>
      <c r="AO8" s="188"/>
    </row>
    <row r="9" spans="1:43" ht="75" customHeight="1">
      <c r="A9" s="178"/>
      <c r="B9" s="325" t="s">
        <v>21</v>
      </c>
      <c r="C9" s="325"/>
      <c r="D9" s="325"/>
      <c r="E9" s="325"/>
      <c r="F9" s="325"/>
      <c r="G9" s="325"/>
      <c r="H9" s="325"/>
      <c r="I9" s="189"/>
      <c r="J9" s="189"/>
      <c r="K9" s="189"/>
      <c r="L9" s="189"/>
      <c r="M9" s="189"/>
      <c r="N9" s="189"/>
      <c r="O9" s="189"/>
      <c r="P9" s="189"/>
      <c r="Q9" s="189"/>
      <c r="R9" s="189"/>
      <c r="S9" s="189"/>
      <c r="T9" s="189"/>
      <c r="U9" s="189"/>
      <c r="V9" s="189"/>
      <c r="W9" s="189"/>
      <c r="X9" s="189"/>
      <c r="Y9" s="189"/>
      <c r="Z9" s="189"/>
      <c r="AA9" s="189"/>
      <c r="AB9" s="189"/>
      <c r="AC9" s="189"/>
      <c r="AD9" s="189"/>
      <c r="AE9" s="189"/>
      <c r="AF9" s="189"/>
      <c r="AG9" s="189"/>
      <c r="AH9" s="189"/>
      <c r="AI9" s="189"/>
      <c r="AJ9" s="189"/>
      <c r="AK9" s="189"/>
      <c r="AL9" s="189"/>
      <c r="AM9" s="189"/>
      <c r="AN9" s="189"/>
      <c r="AO9" s="189"/>
    </row>
    <row r="10" spans="1:43">
      <c r="A10" s="178"/>
      <c r="B10" s="190"/>
      <c r="C10" s="190"/>
      <c r="D10" s="190"/>
      <c r="E10" s="190"/>
      <c r="F10" s="190"/>
      <c r="G10" s="190"/>
      <c r="H10" s="190"/>
      <c r="I10" s="190"/>
      <c r="J10" s="190"/>
      <c r="K10" s="190"/>
      <c r="L10" s="190"/>
      <c r="M10" s="190"/>
      <c r="N10" s="190"/>
      <c r="O10" s="190"/>
      <c r="P10" s="190"/>
      <c r="Q10" s="190"/>
      <c r="R10" s="190"/>
      <c r="S10" s="190"/>
      <c r="T10" s="190"/>
      <c r="U10" s="190"/>
      <c r="V10" s="190"/>
      <c r="W10" s="190"/>
      <c r="X10" s="190"/>
      <c r="Y10" s="190"/>
      <c r="Z10" s="190"/>
      <c r="AA10" s="190"/>
      <c r="AB10" s="190"/>
      <c r="AC10" s="190"/>
      <c r="AD10" s="190"/>
      <c r="AE10" s="190"/>
      <c r="AF10" s="190"/>
      <c r="AG10" s="190"/>
      <c r="AH10" s="190"/>
      <c r="AI10" s="190"/>
      <c r="AJ10" s="190"/>
      <c r="AK10" s="190"/>
      <c r="AL10" s="190"/>
      <c r="AM10" s="190"/>
      <c r="AN10" s="190"/>
      <c r="AO10" s="190"/>
    </row>
    <row r="11" spans="1:43" ht="30" customHeight="1">
      <c r="A11" s="178"/>
      <c r="B11" s="191" t="s">
        <v>398</v>
      </c>
      <c r="C11" s="192"/>
      <c r="D11" s="192"/>
      <c r="F11" s="192"/>
      <c r="G11" s="192"/>
      <c r="H11" s="192"/>
      <c r="I11" s="189"/>
      <c r="J11" s="189"/>
      <c r="K11" s="189"/>
      <c r="L11" s="189"/>
      <c r="M11" s="189"/>
      <c r="N11" s="189"/>
      <c r="O11" s="189"/>
      <c r="P11" s="189"/>
      <c r="Q11" s="189"/>
      <c r="R11" s="189"/>
      <c r="S11" s="189"/>
      <c r="T11" s="189"/>
      <c r="U11" s="189"/>
      <c r="V11" s="189"/>
      <c r="W11" s="189"/>
      <c r="X11" s="189"/>
      <c r="Y11" s="189"/>
      <c r="Z11" s="189"/>
      <c r="AA11" s="189"/>
      <c r="AB11" s="189"/>
      <c r="AC11" s="189"/>
      <c r="AD11" s="189"/>
      <c r="AE11" s="189"/>
      <c r="AF11" s="189"/>
      <c r="AG11" s="189"/>
      <c r="AH11" s="189"/>
      <c r="AI11" s="189"/>
      <c r="AJ11" s="189"/>
      <c r="AK11" s="189"/>
      <c r="AL11" s="189"/>
      <c r="AM11" s="189"/>
      <c r="AN11" s="189"/>
      <c r="AO11" s="189"/>
    </row>
    <row r="12" spans="1:43">
      <c r="A12" s="193"/>
      <c r="B12" s="194"/>
      <c r="C12" s="194"/>
      <c r="D12" s="195"/>
      <c r="E12" s="195"/>
      <c r="F12" s="195"/>
      <c r="G12" s="195"/>
      <c r="H12" s="195"/>
      <c r="I12" s="195"/>
      <c r="J12" s="195"/>
      <c r="K12" s="195"/>
      <c r="L12" s="195"/>
      <c r="M12" s="195"/>
      <c r="N12" s="195"/>
      <c r="O12" s="195"/>
      <c r="P12" s="195"/>
      <c r="Q12" s="195"/>
      <c r="R12" s="195"/>
      <c r="S12" s="195"/>
      <c r="T12" s="195"/>
      <c r="U12" s="195"/>
      <c r="V12" s="195"/>
      <c r="W12" s="195"/>
      <c r="X12" s="195"/>
      <c r="Y12" s="195"/>
      <c r="Z12" s="195"/>
      <c r="AA12" s="195"/>
      <c r="AB12" s="195"/>
      <c r="AC12" s="195"/>
      <c r="AD12" s="195"/>
      <c r="AE12" s="195"/>
      <c r="AF12" s="195"/>
      <c r="AG12" s="195"/>
      <c r="AH12" s="195"/>
      <c r="AI12" s="195"/>
      <c r="AJ12" s="195"/>
      <c r="AK12" s="195"/>
      <c r="AL12" s="195"/>
      <c r="AM12" s="195"/>
      <c r="AN12" s="195"/>
      <c r="AO12" s="195"/>
    </row>
    <row r="13" spans="1:43">
      <c r="A13" s="193"/>
      <c r="B13" s="194"/>
      <c r="C13" s="194"/>
      <c r="D13" s="195"/>
      <c r="E13" s="195"/>
      <c r="F13" s="195"/>
      <c r="G13" s="195"/>
      <c r="H13" s="195"/>
      <c r="I13" s="323" t="s">
        <v>22</v>
      </c>
      <c r="J13" s="323"/>
      <c r="K13" s="323"/>
      <c r="L13" s="323"/>
      <c r="M13" s="323"/>
      <c r="N13" s="323"/>
      <c r="O13" s="323"/>
      <c r="P13" s="323"/>
      <c r="Q13" s="323"/>
      <c r="R13" s="323"/>
      <c r="S13" s="323"/>
      <c r="T13" s="323"/>
      <c r="U13" s="323"/>
      <c r="V13" s="323"/>
      <c r="W13" s="323"/>
      <c r="X13" s="323"/>
      <c r="Y13" s="323"/>
      <c r="Z13" s="323"/>
      <c r="AA13" s="323"/>
      <c r="AB13" s="323"/>
      <c r="AC13" s="323"/>
      <c r="AD13" s="323"/>
      <c r="AE13" s="323"/>
      <c r="AF13" s="323"/>
      <c r="AG13" s="323"/>
      <c r="AH13" s="323"/>
      <c r="AI13" s="323"/>
      <c r="AJ13" s="323"/>
      <c r="AK13" s="323"/>
      <c r="AL13" s="323"/>
      <c r="AM13" s="323"/>
      <c r="AN13" s="323"/>
      <c r="AO13" s="323"/>
    </row>
    <row r="14" spans="1:43" ht="12" customHeight="1">
      <c r="A14" s="193"/>
      <c r="B14" s="321" t="s">
        <v>408</v>
      </c>
      <c r="C14" s="196"/>
      <c r="D14" s="197"/>
      <c r="E14" s="197"/>
      <c r="F14" s="197"/>
      <c r="G14" s="197"/>
      <c r="H14" s="197"/>
      <c r="I14" s="197"/>
      <c r="J14" s="197"/>
      <c r="K14" s="197"/>
      <c r="L14" s="198"/>
      <c r="M14" s="199"/>
      <c r="N14" s="199"/>
      <c r="O14" s="199"/>
      <c r="P14" s="199"/>
      <c r="Q14" s="199"/>
      <c r="R14" s="199"/>
      <c r="S14" s="199"/>
      <c r="T14" s="199"/>
      <c r="U14" s="199"/>
      <c r="V14" s="199"/>
      <c r="W14" s="199"/>
      <c r="X14" s="199"/>
      <c r="Y14" s="199"/>
      <c r="Z14" s="199"/>
      <c r="AA14" s="199"/>
      <c r="AB14" s="199"/>
      <c r="AC14" s="199"/>
      <c r="AD14" s="199"/>
      <c r="AE14" s="199"/>
      <c r="AF14" s="199"/>
      <c r="AG14" s="199"/>
      <c r="AH14" s="199"/>
      <c r="AI14" s="199"/>
      <c r="AJ14" s="199"/>
      <c r="AK14" s="199"/>
      <c r="AL14" s="199"/>
      <c r="AM14" s="199"/>
      <c r="AN14" s="199"/>
      <c r="AO14" s="199"/>
      <c r="AP14"/>
      <c r="AQ14"/>
    </row>
    <row r="15" spans="1:43">
      <c r="A15" s="200"/>
      <c r="B15" s="322"/>
      <c r="C15" s="201"/>
      <c r="D15" s="202"/>
      <c r="E15" s="202"/>
      <c r="F15" s="202"/>
      <c r="G15" s="202"/>
      <c r="H15" s="202"/>
      <c r="I15" s="202"/>
      <c r="J15" s="202"/>
      <c r="K15" s="202"/>
      <c r="L15" s="202"/>
      <c r="M15" s="202"/>
      <c r="N15" s="202"/>
      <c r="O15" s="202"/>
      <c r="P15" s="202"/>
      <c r="Q15" s="202"/>
      <c r="R15" s="202"/>
      <c r="S15" s="202"/>
      <c r="T15" s="202"/>
      <c r="U15" s="202"/>
      <c r="V15" s="202"/>
      <c r="W15" s="202"/>
      <c r="X15" s="202"/>
      <c r="Y15" s="202"/>
      <c r="Z15" s="202"/>
      <c r="AA15" s="202"/>
      <c r="AB15" s="202"/>
      <c r="AC15" s="202"/>
      <c r="AD15" s="202"/>
      <c r="AE15" s="202"/>
      <c r="AF15" s="202"/>
      <c r="AG15" s="202"/>
      <c r="AH15" s="202"/>
      <c r="AI15" s="202"/>
      <c r="AJ15" s="202"/>
      <c r="AK15" s="202"/>
      <c r="AL15" s="202"/>
      <c r="AM15" s="202"/>
      <c r="AN15" s="202"/>
      <c r="AO15" s="203"/>
      <c r="AP15"/>
      <c r="AQ15"/>
    </row>
    <row r="16" spans="1:43">
      <c r="A16" s="200"/>
      <c r="B16" s="204"/>
      <c r="C16" s="271"/>
      <c r="D16" s="272"/>
      <c r="E16" s="272"/>
      <c r="F16" s="272"/>
      <c r="G16" s="254"/>
      <c r="H16" s="254"/>
      <c r="I16" s="254"/>
      <c r="J16" s="254"/>
      <c r="K16" s="254"/>
      <c r="L16" s="254"/>
      <c r="M16" s="254"/>
      <c r="N16" s="254"/>
      <c r="O16" s="254"/>
      <c r="P16" s="254"/>
      <c r="Q16" s="254"/>
      <c r="R16" s="254"/>
      <c r="S16" s="254"/>
      <c r="T16" s="254"/>
      <c r="U16" s="254"/>
      <c r="V16" s="254"/>
      <c r="W16" s="254"/>
      <c r="X16" s="254"/>
      <c r="Y16" s="254"/>
      <c r="Z16" s="254"/>
      <c r="AA16" s="254"/>
      <c r="AB16" s="254"/>
      <c r="AC16" s="254"/>
      <c r="AD16" s="254"/>
      <c r="AE16" s="254"/>
      <c r="AF16" s="254"/>
      <c r="AG16" s="254"/>
      <c r="AH16" s="262"/>
      <c r="AI16" s="267"/>
      <c r="AJ16" s="254"/>
      <c r="AK16" s="254"/>
      <c r="AL16" s="254"/>
      <c r="AM16" s="260"/>
      <c r="AN16" s="254"/>
      <c r="AO16" s="255"/>
    </row>
    <row r="17" spans="1:41">
      <c r="A17" s="200"/>
      <c r="B17" s="273" t="s">
        <v>23</v>
      </c>
      <c r="C17" s="256">
        <v>1</v>
      </c>
      <c r="D17" s="256">
        <v>2</v>
      </c>
      <c r="E17" s="256">
        <v>3</v>
      </c>
      <c r="F17" s="256">
        <v>4</v>
      </c>
      <c r="G17" s="256">
        <v>5</v>
      </c>
      <c r="H17" s="256">
        <v>6</v>
      </c>
      <c r="I17" s="256">
        <v>7</v>
      </c>
      <c r="J17" s="256">
        <v>8</v>
      </c>
      <c r="K17" s="256">
        <v>9</v>
      </c>
      <c r="L17" s="256">
        <v>10</v>
      </c>
      <c r="M17" s="256">
        <v>11</v>
      </c>
      <c r="N17" s="256">
        <v>12</v>
      </c>
      <c r="O17" s="256">
        <v>13</v>
      </c>
      <c r="P17" s="256">
        <v>14</v>
      </c>
      <c r="Q17" s="256">
        <v>15</v>
      </c>
      <c r="R17" s="256">
        <v>16</v>
      </c>
      <c r="S17" s="256">
        <v>17</v>
      </c>
      <c r="T17" s="256">
        <v>18</v>
      </c>
      <c r="U17" s="256">
        <v>19</v>
      </c>
      <c r="V17" s="256">
        <v>20</v>
      </c>
      <c r="W17" s="256">
        <v>21</v>
      </c>
      <c r="X17" s="256">
        <v>22</v>
      </c>
      <c r="Y17" s="256">
        <v>23</v>
      </c>
      <c r="Z17" s="256">
        <v>24</v>
      </c>
      <c r="AA17" s="256">
        <v>25</v>
      </c>
      <c r="AB17" s="256">
        <v>26</v>
      </c>
      <c r="AC17" s="256">
        <v>27</v>
      </c>
      <c r="AD17" s="256">
        <v>28</v>
      </c>
      <c r="AE17" s="256">
        <v>29</v>
      </c>
      <c r="AF17" s="256">
        <v>30</v>
      </c>
      <c r="AG17" s="256">
        <v>31</v>
      </c>
      <c r="AH17" s="263">
        <v>32</v>
      </c>
      <c r="AI17" s="268">
        <v>33</v>
      </c>
      <c r="AJ17" s="256">
        <v>34</v>
      </c>
      <c r="AK17" s="256">
        <v>35</v>
      </c>
      <c r="AL17" s="256">
        <v>36</v>
      </c>
      <c r="AM17" s="261"/>
      <c r="AN17" s="256"/>
      <c r="AO17" s="257"/>
    </row>
    <row r="18" spans="1:41" s="206" customFormat="1">
      <c r="A18" s="200"/>
      <c r="B18" s="205"/>
      <c r="C18" s="264">
        <v>36770</v>
      </c>
      <c r="D18" s="264">
        <v>36800</v>
      </c>
      <c r="E18" s="264">
        <v>36831</v>
      </c>
      <c r="F18" s="264">
        <v>36861</v>
      </c>
      <c r="G18" s="264">
        <v>36892</v>
      </c>
      <c r="H18" s="264">
        <v>36923</v>
      </c>
      <c r="I18" s="264">
        <v>36951</v>
      </c>
      <c r="J18" s="264">
        <v>36982</v>
      </c>
      <c r="K18" s="264">
        <v>37012</v>
      </c>
      <c r="L18" s="264">
        <v>37043</v>
      </c>
      <c r="M18" s="264">
        <v>37073</v>
      </c>
      <c r="N18" s="264">
        <v>37104</v>
      </c>
      <c r="O18" s="264">
        <v>37135</v>
      </c>
      <c r="P18" s="264">
        <v>37165</v>
      </c>
      <c r="Q18" s="264">
        <v>37196</v>
      </c>
      <c r="R18" s="264">
        <v>37226</v>
      </c>
      <c r="S18" s="264">
        <v>37257</v>
      </c>
      <c r="T18" s="264">
        <v>37288</v>
      </c>
      <c r="U18" s="264">
        <v>37316</v>
      </c>
      <c r="V18" s="264">
        <v>37347</v>
      </c>
      <c r="W18" s="264">
        <v>37377</v>
      </c>
      <c r="X18" s="264">
        <v>37408</v>
      </c>
      <c r="Y18" s="264">
        <v>37438</v>
      </c>
      <c r="Z18" s="264">
        <v>37469</v>
      </c>
      <c r="AA18" s="264">
        <v>37500</v>
      </c>
      <c r="AB18" s="264">
        <v>37530</v>
      </c>
      <c r="AC18" s="264">
        <v>37561</v>
      </c>
      <c r="AD18" s="264">
        <v>37591</v>
      </c>
      <c r="AE18" s="264">
        <v>37622</v>
      </c>
      <c r="AF18" s="264">
        <v>37653</v>
      </c>
      <c r="AG18" s="264">
        <v>37681</v>
      </c>
      <c r="AH18" s="265">
        <v>37712</v>
      </c>
      <c r="AI18" s="269">
        <v>37742</v>
      </c>
      <c r="AJ18" s="264">
        <v>37773</v>
      </c>
      <c r="AK18" s="264">
        <v>37803</v>
      </c>
      <c r="AL18" s="264">
        <v>37834</v>
      </c>
      <c r="AM18" s="261"/>
      <c r="AN18" s="258"/>
      <c r="AO18" s="257"/>
    </row>
    <row r="19" spans="1:41">
      <c r="A19" s="200"/>
      <c r="B19" s="274" t="s">
        <v>381</v>
      </c>
      <c r="C19" s="259"/>
      <c r="D19" s="259"/>
      <c r="E19" s="259"/>
      <c r="F19" s="259"/>
      <c r="G19" s="259"/>
      <c r="H19" s="259"/>
      <c r="I19" s="259"/>
      <c r="J19" s="259"/>
      <c r="K19" s="259"/>
      <c r="L19" s="259"/>
      <c r="M19" s="259"/>
      <c r="N19" s="259"/>
      <c r="O19" s="259"/>
      <c r="P19" s="259"/>
      <c r="Q19" s="259"/>
      <c r="R19" s="259"/>
      <c r="S19" s="259"/>
      <c r="T19" s="259"/>
      <c r="U19" s="259"/>
      <c r="V19" s="259"/>
      <c r="W19" s="259"/>
      <c r="X19" s="259"/>
      <c r="Y19" s="259"/>
      <c r="Z19" s="259"/>
      <c r="AA19" s="259"/>
      <c r="AB19" s="259"/>
      <c r="AC19" s="259"/>
      <c r="AD19" s="259"/>
      <c r="AE19" s="259"/>
      <c r="AF19" s="259"/>
      <c r="AG19" s="259"/>
      <c r="AH19" s="266"/>
      <c r="AI19" s="270"/>
      <c r="AJ19" s="259"/>
      <c r="AK19" s="259"/>
      <c r="AL19" s="259"/>
      <c r="AM19" s="261" t="s">
        <v>12</v>
      </c>
      <c r="AN19" s="256" t="s">
        <v>400</v>
      </c>
      <c r="AO19" s="257" t="s">
        <v>401</v>
      </c>
    </row>
    <row r="20" spans="1:41">
      <c r="A20" s="200"/>
      <c r="B20" s="212" t="s">
        <v>383</v>
      </c>
      <c r="C20" s="237"/>
      <c r="D20" s="237"/>
      <c r="E20" s="237"/>
      <c r="F20" s="237"/>
      <c r="G20" s="237"/>
      <c r="H20" s="237"/>
      <c r="I20" s="238"/>
      <c r="J20" s="238"/>
      <c r="K20" s="238"/>
      <c r="L20" s="238"/>
      <c r="M20" s="238"/>
      <c r="N20" s="238"/>
      <c r="O20" s="238"/>
      <c r="P20" s="238"/>
      <c r="Q20" s="238"/>
      <c r="R20" s="238"/>
      <c r="S20" s="238"/>
      <c r="T20" s="238"/>
      <c r="U20" s="238"/>
      <c r="V20" s="238"/>
      <c r="W20" s="238"/>
      <c r="X20" s="238"/>
      <c r="Y20" s="238"/>
      <c r="Z20" s="238"/>
      <c r="AA20" s="238"/>
      <c r="AB20" s="238"/>
      <c r="AC20" s="238"/>
      <c r="AD20" s="238"/>
      <c r="AE20" s="238"/>
      <c r="AF20" s="238"/>
      <c r="AG20" s="238"/>
      <c r="AH20" s="238"/>
      <c r="AI20" s="238"/>
      <c r="AJ20" s="238"/>
      <c r="AK20" s="238"/>
      <c r="AL20" s="238"/>
      <c r="AM20" s="227"/>
      <c r="AN20" s="225"/>
      <c r="AO20" s="239"/>
    </row>
    <row r="21" spans="1:41">
      <c r="A21" s="200"/>
      <c r="B21" s="212" t="s">
        <v>385</v>
      </c>
      <c r="C21" s="221"/>
      <c r="D21" s="221"/>
      <c r="E21" s="221"/>
      <c r="F21" s="221"/>
      <c r="G21" s="221"/>
      <c r="H21" s="221"/>
      <c r="I21" s="222">
        <v>3</v>
      </c>
      <c r="J21" s="222">
        <v>3</v>
      </c>
      <c r="K21" s="222">
        <v>3</v>
      </c>
      <c r="L21" s="222">
        <v>3</v>
      </c>
      <c r="M21" s="222">
        <v>4</v>
      </c>
      <c r="N21" s="222">
        <v>4</v>
      </c>
      <c r="O21" s="222">
        <v>4</v>
      </c>
      <c r="P21" s="222">
        <v>4</v>
      </c>
      <c r="Q21" s="222">
        <v>4</v>
      </c>
      <c r="R21" s="222">
        <v>4</v>
      </c>
      <c r="S21" s="222">
        <v>4</v>
      </c>
      <c r="T21" s="222">
        <v>4</v>
      </c>
      <c r="U21" s="222">
        <v>4</v>
      </c>
      <c r="V21" s="222">
        <v>4</v>
      </c>
      <c r="W21" s="222">
        <v>4</v>
      </c>
      <c r="X21" s="222">
        <v>4</v>
      </c>
      <c r="Y21" s="222">
        <v>4</v>
      </c>
      <c r="Z21" s="222">
        <v>4</v>
      </c>
      <c r="AA21" s="222">
        <v>4</v>
      </c>
      <c r="AB21" s="222">
        <v>4</v>
      </c>
      <c r="AC21" s="222">
        <v>4</v>
      </c>
      <c r="AD21" s="222">
        <v>4</v>
      </c>
      <c r="AE21" s="222">
        <v>4</v>
      </c>
      <c r="AF21" s="222">
        <v>4</v>
      </c>
      <c r="AG21" s="222">
        <v>4</v>
      </c>
      <c r="AH21" s="223"/>
      <c r="AI21" s="223"/>
      <c r="AJ21" s="223"/>
      <c r="AK21" s="223"/>
      <c r="AL21" s="223"/>
      <c r="AM21" s="227">
        <f>SUM(C21:AL21)</f>
        <v>96</v>
      </c>
      <c r="AN21" s="225"/>
      <c r="AO21" s="224"/>
    </row>
    <row r="22" spans="1:41">
      <c r="A22" s="200"/>
      <c r="B22" s="212" t="s">
        <v>384</v>
      </c>
      <c r="C22" s="221"/>
      <c r="D22" s="221"/>
      <c r="E22" s="221"/>
      <c r="F22" s="221"/>
      <c r="G22" s="221"/>
      <c r="H22" s="221"/>
      <c r="I22" s="226"/>
      <c r="J22" s="226"/>
      <c r="K22" s="226"/>
      <c r="L22" s="226"/>
      <c r="M22" s="221"/>
      <c r="N22" s="221"/>
      <c r="O22" s="221"/>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7"/>
      <c r="AN22" s="225"/>
      <c r="AO22" s="227"/>
    </row>
    <row r="23" spans="1:41">
      <c r="A23" s="200"/>
      <c r="B23" s="213" t="s">
        <v>386</v>
      </c>
      <c r="C23" s="225"/>
      <c r="D23" s="225"/>
      <c r="E23" s="225"/>
      <c r="F23" s="225"/>
      <c r="G23" s="225"/>
      <c r="H23" s="225"/>
      <c r="I23" s="225"/>
      <c r="J23" s="225"/>
      <c r="K23" s="228">
        <v>10</v>
      </c>
      <c r="L23" s="228">
        <v>3</v>
      </c>
      <c r="M23" s="228">
        <v>3</v>
      </c>
      <c r="N23" s="228">
        <v>4</v>
      </c>
      <c r="O23" s="228">
        <v>4</v>
      </c>
      <c r="P23" s="228">
        <v>4</v>
      </c>
      <c r="Q23" s="228">
        <v>4</v>
      </c>
      <c r="R23" s="228">
        <v>4</v>
      </c>
      <c r="S23" s="228">
        <v>4</v>
      </c>
      <c r="T23" s="228">
        <v>4</v>
      </c>
      <c r="U23" s="228">
        <v>4</v>
      </c>
      <c r="V23" s="228">
        <v>4</v>
      </c>
      <c r="W23" s="228">
        <v>4</v>
      </c>
      <c r="X23" s="228">
        <v>4</v>
      </c>
      <c r="Y23" s="228">
        <v>4</v>
      </c>
      <c r="Z23" s="228">
        <v>4</v>
      </c>
      <c r="AA23" s="228">
        <v>4</v>
      </c>
      <c r="AB23" s="228">
        <v>4</v>
      </c>
      <c r="AC23" s="228">
        <v>4</v>
      </c>
      <c r="AD23" s="228">
        <v>4</v>
      </c>
      <c r="AE23" s="228">
        <v>4</v>
      </c>
      <c r="AF23" s="228">
        <v>4</v>
      </c>
      <c r="AG23" s="228">
        <v>4</v>
      </c>
      <c r="AH23" s="235"/>
      <c r="AI23" s="225"/>
      <c r="AJ23" s="225"/>
      <c r="AK23" s="225"/>
      <c r="AL23" s="225"/>
      <c r="AM23" s="227">
        <f>SUM(C23:AL23)</f>
        <v>96</v>
      </c>
      <c r="AN23" s="225"/>
      <c r="AO23" s="227"/>
    </row>
    <row r="24" spans="1:41">
      <c r="A24" s="200"/>
      <c r="B24" s="214" t="s">
        <v>380</v>
      </c>
      <c r="C24" s="225"/>
      <c r="D24" s="225"/>
      <c r="E24" s="225"/>
      <c r="F24" s="225"/>
      <c r="G24" s="225"/>
      <c r="H24" s="225"/>
      <c r="I24" s="225"/>
      <c r="J24" s="225"/>
      <c r="K24" s="225"/>
      <c r="L24" s="225"/>
      <c r="M24" s="225"/>
      <c r="N24" s="225"/>
      <c r="O24" s="225"/>
      <c r="P24" s="251">
        <f>+K23</f>
        <v>10</v>
      </c>
      <c r="Q24" s="251">
        <f t="shared" ref="Q24:AL24" si="0">+L23</f>
        <v>3</v>
      </c>
      <c r="R24" s="251">
        <f t="shared" si="0"/>
        <v>3</v>
      </c>
      <c r="S24" s="251">
        <f t="shared" si="0"/>
        <v>4</v>
      </c>
      <c r="T24" s="251">
        <f t="shared" si="0"/>
        <v>4</v>
      </c>
      <c r="U24" s="251">
        <f t="shared" si="0"/>
        <v>4</v>
      </c>
      <c r="V24" s="251">
        <f t="shared" si="0"/>
        <v>4</v>
      </c>
      <c r="W24" s="251">
        <f t="shared" si="0"/>
        <v>4</v>
      </c>
      <c r="X24" s="251">
        <f t="shared" si="0"/>
        <v>4</v>
      </c>
      <c r="Y24" s="251">
        <f t="shared" si="0"/>
        <v>4</v>
      </c>
      <c r="Z24" s="251">
        <f t="shared" si="0"/>
        <v>4</v>
      </c>
      <c r="AA24" s="251">
        <f t="shared" si="0"/>
        <v>4</v>
      </c>
      <c r="AB24" s="251">
        <f t="shared" si="0"/>
        <v>4</v>
      </c>
      <c r="AC24" s="251">
        <f t="shared" si="0"/>
        <v>4</v>
      </c>
      <c r="AD24" s="251">
        <f t="shared" si="0"/>
        <v>4</v>
      </c>
      <c r="AE24" s="251">
        <f t="shared" si="0"/>
        <v>4</v>
      </c>
      <c r="AF24" s="251">
        <f t="shared" si="0"/>
        <v>4</v>
      </c>
      <c r="AG24" s="251">
        <f t="shared" si="0"/>
        <v>4</v>
      </c>
      <c r="AH24" s="251">
        <f t="shared" si="0"/>
        <v>4</v>
      </c>
      <c r="AI24" s="251">
        <f t="shared" si="0"/>
        <v>4</v>
      </c>
      <c r="AJ24" s="251">
        <f t="shared" si="0"/>
        <v>4</v>
      </c>
      <c r="AK24" s="251">
        <f t="shared" si="0"/>
        <v>4</v>
      </c>
      <c r="AL24" s="251">
        <f t="shared" si="0"/>
        <v>4</v>
      </c>
      <c r="AM24" s="227">
        <f>SUM(C24:AL24)</f>
        <v>96</v>
      </c>
      <c r="AN24" s="225"/>
      <c r="AO24" s="227"/>
    </row>
    <row r="25" spans="1:41">
      <c r="A25" s="200"/>
      <c r="B25" s="215"/>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7"/>
      <c r="AN25" s="223"/>
      <c r="AO25" s="227"/>
    </row>
    <row r="26" spans="1:41">
      <c r="A26" s="200"/>
      <c r="B26" s="252" t="s">
        <v>404</v>
      </c>
      <c r="C26" s="223">
        <f>Investment</f>
        <v>700000</v>
      </c>
      <c r="D26" s="223"/>
      <c r="E26" s="223"/>
      <c r="F26" s="223"/>
      <c r="G26" s="223"/>
      <c r="H26" s="223"/>
      <c r="I26" s="223"/>
      <c r="J26" s="223"/>
      <c r="K26" s="223"/>
      <c r="L26" s="223"/>
      <c r="M26" s="223"/>
      <c r="N26" s="223"/>
      <c r="O26" s="223"/>
      <c r="P26" s="223"/>
      <c r="Q26" s="223"/>
      <c r="R26" s="223"/>
      <c r="S26" s="223"/>
      <c r="T26" s="223"/>
      <c r="U26" s="223"/>
      <c r="V26" s="223"/>
      <c r="W26" s="223"/>
      <c r="X26" s="223"/>
      <c r="Y26" s="223"/>
      <c r="Z26" s="223"/>
      <c r="AA26" s="223"/>
      <c r="AB26" s="223"/>
      <c r="AC26" s="223"/>
      <c r="AD26" s="223"/>
      <c r="AE26" s="223"/>
      <c r="AF26" s="223"/>
      <c r="AG26" s="223"/>
      <c r="AH26" s="223"/>
      <c r="AI26" s="223"/>
      <c r="AJ26" s="223"/>
      <c r="AK26" s="223"/>
      <c r="AL26" s="223"/>
      <c r="AM26" s="227">
        <f>SUM(C26:AL26)</f>
        <v>700000</v>
      </c>
      <c r="AN26" s="223">
        <f>+AM26/TLU</f>
        <v>7291.666666666667</v>
      </c>
      <c r="AO26" s="229">
        <f>+AM26/AM$32</f>
        <v>5.2148379124080067E-2</v>
      </c>
    </row>
    <row r="27" spans="1:41">
      <c r="A27" s="200"/>
      <c r="B27" s="253" t="s">
        <v>35</v>
      </c>
      <c r="C27" s="230"/>
      <c r="D27" s="230"/>
      <c r="E27" s="230"/>
      <c r="F27" s="230"/>
      <c r="G27" s="230"/>
      <c r="H27" s="230"/>
      <c r="I27" s="230"/>
      <c r="J27" s="230"/>
      <c r="K27" s="230"/>
      <c r="L27" s="230"/>
      <c r="M27" s="230"/>
      <c r="N27" s="230"/>
      <c r="O27" s="230"/>
      <c r="P27" s="230"/>
      <c r="Q27" s="230"/>
      <c r="R27" s="230"/>
      <c r="S27" s="230"/>
      <c r="T27" s="230"/>
      <c r="U27" s="230"/>
      <c r="V27" s="230"/>
      <c r="W27" s="230"/>
      <c r="X27" s="230"/>
      <c r="Y27" s="230"/>
      <c r="Z27" s="230"/>
      <c r="AA27" s="230"/>
      <c r="AB27" s="230"/>
      <c r="AC27" s="230"/>
      <c r="AD27" s="230"/>
      <c r="AE27" s="230"/>
      <c r="AF27" s="230"/>
      <c r="AG27" s="230"/>
      <c r="AH27" s="230"/>
      <c r="AI27" s="230"/>
      <c r="AJ27" s="230"/>
      <c r="AK27" s="230"/>
      <c r="AL27" s="230"/>
      <c r="AM27" s="231"/>
      <c r="AN27" s="230"/>
      <c r="AO27" s="232"/>
    </row>
    <row r="28" spans="1:41">
      <c r="A28" s="200"/>
      <c r="B28" s="214" t="s">
        <v>392</v>
      </c>
      <c r="C28" s="225"/>
      <c r="D28" s="225"/>
      <c r="E28" s="225"/>
      <c r="F28" s="225"/>
      <c r="G28" s="225"/>
      <c r="H28" s="225"/>
      <c r="I28" s="225">
        <f>(LotIMPLN)</f>
        <v>1440000</v>
      </c>
      <c r="J28" s="225"/>
      <c r="K28" s="225"/>
      <c r="L28" s="225"/>
      <c r="M28" s="225"/>
      <c r="N28" s="225"/>
      <c r="O28" s="225"/>
      <c r="P28" s="225"/>
      <c r="Q28" s="225"/>
      <c r="R28" s="225"/>
      <c r="S28" s="225"/>
      <c r="T28" s="225"/>
      <c r="U28" s="225"/>
      <c r="V28" s="225"/>
      <c r="W28" s="225"/>
      <c r="X28" s="225"/>
      <c r="Y28" s="225"/>
      <c r="Z28" s="225"/>
      <c r="AA28" s="225"/>
      <c r="AB28" s="225"/>
      <c r="AC28" s="225"/>
      <c r="AD28" s="225"/>
      <c r="AE28" s="225"/>
      <c r="AF28" s="225"/>
      <c r="AG28" s="225"/>
      <c r="AH28" s="225"/>
      <c r="AI28" s="225"/>
      <c r="AJ28" s="225"/>
      <c r="AK28" s="225"/>
      <c r="AL28" s="225"/>
      <c r="AM28" s="227">
        <f>SUM(C28:AL28)</f>
        <v>1440000</v>
      </c>
      <c r="AN28" s="225">
        <f t="shared" ref="AN28:AN34" si="1">+AM28/TLU</f>
        <v>15000</v>
      </c>
      <c r="AO28" s="229">
        <f>+AM28/AM$32</f>
        <v>0.10727666562667899</v>
      </c>
    </row>
    <row r="29" spans="1:41" ht="12.75" thickBot="1">
      <c r="A29" s="200"/>
      <c r="B29" s="283" t="s">
        <v>387</v>
      </c>
      <c r="C29" s="284"/>
      <c r="D29" s="284"/>
      <c r="E29" s="284"/>
      <c r="F29" s="284"/>
      <c r="G29" s="284"/>
      <c r="H29" s="284"/>
      <c r="I29" s="284"/>
      <c r="J29" s="284"/>
      <c r="K29" s="284">
        <f>+K$23*SpecLoan75</f>
        <v>978777.625</v>
      </c>
      <c r="L29" s="284"/>
      <c r="M29" s="284">
        <f>+M23*PreSldLn80</f>
        <v>335580.9</v>
      </c>
      <c r="N29" s="284">
        <f t="shared" ref="N29:AG29" si="2">+N23*PreSldLn80</f>
        <v>447441.2</v>
      </c>
      <c r="O29" s="284">
        <f t="shared" si="2"/>
        <v>447441.2</v>
      </c>
      <c r="P29" s="284">
        <f t="shared" si="2"/>
        <v>447441.2</v>
      </c>
      <c r="Q29" s="284">
        <f t="shared" si="2"/>
        <v>447441.2</v>
      </c>
      <c r="R29" s="284">
        <f t="shared" si="2"/>
        <v>447441.2</v>
      </c>
      <c r="S29" s="284">
        <f t="shared" si="2"/>
        <v>447441.2</v>
      </c>
      <c r="T29" s="284">
        <f t="shared" si="2"/>
        <v>447441.2</v>
      </c>
      <c r="U29" s="284">
        <f t="shared" si="2"/>
        <v>447441.2</v>
      </c>
      <c r="V29" s="284">
        <f t="shared" si="2"/>
        <v>447441.2</v>
      </c>
      <c r="W29" s="284">
        <f t="shared" si="2"/>
        <v>447441.2</v>
      </c>
      <c r="X29" s="284">
        <f t="shared" si="2"/>
        <v>447441.2</v>
      </c>
      <c r="Y29" s="284">
        <f t="shared" si="2"/>
        <v>447441.2</v>
      </c>
      <c r="Z29" s="284">
        <f t="shared" si="2"/>
        <v>447441.2</v>
      </c>
      <c r="AA29" s="284">
        <f t="shared" si="2"/>
        <v>447441.2</v>
      </c>
      <c r="AB29" s="284">
        <f t="shared" si="2"/>
        <v>447441.2</v>
      </c>
      <c r="AC29" s="284">
        <f t="shared" si="2"/>
        <v>447441.2</v>
      </c>
      <c r="AD29" s="284">
        <f t="shared" si="2"/>
        <v>447441.2</v>
      </c>
      <c r="AE29" s="284">
        <f t="shared" si="2"/>
        <v>447441.2</v>
      </c>
      <c r="AF29" s="284">
        <f t="shared" si="2"/>
        <v>447441.2</v>
      </c>
      <c r="AG29" s="284">
        <f t="shared" si="2"/>
        <v>447441.2</v>
      </c>
      <c r="AH29" s="284">
        <v>0</v>
      </c>
      <c r="AI29" s="284"/>
      <c r="AJ29" s="284"/>
      <c r="AK29" s="284"/>
      <c r="AL29" s="284"/>
      <c r="AM29" s="285">
        <f>SUM(C29:AL29)</f>
        <v>10263182.524999999</v>
      </c>
      <c r="AN29" s="284">
        <f t="shared" si="1"/>
        <v>106908.15130208332</v>
      </c>
      <c r="AO29" s="286">
        <f>+AM29/AM$32</f>
        <v>0.76458333333333317</v>
      </c>
    </row>
    <row r="30" spans="1:41">
      <c r="A30" s="200"/>
      <c r="B30" s="282" t="s">
        <v>429</v>
      </c>
      <c r="C30" s="243">
        <f t="shared" ref="C30:AM30" si="3">SUM(C28:C29)</f>
        <v>0</v>
      </c>
      <c r="D30" s="243">
        <f t="shared" si="3"/>
        <v>0</v>
      </c>
      <c r="E30" s="243">
        <f t="shared" si="3"/>
        <v>0</v>
      </c>
      <c r="F30" s="243">
        <f t="shared" si="3"/>
        <v>0</v>
      </c>
      <c r="G30" s="243">
        <f t="shared" si="3"/>
        <v>0</v>
      </c>
      <c r="H30" s="243">
        <f t="shared" si="3"/>
        <v>0</v>
      </c>
      <c r="I30" s="243">
        <f t="shared" si="3"/>
        <v>1440000</v>
      </c>
      <c r="J30" s="243">
        <f t="shared" si="3"/>
        <v>0</v>
      </c>
      <c r="K30" s="243">
        <f t="shared" si="3"/>
        <v>978777.625</v>
      </c>
      <c r="L30" s="243">
        <f t="shared" si="3"/>
        <v>0</v>
      </c>
      <c r="M30" s="243">
        <f t="shared" si="3"/>
        <v>335580.9</v>
      </c>
      <c r="N30" s="243">
        <f t="shared" si="3"/>
        <v>447441.2</v>
      </c>
      <c r="O30" s="243">
        <f t="shared" si="3"/>
        <v>447441.2</v>
      </c>
      <c r="P30" s="243">
        <f t="shared" si="3"/>
        <v>447441.2</v>
      </c>
      <c r="Q30" s="243">
        <f t="shared" si="3"/>
        <v>447441.2</v>
      </c>
      <c r="R30" s="243">
        <f t="shared" si="3"/>
        <v>447441.2</v>
      </c>
      <c r="S30" s="243">
        <f t="shared" si="3"/>
        <v>447441.2</v>
      </c>
      <c r="T30" s="243">
        <f t="shared" si="3"/>
        <v>447441.2</v>
      </c>
      <c r="U30" s="243">
        <f t="shared" si="3"/>
        <v>447441.2</v>
      </c>
      <c r="V30" s="243">
        <f t="shared" si="3"/>
        <v>447441.2</v>
      </c>
      <c r="W30" s="243">
        <f t="shared" si="3"/>
        <v>447441.2</v>
      </c>
      <c r="X30" s="243">
        <f t="shared" si="3"/>
        <v>447441.2</v>
      </c>
      <c r="Y30" s="243">
        <f t="shared" si="3"/>
        <v>447441.2</v>
      </c>
      <c r="Z30" s="243">
        <f t="shared" si="3"/>
        <v>447441.2</v>
      </c>
      <c r="AA30" s="243">
        <f t="shared" si="3"/>
        <v>447441.2</v>
      </c>
      <c r="AB30" s="243">
        <f t="shared" si="3"/>
        <v>447441.2</v>
      </c>
      <c r="AC30" s="243">
        <f t="shared" si="3"/>
        <v>447441.2</v>
      </c>
      <c r="AD30" s="243">
        <f t="shared" si="3"/>
        <v>447441.2</v>
      </c>
      <c r="AE30" s="243">
        <f t="shared" si="3"/>
        <v>447441.2</v>
      </c>
      <c r="AF30" s="243">
        <f t="shared" si="3"/>
        <v>447441.2</v>
      </c>
      <c r="AG30" s="243">
        <f t="shared" si="3"/>
        <v>447441.2</v>
      </c>
      <c r="AH30" s="243">
        <f t="shared" si="3"/>
        <v>0</v>
      </c>
      <c r="AI30" s="243">
        <f t="shared" si="3"/>
        <v>0</v>
      </c>
      <c r="AJ30" s="243">
        <f t="shared" si="3"/>
        <v>0</v>
      </c>
      <c r="AK30" s="243">
        <f t="shared" si="3"/>
        <v>0</v>
      </c>
      <c r="AL30" s="243">
        <f t="shared" si="3"/>
        <v>0</v>
      </c>
      <c r="AM30" s="243">
        <f t="shared" si="3"/>
        <v>11703182.524999999</v>
      </c>
      <c r="AN30" s="243">
        <f t="shared" si="1"/>
        <v>121908.15130208332</v>
      </c>
      <c r="AO30" s="245">
        <f>+AM30/AM$32</f>
        <v>0.87185999896001221</v>
      </c>
    </row>
    <row r="31" spans="1:41">
      <c r="A31" s="200"/>
      <c r="B31" s="250"/>
      <c r="C31" s="225"/>
      <c r="D31" s="225"/>
      <c r="E31" s="225"/>
      <c r="F31" s="225"/>
      <c r="G31" s="225"/>
      <c r="H31" s="225"/>
      <c r="I31" s="225"/>
      <c r="J31" s="225"/>
      <c r="K31" s="225"/>
      <c r="L31" s="225"/>
      <c r="M31" s="225"/>
      <c r="N31" s="225"/>
      <c r="O31" s="225"/>
      <c r="P31" s="225"/>
      <c r="Q31" s="225"/>
      <c r="R31" s="225"/>
      <c r="S31" s="225"/>
      <c r="T31" s="225"/>
      <c r="U31" s="225"/>
      <c r="V31" s="225"/>
      <c r="W31" s="225"/>
      <c r="X31" s="225"/>
      <c r="Y31" s="225"/>
      <c r="Z31" s="225"/>
      <c r="AA31" s="225"/>
      <c r="AB31" s="225"/>
      <c r="AC31" s="225"/>
      <c r="AD31" s="225"/>
      <c r="AE31" s="225"/>
      <c r="AF31" s="225"/>
      <c r="AG31" s="225"/>
      <c r="AH31" s="225"/>
      <c r="AI31" s="225"/>
      <c r="AJ31" s="225"/>
      <c r="AK31" s="225"/>
      <c r="AL31" s="225"/>
      <c r="AM31" s="227"/>
      <c r="AN31" s="225"/>
      <c r="AO31" s="229"/>
    </row>
    <row r="32" spans="1:41">
      <c r="A32" s="200"/>
      <c r="B32" s="252" t="s">
        <v>394</v>
      </c>
      <c r="C32" s="225"/>
      <c r="D32" s="225"/>
      <c r="E32" s="225"/>
      <c r="F32" s="225"/>
      <c r="G32" s="225"/>
      <c r="H32" s="225"/>
      <c r="I32" s="225"/>
      <c r="J32" s="225"/>
      <c r="K32" s="225"/>
      <c r="L32" s="225"/>
      <c r="M32" s="225"/>
      <c r="N32" s="225"/>
      <c r="O32" s="225"/>
      <c r="P32" s="225">
        <f>P24*'Project Summary'!$C$8</f>
        <v>1398253.75</v>
      </c>
      <c r="Q32" s="225">
        <f>Q24*'Project Summary'!$C$8</f>
        <v>419476.125</v>
      </c>
      <c r="R32" s="225">
        <f>R24*'Project Summary'!$C$8</f>
        <v>419476.125</v>
      </c>
      <c r="S32" s="225">
        <f>S24*'Project Summary'!$C$8</f>
        <v>559301.5</v>
      </c>
      <c r="T32" s="225">
        <f>T24*'Project Summary'!$C$8</f>
        <v>559301.5</v>
      </c>
      <c r="U32" s="225">
        <f>U24*'Project Summary'!$C$8</f>
        <v>559301.5</v>
      </c>
      <c r="V32" s="225">
        <f>V24*'Project Summary'!$C$8</f>
        <v>559301.5</v>
      </c>
      <c r="W32" s="225">
        <f>W24*'Project Summary'!$C$8</f>
        <v>559301.5</v>
      </c>
      <c r="X32" s="225">
        <f>X24*'Project Summary'!$C$8</f>
        <v>559301.5</v>
      </c>
      <c r="Y32" s="225">
        <f>Y24*'Project Summary'!$C$8</f>
        <v>559301.5</v>
      </c>
      <c r="Z32" s="225">
        <f>Z24*'Project Summary'!$C$8</f>
        <v>559301.5</v>
      </c>
      <c r="AA32" s="225">
        <f>AA24*'Project Summary'!$C$8</f>
        <v>559301.5</v>
      </c>
      <c r="AB32" s="225">
        <f>AB24*'Project Summary'!$C$8</f>
        <v>559301.5</v>
      </c>
      <c r="AC32" s="225">
        <f>AC24*'Project Summary'!$C$8</f>
        <v>559301.5</v>
      </c>
      <c r="AD32" s="225">
        <f>AD24*'Project Summary'!$C$8</f>
        <v>559301.5</v>
      </c>
      <c r="AE32" s="225">
        <f>AE24*'Project Summary'!$C$8</f>
        <v>559301.5</v>
      </c>
      <c r="AF32" s="225">
        <f>AF24*'Project Summary'!$C$8</f>
        <v>559301.5</v>
      </c>
      <c r="AG32" s="225">
        <f>AG24*'Project Summary'!$C$8</f>
        <v>559301.5</v>
      </c>
      <c r="AH32" s="225">
        <f>AH24*'Project Summary'!$C$8</f>
        <v>559301.5</v>
      </c>
      <c r="AI32" s="225">
        <f>AI24*'Project Summary'!$C$8</f>
        <v>559301.5</v>
      </c>
      <c r="AJ32" s="225">
        <f>AJ24*'Project Summary'!$C$8</f>
        <v>559301.5</v>
      </c>
      <c r="AK32" s="225">
        <f>AK24*'Project Summary'!$C$8</f>
        <v>559301.5</v>
      </c>
      <c r="AL32" s="225">
        <f>AL24*'Project Summary'!$C$8</f>
        <v>559301.5</v>
      </c>
      <c r="AM32" s="227">
        <f>SUM(C32:AL32)</f>
        <v>13423236</v>
      </c>
      <c r="AN32" s="225">
        <f t="shared" si="1"/>
        <v>139825.375</v>
      </c>
      <c r="AO32" s="229">
        <f>+AM32/AM$32</f>
        <v>1</v>
      </c>
    </row>
    <row r="33" spans="1:128" ht="12.75" thickBot="1">
      <c r="A33" s="200"/>
      <c r="B33" s="216"/>
      <c r="C33" s="240"/>
      <c r="D33" s="240"/>
      <c r="E33" s="240"/>
      <c r="F33" s="240"/>
      <c r="G33" s="240"/>
      <c r="H33" s="240"/>
      <c r="I33" s="240"/>
      <c r="J33" s="240"/>
      <c r="K33" s="240"/>
      <c r="L33" s="240"/>
      <c r="M33" s="240"/>
      <c r="N33" s="240"/>
      <c r="O33" s="240"/>
      <c r="P33" s="240"/>
      <c r="Q33" s="240"/>
      <c r="R33" s="240"/>
      <c r="S33" s="240"/>
      <c r="T33" s="240"/>
      <c r="U33" s="240"/>
      <c r="V33" s="240"/>
      <c r="W33" s="240"/>
      <c r="X33" s="240"/>
      <c r="Y33" s="240"/>
      <c r="Z33" s="240"/>
      <c r="AA33" s="240"/>
      <c r="AB33" s="240"/>
      <c r="AC33" s="240"/>
      <c r="AD33" s="240"/>
      <c r="AE33" s="240"/>
      <c r="AF33" s="240"/>
      <c r="AG33" s="240"/>
      <c r="AH33" s="240"/>
      <c r="AI33" s="240"/>
      <c r="AJ33" s="240"/>
      <c r="AK33" s="240"/>
      <c r="AL33" s="240"/>
      <c r="AM33" s="241"/>
      <c r="AN33" s="240"/>
      <c r="AO33" s="242"/>
    </row>
    <row r="34" spans="1:128" ht="12.75" thickBot="1">
      <c r="A34" s="200"/>
      <c r="B34" s="275" t="s">
        <v>26</v>
      </c>
      <c r="C34" s="279">
        <f t="shared" ref="C34:AM34" si="4">+C32+C30+C26</f>
        <v>700000</v>
      </c>
      <c r="D34" s="279">
        <f t="shared" si="4"/>
        <v>0</v>
      </c>
      <c r="E34" s="279">
        <f t="shared" si="4"/>
        <v>0</v>
      </c>
      <c r="F34" s="279">
        <f t="shared" si="4"/>
        <v>0</v>
      </c>
      <c r="G34" s="279">
        <f t="shared" si="4"/>
        <v>0</v>
      </c>
      <c r="H34" s="279">
        <f t="shared" si="4"/>
        <v>0</v>
      </c>
      <c r="I34" s="279">
        <f t="shared" si="4"/>
        <v>1440000</v>
      </c>
      <c r="J34" s="279">
        <f t="shared" si="4"/>
        <v>0</v>
      </c>
      <c r="K34" s="279">
        <f t="shared" si="4"/>
        <v>978777.625</v>
      </c>
      <c r="L34" s="279">
        <f t="shared" si="4"/>
        <v>0</v>
      </c>
      <c r="M34" s="279">
        <f t="shared" si="4"/>
        <v>335580.9</v>
      </c>
      <c r="N34" s="279">
        <f t="shared" si="4"/>
        <v>447441.2</v>
      </c>
      <c r="O34" s="279">
        <f t="shared" si="4"/>
        <v>447441.2</v>
      </c>
      <c r="P34" s="279">
        <f t="shared" si="4"/>
        <v>1845694.95</v>
      </c>
      <c r="Q34" s="279">
        <f t="shared" si="4"/>
        <v>866917.32499999995</v>
      </c>
      <c r="R34" s="279">
        <f t="shared" si="4"/>
        <v>866917.32499999995</v>
      </c>
      <c r="S34" s="279">
        <f t="shared" si="4"/>
        <v>1006742.7</v>
      </c>
      <c r="T34" s="279">
        <f t="shared" si="4"/>
        <v>1006742.7</v>
      </c>
      <c r="U34" s="279">
        <f t="shared" si="4"/>
        <v>1006742.7</v>
      </c>
      <c r="V34" s="279">
        <f t="shared" si="4"/>
        <v>1006742.7</v>
      </c>
      <c r="W34" s="279">
        <f t="shared" si="4"/>
        <v>1006742.7</v>
      </c>
      <c r="X34" s="279">
        <f t="shared" si="4"/>
        <v>1006742.7</v>
      </c>
      <c r="Y34" s="279">
        <f t="shared" si="4"/>
        <v>1006742.7</v>
      </c>
      <c r="Z34" s="279">
        <f t="shared" si="4"/>
        <v>1006742.7</v>
      </c>
      <c r="AA34" s="279">
        <f t="shared" si="4"/>
        <v>1006742.7</v>
      </c>
      <c r="AB34" s="279">
        <f t="shared" si="4"/>
        <v>1006742.7</v>
      </c>
      <c r="AC34" s="279">
        <f t="shared" si="4"/>
        <v>1006742.7</v>
      </c>
      <c r="AD34" s="279">
        <f t="shared" si="4"/>
        <v>1006742.7</v>
      </c>
      <c r="AE34" s="279">
        <f t="shared" si="4"/>
        <v>1006742.7</v>
      </c>
      <c r="AF34" s="279">
        <f t="shared" si="4"/>
        <v>1006742.7</v>
      </c>
      <c r="AG34" s="279">
        <f t="shared" si="4"/>
        <v>1006742.7</v>
      </c>
      <c r="AH34" s="279">
        <f t="shared" si="4"/>
        <v>559301.5</v>
      </c>
      <c r="AI34" s="279">
        <f t="shared" si="4"/>
        <v>559301.5</v>
      </c>
      <c r="AJ34" s="279">
        <f t="shared" si="4"/>
        <v>559301.5</v>
      </c>
      <c r="AK34" s="279">
        <f t="shared" si="4"/>
        <v>559301.5</v>
      </c>
      <c r="AL34" s="279">
        <f t="shared" si="4"/>
        <v>559301.5</v>
      </c>
      <c r="AM34" s="279">
        <f t="shared" si="4"/>
        <v>25826418.524999999</v>
      </c>
      <c r="AN34" s="279">
        <f t="shared" si="1"/>
        <v>269025.19296874997</v>
      </c>
      <c r="AO34" s="280">
        <f>+AM34/AM$32</f>
        <v>1.9240083780840922</v>
      </c>
    </row>
    <row r="35" spans="1:128">
      <c r="A35" s="200"/>
      <c r="B35" s="217"/>
      <c r="C35" s="243"/>
      <c r="D35" s="243"/>
      <c r="E35" s="243"/>
      <c r="F35" s="243"/>
      <c r="G35" s="244"/>
      <c r="H35" s="243"/>
      <c r="I35" s="243"/>
      <c r="J35" s="243"/>
      <c r="K35" s="243"/>
      <c r="L35" s="243"/>
      <c r="M35" s="243"/>
      <c r="N35" s="243"/>
      <c r="O35" s="243"/>
      <c r="P35" s="243"/>
      <c r="Q35" s="243"/>
      <c r="R35" s="243"/>
      <c r="S35" s="243"/>
      <c r="T35" s="243"/>
      <c r="U35" s="243"/>
      <c r="V35" s="243"/>
      <c r="W35" s="243"/>
      <c r="X35" s="243"/>
      <c r="Y35" s="243"/>
      <c r="Z35" s="243"/>
      <c r="AA35" s="243"/>
      <c r="AB35" s="243"/>
      <c r="AC35" s="243"/>
      <c r="AD35" s="243"/>
      <c r="AE35" s="243"/>
      <c r="AF35" s="243"/>
      <c r="AG35" s="243"/>
      <c r="AH35" s="243"/>
      <c r="AI35" s="243"/>
      <c r="AJ35" s="243"/>
      <c r="AK35" s="243"/>
      <c r="AL35" s="243"/>
      <c r="AM35" s="243"/>
      <c r="AN35" s="243"/>
      <c r="AO35" s="245"/>
    </row>
    <row r="36" spans="1:128">
      <c r="A36" s="200"/>
      <c r="B36" s="252" t="s">
        <v>382</v>
      </c>
      <c r="C36" s="225"/>
      <c r="D36" s="225"/>
      <c r="E36" s="225"/>
      <c r="F36" s="225"/>
      <c r="G36" s="225"/>
      <c r="H36" s="225"/>
      <c r="I36" s="225"/>
      <c r="J36" s="225"/>
      <c r="K36" s="225"/>
      <c r="L36" s="225"/>
      <c r="M36" s="225"/>
      <c r="N36" s="225"/>
      <c r="O36" s="225"/>
      <c r="P36" s="225"/>
      <c r="Q36" s="225"/>
      <c r="R36" s="225"/>
      <c r="S36" s="225"/>
      <c r="T36" s="225"/>
      <c r="U36" s="225"/>
      <c r="V36" s="225"/>
      <c r="W36" s="225"/>
      <c r="X36" s="225"/>
      <c r="Y36" s="225"/>
      <c r="Z36" s="225"/>
      <c r="AA36" s="225"/>
      <c r="AB36" s="225"/>
      <c r="AC36" s="225"/>
      <c r="AD36" s="225"/>
      <c r="AE36" s="225"/>
      <c r="AF36" s="225"/>
      <c r="AG36" s="225"/>
      <c r="AH36" s="225"/>
      <c r="AI36" s="225"/>
      <c r="AJ36" s="225"/>
      <c r="AK36" s="225"/>
      <c r="AL36" s="225"/>
      <c r="AM36" s="225"/>
      <c r="AN36" s="225"/>
      <c r="AO36" s="233"/>
    </row>
    <row r="37" spans="1:128">
      <c r="A37" s="200"/>
      <c r="B37" s="216" t="s">
        <v>391</v>
      </c>
      <c r="C37" s="225">
        <v>10000</v>
      </c>
      <c r="D37" s="225"/>
      <c r="E37" s="225">
        <v>4000</v>
      </c>
      <c r="F37" s="225">
        <v>4000</v>
      </c>
      <c r="G37" s="225">
        <v>4000</v>
      </c>
      <c r="H37" s="225">
        <v>4000</v>
      </c>
      <c r="I37" s="225">
        <f>LandPrice-SUM($C37:H37)</f>
        <v>654000</v>
      </c>
      <c r="J37" s="225"/>
      <c r="K37" s="225"/>
      <c r="L37" s="225"/>
      <c r="M37" s="225"/>
      <c r="N37" s="225"/>
      <c r="O37" s="225"/>
      <c r="P37" s="225"/>
      <c r="Q37" s="225"/>
      <c r="R37" s="234"/>
      <c r="S37" s="234"/>
      <c r="T37" s="225"/>
      <c r="U37" s="225"/>
      <c r="V37" s="225"/>
      <c r="W37" s="225"/>
      <c r="X37" s="225"/>
      <c r="Y37" s="225"/>
      <c r="Z37" s="225"/>
      <c r="AA37" s="225"/>
      <c r="AB37" s="225"/>
      <c r="AC37" s="225"/>
      <c r="AD37" s="225"/>
      <c r="AE37" s="225"/>
      <c r="AF37" s="225"/>
      <c r="AG37" s="225"/>
      <c r="AH37" s="225"/>
      <c r="AI37" s="225"/>
      <c r="AJ37" s="225"/>
      <c r="AK37" s="225"/>
      <c r="AL37" s="225"/>
      <c r="AM37" s="227">
        <f>SUM(C37:AL37)</f>
        <v>680000</v>
      </c>
      <c r="AN37" s="225">
        <f t="shared" ref="AN37:AN53" si="5">+AM37/TLU</f>
        <v>7083.333333333333</v>
      </c>
      <c r="AO37" s="229">
        <f t="shared" ref="AO37:AO51" si="6">+AM37/AM$32</f>
        <v>5.0658425434820638E-2</v>
      </c>
    </row>
    <row r="38" spans="1:128">
      <c r="A38" s="200"/>
      <c r="B38" s="216" t="s">
        <v>397</v>
      </c>
      <c r="C38" s="223">
        <f>ProfessionalFees*0.5*0.5</f>
        <v>39475</v>
      </c>
      <c r="D38" s="223">
        <f>ProfessionalFees*0.5*0.5</f>
        <v>39475</v>
      </c>
      <c r="E38" s="223">
        <f>ProfessionalFees*0.5*0.25</f>
        <v>19737.5</v>
      </c>
      <c r="F38" s="223">
        <f>ProfessionalFees*0.5*0.25</f>
        <v>19737.5</v>
      </c>
      <c r="G38" s="223">
        <f>ProfessionalFees*0.5*0.25</f>
        <v>19737.5</v>
      </c>
      <c r="H38" s="223">
        <f>ProfessionalFees*0.5*0.25</f>
        <v>19737.5</v>
      </c>
      <c r="I38" s="225"/>
      <c r="J38" s="225"/>
      <c r="K38" s="225"/>
      <c r="L38" s="225"/>
      <c r="M38" s="225"/>
      <c r="N38" s="225"/>
      <c r="O38" s="225"/>
      <c r="P38" s="225"/>
      <c r="Q38" s="225"/>
      <c r="R38" s="225"/>
      <c r="S38" s="225"/>
      <c r="T38" s="225"/>
      <c r="U38" s="225"/>
      <c r="V38" s="225"/>
      <c r="W38" s="225"/>
      <c r="X38" s="225"/>
      <c r="Y38" s="225"/>
      <c r="Z38" s="225"/>
      <c r="AA38" s="225"/>
      <c r="AB38" s="225"/>
      <c r="AC38" s="225"/>
      <c r="AD38" s="225"/>
      <c r="AE38" s="225"/>
      <c r="AF38" s="225"/>
      <c r="AG38" s="225"/>
      <c r="AH38" s="225"/>
      <c r="AI38" s="225"/>
      <c r="AJ38" s="225"/>
      <c r="AK38" s="225"/>
      <c r="AL38" s="225"/>
      <c r="AM38" s="227">
        <f>SUM(C38:AL38)</f>
        <v>157900</v>
      </c>
      <c r="AN38" s="225">
        <f t="shared" si="5"/>
        <v>1644.7916666666667</v>
      </c>
      <c r="AO38" s="229">
        <f t="shared" si="6"/>
        <v>1.1763184376703203E-2</v>
      </c>
      <c r="AQ38" s="207"/>
    </row>
    <row r="39" spans="1:128">
      <c r="A39" s="200"/>
      <c r="B39" s="216" t="s">
        <v>390</v>
      </c>
      <c r="C39" s="225"/>
      <c r="D39" s="225"/>
      <c r="E39" s="225"/>
      <c r="F39" s="225"/>
      <c r="G39" s="225"/>
      <c r="H39" s="225"/>
      <c r="I39" s="225">
        <f>(Lot_Improvement_Costs-ProfessionalFees)*0.15</f>
        <v>145731.72527777776</v>
      </c>
      <c r="J39" s="225">
        <f>(Lot_Improvement_Costs-ProfessionalFees)*0.2</f>
        <v>194308.96703703701</v>
      </c>
      <c r="K39" s="225">
        <f>(Lot_Improvement_Costs-ProfessionalFees)*0.3</f>
        <v>291463.45055555552</v>
      </c>
      <c r="L39" s="225">
        <f>(Lot_Improvement_Costs-ProfessionalFees)*0.25</f>
        <v>242886.20879629627</v>
      </c>
      <c r="M39" s="225">
        <f>(Lot_Improvement_Costs-ProfessionalFees)*0.1</f>
        <v>97154.483518518507</v>
      </c>
      <c r="N39" s="225"/>
      <c r="O39" s="225"/>
      <c r="P39" s="225"/>
      <c r="Q39" s="225"/>
      <c r="R39" s="225"/>
      <c r="S39" s="225"/>
      <c r="T39" s="225"/>
      <c r="U39" s="225"/>
      <c r="V39" s="225"/>
      <c r="W39" s="225"/>
      <c r="X39" s="225"/>
      <c r="Y39" s="225"/>
      <c r="Z39" s="225"/>
      <c r="AA39" s="225"/>
      <c r="AB39" s="225"/>
      <c r="AC39" s="225"/>
      <c r="AD39" s="225"/>
      <c r="AE39" s="225"/>
      <c r="AF39" s="225"/>
      <c r="AG39" s="225"/>
      <c r="AH39" s="225"/>
      <c r="AI39" s="225"/>
      <c r="AJ39" s="225"/>
      <c r="AK39" s="225"/>
      <c r="AL39" s="225"/>
      <c r="AM39" s="227">
        <f>SUM(C39:AL39)</f>
        <v>971544.83518518507</v>
      </c>
      <c r="AN39" s="225">
        <f t="shared" si="5"/>
        <v>10120.258699845677</v>
      </c>
      <c r="AO39" s="229">
        <f t="shared" si="6"/>
        <v>7.2377840573255595E-2</v>
      </c>
      <c r="AP39" s="207"/>
    </row>
    <row r="40" spans="1:128">
      <c r="A40" s="200"/>
      <c r="B40" s="216" t="s">
        <v>393</v>
      </c>
      <c r="C40" s="225"/>
      <c r="D40" s="225"/>
      <c r="E40" s="225"/>
      <c r="F40" s="225"/>
      <c r="G40" s="225"/>
      <c r="H40" s="225"/>
      <c r="I40" s="225"/>
      <c r="J40" s="225"/>
      <c r="K40" s="225">
        <f>(F23+J23)*0.1*AvgUC+(K23+G23+H23+I23)*0.2*AvgUC</f>
        <v>177093.24049617746</v>
      </c>
      <c r="L40" s="225">
        <f>(G23+K23)*0.1*AvgUC+(L23+H23+I23+J23)*0.2*AvgUC</f>
        <v>141674.59239694197</v>
      </c>
      <c r="M40" s="225">
        <f t="shared" ref="M40:AL40" si="7">(H23+L23)*0.1*AvgUC+(M23+I23+J23+K23)*0.2*AvgUC</f>
        <v>256785.19871945732</v>
      </c>
      <c r="N40" s="225">
        <f t="shared" si="7"/>
        <v>327622.49491792836</v>
      </c>
      <c r="O40" s="225">
        <f t="shared" si="7"/>
        <v>389605.12909159041</v>
      </c>
      <c r="P40" s="225">
        <f t="shared" si="7"/>
        <v>371895.80504197272</v>
      </c>
      <c r="Q40" s="225">
        <f t="shared" si="7"/>
        <v>327622.4949179283</v>
      </c>
      <c r="R40" s="225">
        <f t="shared" si="7"/>
        <v>345331.81896754605</v>
      </c>
      <c r="S40" s="225">
        <f t="shared" si="7"/>
        <v>354186.48099235492</v>
      </c>
      <c r="T40" s="225">
        <f t="shared" si="7"/>
        <v>354186.48099235492</v>
      </c>
      <c r="U40" s="225">
        <f t="shared" si="7"/>
        <v>354186.48099235492</v>
      </c>
      <c r="V40" s="225">
        <f t="shared" si="7"/>
        <v>354186.48099235492</v>
      </c>
      <c r="W40" s="225">
        <f t="shared" si="7"/>
        <v>354186.48099235492</v>
      </c>
      <c r="X40" s="225">
        <f t="shared" si="7"/>
        <v>354186.48099235492</v>
      </c>
      <c r="Y40" s="225">
        <f t="shared" si="7"/>
        <v>354186.48099235492</v>
      </c>
      <c r="Z40" s="225">
        <f t="shared" si="7"/>
        <v>354186.48099235492</v>
      </c>
      <c r="AA40" s="225">
        <f t="shared" si="7"/>
        <v>354186.48099235492</v>
      </c>
      <c r="AB40" s="225">
        <f t="shared" si="7"/>
        <v>354186.48099235492</v>
      </c>
      <c r="AC40" s="225">
        <f t="shared" si="7"/>
        <v>354186.48099235492</v>
      </c>
      <c r="AD40" s="225">
        <f t="shared" si="7"/>
        <v>354186.48099235492</v>
      </c>
      <c r="AE40" s="225">
        <f t="shared" si="7"/>
        <v>354186.48099235492</v>
      </c>
      <c r="AF40" s="225">
        <f t="shared" si="7"/>
        <v>354186.48099235492</v>
      </c>
      <c r="AG40" s="225">
        <f t="shared" si="7"/>
        <v>354186.48099235492</v>
      </c>
      <c r="AH40" s="225">
        <f t="shared" si="7"/>
        <v>283349.18479388393</v>
      </c>
      <c r="AI40" s="225">
        <f t="shared" si="7"/>
        <v>247930.53669464847</v>
      </c>
      <c r="AJ40" s="225">
        <f t="shared" si="7"/>
        <v>177093.24049617746</v>
      </c>
      <c r="AK40" s="225">
        <f t="shared" si="7"/>
        <v>106255.94429770648</v>
      </c>
      <c r="AL40" s="225">
        <f t="shared" si="7"/>
        <v>35418.648099235492</v>
      </c>
      <c r="AM40" s="227">
        <f>SUM(C40:AL40)</f>
        <v>8500475.5438165143</v>
      </c>
      <c r="AN40" s="225">
        <f t="shared" si="5"/>
        <v>88546.620248088686</v>
      </c>
      <c r="AO40" s="229">
        <f t="shared" si="6"/>
        <v>0.63326574484844889</v>
      </c>
      <c r="AP40" s="306"/>
    </row>
    <row r="41" spans="1:128">
      <c r="A41" s="200"/>
      <c r="B41" s="216" t="s">
        <v>333</v>
      </c>
      <c r="C41" s="225"/>
      <c r="D41" s="225"/>
      <c r="E41" s="225"/>
      <c r="F41" s="225"/>
      <c r="G41" s="235"/>
      <c r="H41" s="225"/>
      <c r="I41" s="235">
        <f>(0.025*LandPrice)/12*3</f>
        <v>4250</v>
      </c>
      <c r="J41" s="225"/>
      <c r="K41" s="225"/>
      <c r="L41" s="225"/>
      <c r="M41" s="225"/>
      <c r="N41" s="225"/>
      <c r="O41" s="225"/>
      <c r="P41" s="225"/>
      <c r="Q41" s="225"/>
      <c r="R41" s="235"/>
      <c r="S41" s="235">
        <f>(0.025*LandPrice)/12*9</f>
        <v>12750</v>
      </c>
      <c r="T41" s="225"/>
      <c r="U41" s="225"/>
      <c r="V41" s="225"/>
      <c r="W41" s="225"/>
      <c r="X41" s="225"/>
      <c r="Y41" s="225"/>
      <c r="Z41" s="225"/>
      <c r="AA41" s="225"/>
      <c r="AB41" s="225"/>
      <c r="AC41" s="225"/>
      <c r="AD41" s="225"/>
      <c r="AE41" s="235">
        <f>(0.025*26000)*(TLU-SUM($C24:R24))*0.5</f>
        <v>26000</v>
      </c>
      <c r="AF41" s="225"/>
      <c r="AG41" s="225"/>
      <c r="AH41" s="225"/>
      <c r="AI41" s="225"/>
      <c r="AJ41" s="225"/>
      <c r="AK41" s="225"/>
      <c r="AL41" s="235">
        <f>((0.025*26000)/12*8)*(TLU-SUM($C24:$AD24))*0.5</f>
        <v>6933.333333333333</v>
      </c>
      <c r="AM41" s="227">
        <f>SUM(C41:AL41)</f>
        <v>49933.333333333336</v>
      </c>
      <c r="AN41" s="235">
        <f t="shared" si="5"/>
        <v>520.13888888888891</v>
      </c>
      <c r="AO41" s="229">
        <f t="shared" si="6"/>
        <v>3.7199177108510448E-3</v>
      </c>
      <c r="AP41" s="207"/>
    </row>
    <row r="42" spans="1:128">
      <c r="A42" s="200"/>
      <c r="B42" s="216" t="s">
        <v>395</v>
      </c>
      <c r="C42" s="225">
        <f>C32*Slscomm</f>
        <v>0</v>
      </c>
      <c r="D42" s="225">
        <f t="shared" ref="D42:AL42" si="8">D32*Slscomm</f>
        <v>0</v>
      </c>
      <c r="E42" s="225">
        <f t="shared" si="8"/>
        <v>0</v>
      </c>
      <c r="F42" s="225">
        <f t="shared" si="8"/>
        <v>0</v>
      </c>
      <c r="G42" s="225">
        <f t="shared" si="8"/>
        <v>0</v>
      </c>
      <c r="H42" s="225">
        <f t="shared" si="8"/>
        <v>0</v>
      </c>
      <c r="I42" s="225">
        <f t="shared" si="8"/>
        <v>0</v>
      </c>
      <c r="J42" s="225">
        <f t="shared" si="8"/>
        <v>0</v>
      </c>
      <c r="K42" s="225">
        <f t="shared" si="8"/>
        <v>0</v>
      </c>
      <c r="L42" s="225">
        <f t="shared" si="8"/>
        <v>0</v>
      </c>
      <c r="M42" s="225">
        <f t="shared" si="8"/>
        <v>0</v>
      </c>
      <c r="N42" s="225">
        <f t="shared" si="8"/>
        <v>0</v>
      </c>
      <c r="O42" s="225">
        <f t="shared" si="8"/>
        <v>0</v>
      </c>
      <c r="P42" s="225">
        <f t="shared" si="8"/>
        <v>69912.6875</v>
      </c>
      <c r="Q42" s="225">
        <f t="shared" si="8"/>
        <v>20973.806250000001</v>
      </c>
      <c r="R42" s="225">
        <f t="shared" si="8"/>
        <v>20973.806250000001</v>
      </c>
      <c r="S42" s="225">
        <f t="shared" si="8"/>
        <v>27965.075000000001</v>
      </c>
      <c r="T42" s="225">
        <f t="shared" si="8"/>
        <v>27965.075000000001</v>
      </c>
      <c r="U42" s="225">
        <f t="shared" si="8"/>
        <v>27965.075000000001</v>
      </c>
      <c r="V42" s="225">
        <f t="shared" si="8"/>
        <v>27965.075000000001</v>
      </c>
      <c r="W42" s="225">
        <f t="shared" si="8"/>
        <v>27965.075000000001</v>
      </c>
      <c r="X42" s="225">
        <f t="shared" si="8"/>
        <v>27965.075000000001</v>
      </c>
      <c r="Y42" s="225">
        <f t="shared" si="8"/>
        <v>27965.075000000001</v>
      </c>
      <c r="Z42" s="225">
        <f t="shared" si="8"/>
        <v>27965.075000000001</v>
      </c>
      <c r="AA42" s="225">
        <f t="shared" si="8"/>
        <v>27965.075000000001</v>
      </c>
      <c r="AB42" s="225">
        <f t="shared" si="8"/>
        <v>27965.075000000001</v>
      </c>
      <c r="AC42" s="225">
        <f t="shared" si="8"/>
        <v>27965.075000000001</v>
      </c>
      <c r="AD42" s="225">
        <f t="shared" si="8"/>
        <v>27965.075000000001</v>
      </c>
      <c r="AE42" s="225">
        <f t="shared" si="8"/>
        <v>27965.075000000001</v>
      </c>
      <c r="AF42" s="225">
        <f t="shared" si="8"/>
        <v>27965.075000000001</v>
      </c>
      <c r="AG42" s="225">
        <f t="shared" si="8"/>
        <v>27965.075000000001</v>
      </c>
      <c r="AH42" s="225">
        <f t="shared" si="8"/>
        <v>27965.075000000001</v>
      </c>
      <c r="AI42" s="225">
        <f t="shared" si="8"/>
        <v>27965.075000000001</v>
      </c>
      <c r="AJ42" s="225">
        <f t="shared" si="8"/>
        <v>27965.075000000001</v>
      </c>
      <c r="AK42" s="225">
        <f t="shared" si="8"/>
        <v>27965.075000000001</v>
      </c>
      <c r="AL42" s="225">
        <f t="shared" si="8"/>
        <v>27965.075000000001</v>
      </c>
      <c r="AM42" s="227">
        <f t="shared" ref="AM42:AM50" si="9">SUM(C42:AL42)</f>
        <v>671161.79999999993</v>
      </c>
      <c r="AN42" s="225">
        <f t="shared" si="5"/>
        <v>6991.2687499999993</v>
      </c>
      <c r="AO42" s="233">
        <f t="shared" si="6"/>
        <v>4.9999999999999996E-2</v>
      </c>
      <c r="AP42" s="207"/>
    </row>
    <row r="43" spans="1:128">
      <c r="A43" s="200"/>
      <c r="B43" s="216" t="s">
        <v>396</v>
      </c>
      <c r="C43" s="225">
        <f>C32*Ccost</f>
        <v>0</v>
      </c>
      <c r="D43" s="225">
        <f t="shared" ref="D43:AL43" si="10">D32*Ccost</f>
        <v>0</v>
      </c>
      <c r="E43" s="225">
        <f t="shared" si="10"/>
        <v>0</v>
      </c>
      <c r="F43" s="225">
        <f t="shared" si="10"/>
        <v>0</v>
      </c>
      <c r="G43" s="225">
        <f t="shared" si="10"/>
        <v>0</v>
      </c>
      <c r="H43" s="225">
        <f t="shared" si="10"/>
        <v>0</v>
      </c>
      <c r="I43" s="225">
        <f t="shared" si="10"/>
        <v>0</v>
      </c>
      <c r="J43" s="225">
        <f t="shared" si="10"/>
        <v>0</v>
      </c>
      <c r="K43" s="225">
        <f t="shared" si="10"/>
        <v>0</v>
      </c>
      <c r="L43" s="225">
        <f t="shared" si="10"/>
        <v>0</v>
      </c>
      <c r="M43" s="225">
        <f t="shared" si="10"/>
        <v>0</v>
      </c>
      <c r="N43" s="225">
        <f t="shared" si="10"/>
        <v>0</v>
      </c>
      <c r="O43" s="225">
        <f t="shared" si="10"/>
        <v>0</v>
      </c>
      <c r="P43" s="225">
        <f t="shared" si="10"/>
        <v>17478.171875</v>
      </c>
      <c r="Q43" s="225">
        <f t="shared" si="10"/>
        <v>5243.4515625000004</v>
      </c>
      <c r="R43" s="225">
        <f t="shared" si="10"/>
        <v>5243.4515625000004</v>
      </c>
      <c r="S43" s="225">
        <f t="shared" si="10"/>
        <v>6991.2687500000002</v>
      </c>
      <c r="T43" s="225">
        <f t="shared" si="10"/>
        <v>6991.2687500000002</v>
      </c>
      <c r="U43" s="225">
        <f t="shared" si="10"/>
        <v>6991.2687500000002</v>
      </c>
      <c r="V43" s="225">
        <f t="shared" si="10"/>
        <v>6991.2687500000002</v>
      </c>
      <c r="W43" s="225">
        <f t="shared" si="10"/>
        <v>6991.2687500000002</v>
      </c>
      <c r="X43" s="225">
        <f t="shared" si="10"/>
        <v>6991.2687500000002</v>
      </c>
      <c r="Y43" s="225">
        <f t="shared" si="10"/>
        <v>6991.2687500000002</v>
      </c>
      <c r="Z43" s="225">
        <f t="shared" si="10"/>
        <v>6991.2687500000002</v>
      </c>
      <c r="AA43" s="225">
        <f t="shared" si="10"/>
        <v>6991.2687500000002</v>
      </c>
      <c r="AB43" s="225">
        <f t="shared" si="10"/>
        <v>6991.2687500000002</v>
      </c>
      <c r="AC43" s="225">
        <f t="shared" si="10"/>
        <v>6991.2687500000002</v>
      </c>
      <c r="AD43" s="225">
        <f t="shared" si="10"/>
        <v>6991.2687500000002</v>
      </c>
      <c r="AE43" s="225">
        <f t="shared" si="10"/>
        <v>6991.2687500000002</v>
      </c>
      <c r="AF43" s="225">
        <f t="shared" si="10"/>
        <v>6991.2687500000002</v>
      </c>
      <c r="AG43" s="225">
        <f t="shared" si="10"/>
        <v>6991.2687500000002</v>
      </c>
      <c r="AH43" s="225">
        <f t="shared" si="10"/>
        <v>6991.2687500000002</v>
      </c>
      <c r="AI43" s="225">
        <f t="shared" si="10"/>
        <v>6991.2687500000002</v>
      </c>
      <c r="AJ43" s="225">
        <f t="shared" si="10"/>
        <v>6991.2687500000002</v>
      </c>
      <c r="AK43" s="225">
        <f t="shared" si="10"/>
        <v>6991.2687500000002</v>
      </c>
      <c r="AL43" s="225">
        <f t="shared" si="10"/>
        <v>6991.2687500000002</v>
      </c>
      <c r="AM43" s="227">
        <f t="shared" si="9"/>
        <v>167790.44999999998</v>
      </c>
      <c r="AN43" s="225">
        <f t="shared" si="5"/>
        <v>1747.8171874999998</v>
      </c>
      <c r="AO43" s="233">
        <f t="shared" si="6"/>
        <v>1.2499999999999999E-2</v>
      </c>
      <c r="AP43" s="314"/>
    </row>
    <row r="44" spans="1:128">
      <c r="A44" s="200"/>
      <c r="B44" s="216" t="s">
        <v>34</v>
      </c>
      <c r="C44" s="225"/>
      <c r="D44" s="225"/>
      <c r="E44" s="225"/>
      <c r="F44" s="225"/>
      <c r="G44" s="225"/>
      <c r="H44" s="225"/>
      <c r="I44" s="225">
        <f>CLPts*SUM(I28:M28)</f>
        <v>14400</v>
      </c>
      <c r="J44" s="225"/>
      <c r="K44" s="225">
        <f>CLPts*K29</f>
        <v>9787.7762500000008</v>
      </c>
      <c r="L44" s="225">
        <f t="shared" ref="L44:AL44" si="11">CLPts*L29</f>
        <v>0</v>
      </c>
      <c r="M44" s="225">
        <f t="shared" si="11"/>
        <v>3355.8090000000002</v>
      </c>
      <c r="N44" s="225">
        <f t="shared" si="11"/>
        <v>4474.4120000000003</v>
      </c>
      <c r="O44" s="225">
        <f t="shared" si="11"/>
        <v>4474.4120000000003</v>
      </c>
      <c r="P44" s="225">
        <f t="shared" si="11"/>
        <v>4474.4120000000003</v>
      </c>
      <c r="Q44" s="225">
        <f t="shared" si="11"/>
        <v>4474.4120000000003</v>
      </c>
      <c r="R44" s="225">
        <f t="shared" si="11"/>
        <v>4474.4120000000003</v>
      </c>
      <c r="S44" s="225">
        <f t="shared" si="11"/>
        <v>4474.4120000000003</v>
      </c>
      <c r="T44" s="225">
        <f t="shared" si="11"/>
        <v>4474.4120000000003</v>
      </c>
      <c r="U44" s="225">
        <f t="shared" si="11"/>
        <v>4474.4120000000003</v>
      </c>
      <c r="V44" s="225">
        <f t="shared" si="11"/>
        <v>4474.4120000000003</v>
      </c>
      <c r="W44" s="225">
        <f t="shared" si="11"/>
        <v>4474.4120000000003</v>
      </c>
      <c r="X44" s="225">
        <f t="shared" si="11"/>
        <v>4474.4120000000003</v>
      </c>
      <c r="Y44" s="225">
        <f t="shared" si="11"/>
        <v>4474.4120000000003</v>
      </c>
      <c r="Z44" s="225">
        <f t="shared" si="11"/>
        <v>4474.4120000000003</v>
      </c>
      <c r="AA44" s="225">
        <f t="shared" si="11"/>
        <v>4474.4120000000003</v>
      </c>
      <c r="AB44" s="225">
        <f t="shared" si="11"/>
        <v>4474.4120000000003</v>
      </c>
      <c r="AC44" s="225">
        <f t="shared" si="11"/>
        <v>4474.4120000000003</v>
      </c>
      <c r="AD44" s="225">
        <f t="shared" si="11"/>
        <v>4474.4120000000003</v>
      </c>
      <c r="AE44" s="225">
        <f t="shared" si="11"/>
        <v>4474.4120000000003</v>
      </c>
      <c r="AF44" s="225">
        <f t="shared" si="11"/>
        <v>4474.4120000000003</v>
      </c>
      <c r="AG44" s="225">
        <f t="shared" si="11"/>
        <v>4474.4120000000003</v>
      </c>
      <c r="AH44" s="225">
        <f t="shared" si="11"/>
        <v>0</v>
      </c>
      <c r="AI44" s="225">
        <f t="shared" si="11"/>
        <v>0</v>
      </c>
      <c r="AJ44" s="225">
        <f t="shared" si="11"/>
        <v>0</v>
      </c>
      <c r="AK44" s="225">
        <f t="shared" si="11"/>
        <v>0</v>
      </c>
      <c r="AL44" s="225">
        <f t="shared" si="11"/>
        <v>0</v>
      </c>
      <c r="AM44" s="227">
        <f t="shared" si="9"/>
        <v>117031.82524999995</v>
      </c>
      <c r="AN44" s="225">
        <f t="shared" si="5"/>
        <v>1219.0815130208327</v>
      </c>
      <c r="AO44" s="229">
        <f t="shared" si="6"/>
        <v>8.7185999896001194E-3</v>
      </c>
    </row>
    <row r="45" spans="1:128">
      <c r="A45" s="200"/>
      <c r="B45" s="216" t="s">
        <v>28</v>
      </c>
      <c r="C45" s="225"/>
      <c r="D45" s="225"/>
      <c r="E45" s="225"/>
      <c r="F45" s="225"/>
      <c r="G45" s="225"/>
      <c r="H45" s="225"/>
      <c r="I45" s="225">
        <f>+I69</f>
        <v>0</v>
      </c>
      <c r="J45" s="225">
        <f>+J69</f>
        <v>5023.3048258487652</v>
      </c>
      <c r="K45" s="225">
        <f t="shared" ref="K45:AL45" si="12">+K69</f>
        <v>6804.4703570216043</v>
      </c>
      <c r="L45" s="225">
        <f t="shared" si="12"/>
        <v>11251.668952226855</v>
      </c>
      <c r="M45" s="225">
        <f t="shared" si="12"/>
        <v>13229.949928560285</v>
      </c>
      <c r="N45" s="225">
        <f t="shared" si="12"/>
        <v>16131.433139253533</v>
      </c>
      <c r="O45" s="225">
        <f t="shared" si="12"/>
        <v>18828.526256444366</v>
      </c>
      <c r="P45" s="225">
        <f t="shared" si="12"/>
        <v>21953.516873801349</v>
      </c>
      <c r="Q45" s="225">
        <f t="shared" si="12"/>
        <v>25745.900645633446</v>
      </c>
      <c r="R45" s="225">
        <f t="shared" si="12"/>
        <v>19634.323015747348</v>
      </c>
      <c r="S45" s="225">
        <f t="shared" si="12"/>
        <v>22601.186290542122</v>
      </c>
      <c r="T45" s="225">
        <f t="shared" si="12"/>
        <v>22797.238585010346</v>
      </c>
      <c r="U45" s="225">
        <f t="shared" si="12"/>
        <v>21852.82694217786</v>
      </c>
      <c r="V45" s="225">
        <f t="shared" si="12"/>
        <v>20899.758192619411</v>
      </c>
      <c r="W45" s="225">
        <f t="shared" si="12"/>
        <v>19937.952979523343</v>
      </c>
      <c r="X45" s="225">
        <f t="shared" si="12"/>
        <v>18967.331218640564</v>
      </c>
      <c r="Y45" s="225">
        <f t="shared" si="12"/>
        <v>17987.812091616357</v>
      </c>
      <c r="Z45" s="225">
        <f t="shared" si="12"/>
        <v>16999.314039261091</v>
      </c>
      <c r="AA45" s="225">
        <f t="shared" si="12"/>
        <v>16001.754754759238</v>
      </c>
      <c r="AB45" s="225">
        <f t="shared" si="12"/>
        <v>14995.05117681612</v>
      </c>
      <c r="AC45" s="225">
        <f t="shared" si="12"/>
        <v>13979.119482741855</v>
      </c>
      <c r="AD45" s="225">
        <f t="shared" si="12"/>
        <v>12953.87508147191</v>
      </c>
      <c r="AE45" s="225">
        <f t="shared" si="12"/>
        <v>11919.232606523656</v>
      </c>
      <c r="AF45" s="225">
        <f t="shared" si="12"/>
        <v>11773.43924222171</v>
      </c>
      <c r="AG45" s="225">
        <f t="shared" si="12"/>
        <v>11387.976105413662</v>
      </c>
      <c r="AH45" s="225">
        <f t="shared" si="12"/>
        <v>10998.979556518207</v>
      </c>
      <c r="AI45" s="225">
        <f t="shared" si="12"/>
        <v>9916.0598807718943</v>
      </c>
      <c r="AJ45" s="225">
        <f t="shared" si="12"/>
        <v>8498.5425004215813</v>
      </c>
      <c r="AK45" s="225">
        <f t="shared" si="12"/>
        <v>6418.6893289320715</v>
      </c>
      <c r="AL45" s="225">
        <f t="shared" si="12"/>
        <v>3670.4289548845909</v>
      </c>
      <c r="AM45" s="227">
        <f t="shared" si="9"/>
        <v>433159.66300540516</v>
      </c>
      <c r="AN45" s="225">
        <f t="shared" si="5"/>
        <v>4512.0798229729708</v>
      </c>
      <c r="AO45" s="229">
        <f t="shared" si="6"/>
        <v>3.2269391896663752E-2</v>
      </c>
      <c r="AP45" s="207">
        <f>+AM45+AM44</f>
        <v>550191.4882554051</v>
      </c>
    </row>
    <row r="46" spans="1:128">
      <c r="A46" s="200"/>
      <c r="B46" s="218" t="s">
        <v>29</v>
      </c>
      <c r="C46" s="230"/>
      <c r="D46" s="230"/>
      <c r="E46" s="230"/>
      <c r="F46" s="230"/>
      <c r="G46" s="230"/>
      <c r="H46" s="230"/>
      <c r="I46" s="230"/>
      <c r="J46" s="230"/>
      <c r="K46" s="230"/>
      <c r="L46" s="230"/>
      <c r="M46" s="230"/>
      <c r="N46" s="230"/>
      <c r="O46" s="230"/>
      <c r="P46" s="230"/>
      <c r="Q46" s="230"/>
      <c r="R46" s="230"/>
      <c r="S46" s="230"/>
      <c r="T46" s="230"/>
      <c r="U46" s="230"/>
      <c r="V46" s="230"/>
      <c r="W46" s="230"/>
      <c r="X46" s="230"/>
      <c r="Y46" s="230"/>
      <c r="Z46" s="230"/>
      <c r="AA46" s="230"/>
      <c r="AB46" s="230"/>
      <c r="AC46" s="230"/>
      <c r="AD46" s="230"/>
      <c r="AE46" s="230"/>
      <c r="AF46" s="230"/>
      <c r="AG46" s="230"/>
      <c r="AH46" s="230"/>
      <c r="AI46" s="230"/>
      <c r="AJ46" s="230"/>
      <c r="AK46" s="230"/>
      <c r="AL46" s="230"/>
      <c r="AM46" s="231">
        <f t="shared" si="9"/>
        <v>0</v>
      </c>
      <c r="AN46" s="230"/>
      <c r="AO46" s="232">
        <f t="shared" si="6"/>
        <v>0</v>
      </c>
    </row>
    <row r="47" spans="1:128">
      <c r="A47" s="200"/>
      <c r="B47" s="214" t="s">
        <v>402</v>
      </c>
      <c r="C47" s="236"/>
      <c r="D47" s="236"/>
      <c r="E47" s="236"/>
      <c r="F47" s="236"/>
      <c r="G47" s="236"/>
      <c r="H47" s="236"/>
      <c r="I47" s="236"/>
      <c r="J47" s="236"/>
      <c r="K47" s="225">
        <f>IF(LotIMPLN-SUM($C47:J47)&lt;LotRel*K23,LotIMPLN-SUM($C47:J47),LotRel*K23)</f>
        <v>180000</v>
      </c>
      <c r="L47" s="225">
        <f>IF(LotIMPLN-SUM($C47:K47)&lt;LotRel*L23,LotIMPLN-SUM($C47:K47),LotRel*L23)</f>
        <v>54000</v>
      </c>
      <c r="M47" s="225">
        <f>IF(LotIMPLN-SUM($C47:L47)&lt;LotRel*M23,LotIMPLN-SUM($C47:L47),LotRel*M23)</f>
        <v>54000</v>
      </c>
      <c r="N47" s="225">
        <f>IF(LotIMPLN-SUM($C47:M47)&lt;LotRel*N23,LotIMPLN-SUM($C47:M47),LotRel*N23)</f>
        <v>72000</v>
      </c>
      <c r="O47" s="225">
        <f>IF(LotIMPLN-SUM($C47:N47)&lt;LotRel*O23,LotIMPLN-SUM($C47:N47),LotRel*O23)</f>
        <v>72000</v>
      </c>
      <c r="P47" s="225">
        <f>IF(LotIMPLN-SUM($C47:O47)&lt;LotRel*P23,LotIMPLN-SUM($C47:O47),LotRel*P23)</f>
        <v>72000</v>
      </c>
      <c r="Q47" s="225">
        <f>IF(LotIMPLN-SUM($C47:P47)&lt;LotRel*Q23,LotIMPLN-SUM($C47:P47),LotRel*Q23)</f>
        <v>72000</v>
      </c>
      <c r="R47" s="225">
        <f>IF(LotIMPLN-SUM($C47:Q47)&lt;LotRel*R23,LotIMPLN-SUM($C47:Q47),LotRel*R23)</f>
        <v>72000</v>
      </c>
      <c r="S47" s="225">
        <f>IF(LotIMPLN-SUM($C47:R47)&lt;LotRel*S23,LotIMPLN-SUM($C47:R47),LotRel*S23)</f>
        <v>72000</v>
      </c>
      <c r="T47" s="225">
        <f>IF(LotIMPLN-SUM($C47:S47)&lt;LotRel*T23,LotIMPLN-SUM($C47:S47),LotRel*T23)</f>
        <v>72000</v>
      </c>
      <c r="U47" s="225">
        <f>IF(LotIMPLN-SUM($C47:T47)&lt;LotRel*U23,LotIMPLN-SUM($C47:T47),LotRel*U23)</f>
        <v>72000</v>
      </c>
      <c r="V47" s="225">
        <f>IF(LotIMPLN-SUM($C47:U47)&lt;LotRel*V23,LotIMPLN-SUM($C47:U47),LotRel*V23)</f>
        <v>72000</v>
      </c>
      <c r="W47" s="225">
        <f>IF(LotIMPLN-SUM($C47:V47)&lt;LotRel*W23,LotIMPLN-SUM($C47:V47),LotRel*W23)</f>
        <v>72000</v>
      </c>
      <c r="X47" s="225">
        <f>IF(LotIMPLN-SUM($C47:W47)&lt;LotRel*X23,LotIMPLN-SUM($C47:W47),LotRel*X23)</f>
        <v>72000</v>
      </c>
      <c r="Y47" s="225">
        <f>IF(LotIMPLN-SUM($C47:X47)&lt;LotRel*Y23,LotIMPLN-SUM($C47:X47),LotRel*Y23)</f>
        <v>72000</v>
      </c>
      <c r="Z47" s="225">
        <f>IF(LotIMPLN-SUM($C47:Y47)&lt;LotRel*Z23,LotIMPLN-SUM($C47:Y47),LotRel*Z23)</f>
        <v>72000</v>
      </c>
      <c r="AA47" s="225">
        <f>IF(LotIMPLN-SUM($C47:Z47)&lt;LotRel*AA23,LotIMPLN-SUM($C47:Z47),LotRel*AA23)</f>
        <v>72000</v>
      </c>
      <c r="AB47" s="225">
        <f>IF(LotIMPLN-SUM($C47:AA47)&lt;LotRel*AB23,LotIMPLN-SUM($C47:AA47),LotRel*AB23)</f>
        <v>72000</v>
      </c>
      <c r="AC47" s="225">
        <f>IF(LotIMPLN-SUM($C47:AB47)&lt;LotRel*AC23,LotIMPLN-SUM($C47:AB47),LotRel*AC23)</f>
        <v>72000</v>
      </c>
      <c r="AD47" s="225">
        <f>IF(LotIMPLN-SUM($C47:AC47)&lt;LotRel*AD23,LotIMPLN-SUM($C47:AC47),LotRel*AD23)</f>
        <v>0</v>
      </c>
      <c r="AE47" s="225">
        <f>IF(LotIMPLN-SUM($C47:AD47)&lt;LotRel*AE23,LotIMPLN-SUM($C47:AD47),LotRel*AE23)</f>
        <v>0</v>
      </c>
      <c r="AF47" s="225">
        <f>IF(LotIMPLN-SUM($C47:AE47)&lt;LotRel*AF23,LotIMPLN-SUM($C47:AE47),LotRel*AF23)</f>
        <v>0</v>
      </c>
      <c r="AG47" s="225">
        <f>IF(LotIMPLN-SUM($C47:AF47)&lt;LotRel*AG23,LotIMPLN-SUM($C47:AF47),LotRel*AG23)</f>
        <v>0</v>
      </c>
      <c r="AH47" s="225">
        <f>IF(LotIMPLN-SUM($C47:AG47)&lt;-LotRel*AH23,LotIMPLN-SUM($C47:AG47),-LotRel*AH23)</f>
        <v>0</v>
      </c>
      <c r="AI47" s="225">
        <f>IF(LotIMPLN-SUM($C47:AH47)&lt;-LotRel*AI23,LotIMPLN-SUM($C47:AH47),-LotRel*AI23)</f>
        <v>0</v>
      </c>
      <c r="AJ47" s="225">
        <f>IF(LotIMPLN-SUM($C47:AI47)&lt;-LotRel*AJ23,LotIMPLN-SUM($C47:AI47),-LotRel*AJ23)</f>
        <v>0</v>
      </c>
      <c r="AK47" s="225">
        <f>IF(LotIMPLN-SUM($C47:AJ47)&lt;-LotRel*AK23,LotIMPLN-SUM($C47:AJ47),-LotRel*AK23)</f>
        <v>0</v>
      </c>
      <c r="AL47" s="225">
        <f>IF(LotIMPLN-SUM($C47:AK47)&lt;-LotRel*AL23,LotIMPLN-SUM($C47:AK47),-LotRel*AL23)</f>
        <v>0</v>
      </c>
      <c r="AM47" s="227">
        <f t="shared" si="9"/>
        <v>1440000</v>
      </c>
      <c r="AN47" s="225">
        <f>+AM46/TLU</f>
        <v>0</v>
      </c>
      <c r="AO47" s="229">
        <f t="shared" si="6"/>
        <v>0.10727666562667899</v>
      </c>
      <c r="AP47" s="208"/>
      <c r="AQ47" s="208"/>
      <c r="AR47" s="208"/>
      <c r="AS47" s="208"/>
      <c r="AT47" s="208"/>
      <c r="AU47" s="208"/>
      <c r="AV47" s="208"/>
      <c r="AW47" s="208"/>
      <c r="AX47" s="208"/>
      <c r="AY47" s="208"/>
      <c r="AZ47" s="208"/>
      <c r="BA47" s="208"/>
      <c r="BB47" s="208"/>
      <c r="BC47" s="208"/>
      <c r="BD47" s="208"/>
      <c r="BE47" s="208"/>
      <c r="BF47" s="208"/>
      <c r="BG47" s="208"/>
      <c r="BH47" s="208"/>
      <c r="BI47" s="208"/>
      <c r="BJ47" s="208"/>
      <c r="BK47" s="208"/>
      <c r="BL47" s="208"/>
      <c r="BM47" s="208"/>
      <c r="BN47" s="208"/>
      <c r="BO47" s="208"/>
      <c r="BP47" s="208"/>
      <c r="BQ47" s="208"/>
      <c r="BR47" s="208"/>
      <c r="BS47" s="208"/>
      <c r="BT47" s="208"/>
      <c r="BU47" s="208"/>
      <c r="BV47" s="208"/>
      <c r="BW47" s="208"/>
      <c r="BX47" s="208"/>
      <c r="BY47" s="208"/>
      <c r="BZ47" s="208"/>
      <c r="CA47" s="208"/>
      <c r="CB47" s="208"/>
      <c r="CC47" s="208"/>
      <c r="CD47" s="208"/>
      <c r="CE47" s="208"/>
      <c r="CF47" s="208"/>
      <c r="CG47" s="208"/>
      <c r="CH47" s="208"/>
      <c r="CI47" s="208"/>
      <c r="CJ47" s="208"/>
      <c r="CK47" s="208"/>
      <c r="CL47" s="208"/>
      <c r="CM47" s="208"/>
      <c r="CN47" s="208"/>
      <c r="CO47" s="208"/>
      <c r="CP47" s="208"/>
      <c r="CQ47" s="208"/>
      <c r="CR47" s="208"/>
      <c r="CS47" s="208"/>
      <c r="CT47" s="208"/>
      <c r="CU47" s="208"/>
      <c r="CV47" s="208"/>
      <c r="CW47" s="208"/>
      <c r="CX47" s="208"/>
      <c r="CY47" s="208"/>
      <c r="CZ47" s="208"/>
      <c r="DA47" s="208"/>
      <c r="DB47" s="208"/>
      <c r="DC47" s="208"/>
      <c r="DD47" s="208"/>
      <c r="DE47" s="208"/>
      <c r="DF47" s="208"/>
      <c r="DG47" s="208"/>
      <c r="DH47" s="208"/>
      <c r="DI47" s="208"/>
      <c r="DJ47" s="208"/>
      <c r="DK47" s="208"/>
      <c r="DL47" s="208"/>
      <c r="DM47" s="208"/>
      <c r="DN47" s="208"/>
      <c r="DO47" s="208"/>
      <c r="DP47" s="208"/>
      <c r="DQ47" s="208"/>
      <c r="DR47" s="208"/>
      <c r="DS47" s="208"/>
      <c r="DT47" s="208"/>
      <c r="DU47" s="208"/>
      <c r="DV47" s="208"/>
      <c r="DW47" s="208"/>
      <c r="DX47" s="208"/>
    </row>
    <row r="48" spans="1:128">
      <c r="A48" s="200"/>
      <c r="B48" s="214" t="s">
        <v>403</v>
      </c>
      <c r="C48" s="225"/>
      <c r="D48" s="225"/>
      <c r="E48" s="225"/>
      <c r="F48" s="225"/>
      <c r="G48" s="225"/>
      <c r="H48" s="225"/>
      <c r="I48" s="225"/>
      <c r="J48" s="225"/>
      <c r="K48" s="234"/>
      <c r="L48" s="225"/>
      <c r="M48" s="225"/>
      <c r="N48" s="225"/>
      <c r="O48" s="225"/>
      <c r="P48" s="225">
        <f>K30</f>
        <v>978777.625</v>
      </c>
      <c r="Q48" s="225">
        <f t="shared" ref="Q48:AL48" si="13">L30</f>
        <v>0</v>
      </c>
      <c r="R48" s="225">
        <f t="shared" si="13"/>
        <v>335580.9</v>
      </c>
      <c r="S48" s="225">
        <f t="shared" si="13"/>
        <v>447441.2</v>
      </c>
      <c r="T48" s="225">
        <f t="shared" si="13"/>
        <v>447441.2</v>
      </c>
      <c r="U48" s="225">
        <f t="shared" si="13"/>
        <v>447441.2</v>
      </c>
      <c r="V48" s="225">
        <f t="shared" si="13"/>
        <v>447441.2</v>
      </c>
      <c r="W48" s="225">
        <f t="shared" si="13"/>
        <v>447441.2</v>
      </c>
      <c r="X48" s="225">
        <f t="shared" si="13"/>
        <v>447441.2</v>
      </c>
      <c r="Y48" s="225">
        <f t="shared" si="13"/>
        <v>447441.2</v>
      </c>
      <c r="Z48" s="225">
        <f t="shared" si="13"/>
        <v>447441.2</v>
      </c>
      <c r="AA48" s="225">
        <f t="shared" si="13"/>
        <v>447441.2</v>
      </c>
      <c r="AB48" s="225">
        <f t="shared" si="13"/>
        <v>447441.2</v>
      </c>
      <c r="AC48" s="225">
        <f t="shared" si="13"/>
        <v>447441.2</v>
      </c>
      <c r="AD48" s="225">
        <f t="shared" si="13"/>
        <v>447441.2</v>
      </c>
      <c r="AE48" s="225">
        <f t="shared" si="13"/>
        <v>447441.2</v>
      </c>
      <c r="AF48" s="225">
        <f t="shared" si="13"/>
        <v>447441.2</v>
      </c>
      <c r="AG48" s="225">
        <f t="shared" si="13"/>
        <v>447441.2</v>
      </c>
      <c r="AH48" s="225">
        <f t="shared" si="13"/>
        <v>447441.2</v>
      </c>
      <c r="AI48" s="225">
        <f t="shared" si="13"/>
        <v>447441.2</v>
      </c>
      <c r="AJ48" s="225">
        <f t="shared" si="13"/>
        <v>447441.2</v>
      </c>
      <c r="AK48" s="225">
        <f t="shared" si="13"/>
        <v>447441.2</v>
      </c>
      <c r="AL48" s="225">
        <f t="shared" si="13"/>
        <v>447441.2</v>
      </c>
      <c r="AM48" s="227">
        <f t="shared" si="9"/>
        <v>10263182.524999999</v>
      </c>
      <c r="AN48" s="225">
        <f t="shared" si="5"/>
        <v>106908.15130208332</v>
      </c>
      <c r="AO48" s="229">
        <f t="shared" si="6"/>
        <v>0.76458333333333317</v>
      </c>
    </row>
    <row r="49" spans="1:41">
      <c r="A49" s="200"/>
      <c r="B49" s="219" t="s">
        <v>36</v>
      </c>
      <c r="C49" s="225"/>
      <c r="D49" s="225"/>
      <c r="E49" s="225"/>
      <c r="F49" s="225"/>
      <c r="G49" s="225"/>
      <c r="H49" s="225"/>
      <c r="I49" s="225"/>
      <c r="J49" s="225"/>
      <c r="K49" s="225"/>
      <c r="L49" s="225"/>
      <c r="M49" s="225"/>
      <c r="N49" s="225"/>
      <c r="O49" s="225"/>
      <c r="P49" s="225">
        <f>Totequity/TLU*P24</f>
        <v>72916.666666666672</v>
      </c>
      <c r="Q49" s="225">
        <f t="shared" ref="Q49:AL49" si="14">Totequity/TLU*Q24</f>
        <v>21875</v>
      </c>
      <c r="R49" s="225">
        <f t="shared" si="14"/>
        <v>21875</v>
      </c>
      <c r="S49" s="225">
        <f t="shared" si="14"/>
        <v>29166.666666666668</v>
      </c>
      <c r="T49" s="225">
        <f t="shared" si="14"/>
        <v>29166.666666666668</v>
      </c>
      <c r="U49" s="225">
        <f t="shared" si="14"/>
        <v>29166.666666666668</v>
      </c>
      <c r="V49" s="225">
        <f t="shared" si="14"/>
        <v>29166.666666666668</v>
      </c>
      <c r="W49" s="225">
        <f t="shared" si="14"/>
        <v>29166.666666666668</v>
      </c>
      <c r="X49" s="225">
        <f t="shared" si="14"/>
        <v>29166.666666666668</v>
      </c>
      <c r="Y49" s="225">
        <f t="shared" si="14"/>
        <v>29166.666666666668</v>
      </c>
      <c r="Z49" s="225">
        <f t="shared" si="14"/>
        <v>29166.666666666668</v>
      </c>
      <c r="AA49" s="225">
        <f t="shared" si="14"/>
        <v>29166.666666666668</v>
      </c>
      <c r="AB49" s="225">
        <f t="shared" si="14"/>
        <v>29166.666666666668</v>
      </c>
      <c r="AC49" s="225">
        <f t="shared" si="14"/>
        <v>29166.666666666668</v>
      </c>
      <c r="AD49" s="225">
        <f t="shared" si="14"/>
        <v>29166.666666666668</v>
      </c>
      <c r="AE49" s="225">
        <f t="shared" si="14"/>
        <v>29166.666666666668</v>
      </c>
      <c r="AF49" s="225">
        <f t="shared" si="14"/>
        <v>29166.666666666668</v>
      </c>
      <c r="AG49" s="225">
        <f t="shared" si="14"/>
        <v>29166.666666666668</v>
      </c>
      <c r="AH49" s="225">
        <f t="shared" si="14"/>
        <v>29166.666666666668</v>
      </c>
      <c r="AI49" s="225">
        <f t="shared" si="14"/>
        <v>29166.666666666668</v>
      </c>
      <c r="AJ49" s="225">
        <f t="shared" si="14"/>
        <v>29166.666666666668</v>
      </c>
      <c r="AK49" s="225">
        <f t="shared" si="14"/>
        <v>29166.666666666668</v>
      </c>
      <c r="AL49" s="225">
        <f t="shared" si="14"/>
        <v>29166.666666666668</v>
      </c>
      <c r="AM49" s="227">
        <f t="shared" si="9"/>
        <v>699999.99999999988</v>
      </c>
      <c r="AN49" s="225">
        <f t="shared" si="5"/>
        <v>7291.6666666666652</v>
      </c>
      <c r="AO49" s="229">
        <f t="shared" si="6"/>
        <v>5.2148379124080053E-2</v>
      </c>
    </row>
    <row r="50" spans="1:41" ht="12.75" thickBot="1">
      <c r="A50" s="200"/>
      <c r="B50" s="219" t="s">
        <v>25</v>
      </c>
      <c r="C50" s="240" t="s">
        <v>24</v>
      </c>
      <c r="D50" s="240" t="s">
        <v>24</v>
      </c>
      <c r="E50" s="240" t="s">
        <v>24</v>
      </c>
      <c r="F50" s="240"/>
      <c r="G50" s="240"/>
      <c r="H50" s="240"/>
      <c r="I50" s="240" t="s">
        <v>24</v>
      </c>
      <c r="J50" s="240"/>
      <c r="K50" s="240"/>
      <c r="L50" s="240"/>
      <c r="M50" s="240"/>
      <c r="N50" s="240"/>
      <c r="O50" s="240"/>
      <c r="P50" s="240"/>
      <c r="Q50" s="240"/>
      <c r="R50" s="240"/>
      <c r="S50" s="240"/>
      <c r="T50" s="240"/>
      <c r="U50" s="240"/>
      <c r="V50" s="240"/>
      <c r="W50" s="240"/>
      <c r="X50" s="240"/>
      <c r="Y50" s="240"/>
      <c r="Z50" s="240"/>
      <c r="AA50" s="240"/>
      <c r="AB50" s="240"/>
      <c r="AC50" s="240"/>
      <c r="AD50" s="240"/>
      <c r="AE50" s="240"/>
      <c r="AF50" s="240"/>
      <c r="AG50" s="240"/>
      <c r="AH50" s="240"/>
      <c r="AI50" s="240"/>
      <c r="AJ50" s="240"/>
      <c r="AK50" s="240"/>
      <c r="AL50" s="240"/>
      <c r="AM50" s="241">
        <f t="shared" si="9"/>
        <v>0</v>
      </c>
      <c r="AN50" s="240">
        <f t="shared" si="5"/>
        <v>0</v>
      </c>
      <c r="AO50" s="242">
        <f t="shared" si="6"/>
        <v>0</v>
      </c>
    </row>
    <row r="51" spans="1:41" ht="12.75" thickBot="1">
      <c r="A51" s="200"/>
      <c r="B51" s="276" t="s">
        <v>30</v>
      </c>
      <c r="C51" s="278">
        <f>SUM(C37:C50)</f>
        <v>49475</v>
      </c>
      <c r="D51" s="278">
        <f t="shared" ref="D51:AN51" si="15">SUM(D37:D50)</f>
        <v>39475</v>
      </c>
      <c r="E51" s="278">
        <f t="shared" si="15"/>
        <v>23737.5</v>
      </c>
      <c r="F51" s="278">
        <f t="shared" si="15"/>
        <v>23737.5</v>
      </c>
      <c r="G51" s="278">
        <f t="shared" si="15"/>
        <v>23737.5</v>
      </c>
      <c r="H51" s="278">
        <f t="shared" si="15"/>
        <v>23737.5</v>
      </c>
      <c r="I51" s="278">
        <f t="shared" si="15"/>
        <v>818381.72527777776</v>
      </c>
      <c r="J51" s="278">
        <f t="shared" si="15"/>
        <v>199332.27186288577</v>
      </c>
      <c r="K51" s="278">
        <f t="shared" si="15"/>
        <v>665148.93765875464</v>
      </c>
      <c r="L51" s="278">
        <f t="shared" si="15"/>
        <v>449812.47014546511</v>
      </c>
      <c r="M51" s="278">
        <f t="shared" si="15"/>
        <v>424525.44116653613</v>
      </c>
      <c r="N51" s="278">
        <f t="shared" si="15"/>
        <v>420228.34005718189</v>
      </c>
      <c r="O51" s="278">
        <f t="shared" si="15"/>
        <v>484908.06734803476</v>
      </c>
      <c r="P51" s="278">
        <f t="shared" si="15"/>
        <v>1609408.8849574409</v>
      </c>
      <c r="Q51" s="278">
        <f t="shared" si="15"/>
        <v>477935.06537606177</v>
      </c>
      <c r="R51" s="278">
        <f t="shared" si="15"/>
        <v>825113.71179579338</v>
      </c>
      <c r="S51" s="278">
        <f t="shared" si="15"/>
        <v>977576.28969956364</v>
      </c>
      <c r="T51" s="278">
        <f t="shared" si="15"/>
        <v>965022.34199403191</v>
      </c>
      <c r="U51" s="278">
        <f t="shared" si="15"/>
        <v>964077.93035119947</v>
      </c>
      <c r="V51" s="278">
        <f t="shared" si="15"/>
        <v>963124.86160164105</v>
      </c>
      <c r="W51" s="278">
        <f t="shared" si="15"/>
        <v>962163.05638854497</v>
      </c>
      <c r="X51" s="278">
        <f t="shared" si="15"/>
        <v>961192.43462766206</v>
      </c>
      <c r="Y51" s="278">
        <f t="shared" si="15"/>
        <v>960212.91550063796</v>
      </c>
      <c r="Z51" s="278">
        <f t="shared" si="15"/>
        <v>959224.41744828259</v>
      </c>
      <c r="AA51" s="278">
        <f t="shared" si="15"/>
        <v>958226.85816378088</v>
      </c>
      <c r="AB51" s="278">
        <f t="shared" si="15"/>
        <v>957220.15458583774</v>
      </c>
      <c r="AC51" s="278">
        <f t="shared" si="15"/>
        <v>956204.22289176343</v>
      </c>
      <c r="AD51" s="278">
        <f t="shared" si="15"/>
        <v>883178.97849049349</v>
      </c>
      <c r="AE51" s="278">
        <f t="shared" si="15"/>
        <v>908144.33601554518</v>
      </c>
      <c r="AF51" s="278">
        <f t="shared" si="15"/>
        <v>881998.54265124328</v>
      </c>
      <c r="AG51" s="278">
        <f t="shared" si="15"/>
        <v>881613.07951443514</v>
      </c>
      <c r="AH51" s="278">
        <f t="shared" si="15"/>
        <v>805912.37476706877</v>
      </c>
      <c r="AI51" s="278">
        <f t="shared" si="15"/>
        <v>769410.80699208693</v>
      </c>
      <c r="AJ51" s="278">
        <f t="shared" si="15"/>
        <v>697155.99341326568</v>
      </c>
      <c r="AK51" s="278">
        <f t="shared" si="15"/>
        <v>624238.84404330514</v>
      </c>
      <c r="AL51" s="278">
        <f t="shared" si="15"/>
        <v>557586.62080412009</v>
      </c>
      <c r="AM51" s="278">
        <f t="shared" si="15"/>
        <v>24152179.975590438</v>
      </c>
      <c r="AN51" s="278">
        <f t="shared" si="15"/>
        <v>236585.20807906703</v>
      </c>
      <c r="AO51" s="281">
        <f t="shared" si="6"/>
        <v>1.7992814829144357</v>
      </c>
    </row>
    <row r="52" spans="1:41" ht="12.75" thickBot="1">
      <c r="A52" s="200"/>
      <c r="B52" s="204"/>
      <c r="C52" s="246"/>
      <c r="D52" s="246"/>
      <c r="E52" s="246"/>
      <c r="F52" s="246"/>
      <c r="G52" s="246"/>
      <c r="H52" s="246"/>
      <c r="I52" s="246"/>
      <c r="J52" s="246"/>
      <c r="K52" s="246"/>
      <c r="L52" s="246"/>
      <c r="M52" s="246"/>
      <c r="N52" s="246"/>
      <c r="O52" s="246"/>
      <c r="P52" s="246"/>
      <c r="Q52" s="246"/>
      <c r="R52" s="246"/>
      <c r="S52" s="246"/>
      <c r="T52" s="246"/>
      <c r="U52" s="246"/>
      <c r="V52" s="246"/>
      <c r="W52" s="246"/>
      <c r="X52" s="246"/>
      <c r="Y52" s="246"/>
      <c r="Z52" s="246"/>
      <c r="AA52" s="246"/>
      <c r="AB52" s="246"/>
      <c r="AC52" s="246"/>
      <c r="AD52" s="246"/>
      <c r="AE52" s="246"/>
      <c r="AF52" s="246"/>
      <c r="AG52" s="246"/>
      <c r="AH52" s="246"/>
      <c r="AI52" s="246"/>
      <c r="AJ52" s="246"/>
      <c r="AK52" s="246"/>
      <c r="AL52" s="246"/>
      <c r="AM52" s="246"/>
      <c r="AN52" s="246"/>
      <c r="AO52" s="247"/>
    </row>
    <row r="53" spans="1:41" ht="12.75" thickBot="1">
      <c r="A53" s="200"/>
      <c r="B53" s="277" t="s">
        <v>31</v>
      </c>
      <c r="C53" s="287">
        <f>C34-C51</f>
        <v>650525</v>
      </c>
      <c r="D53" s="287">
        <f t="shared" ref="D53:AL53" si="16">D34-D51</f>
        <v>-39475</v>
      </c>
      <c r="E53" s="287">
        <f t="shared" si="16"/>
        <v>-23737.5</v>
      </c>
      <c r="F53" s="287">
        <f t="shared" si="16"/>
        <v>-23737.5</v>
      </c>
      <c r="G53" s="287">
        <f t="shared" si="16"/>
        <v>-23737.5</v>
      </c>
      <c r="H53" s="287">
        <f t="shared" si="16"/>
        <v>-23737.5</v>
      </c>
      <c r="I53" s="287">
        <f t="shared" si="16"/>
        <v>621618.27472222224</v>
      </c>
      <c r="J53" s="287">
        <f t="shared" si="16"/>
        <v>-199332.27186288577</v>
      </c>
      <c r="K53" s="287">
        <f t="shared" si="16"/>
        <v>313628.68734124536</v>
      </c>
      <c r="L53" s="287">
        <f t="shared" si="16"/>
        <v>-449812.47014546511</v>
      </c>
      <c r="M53" s="287">
        <f t="shared" si="16"/>
        <v>-88944.541166536103</v>
      </c>
      <c r="N53" s="287">
        <f t="shared" si="16"/>
        <v>27212.859942818119</v>
      </c>
      <c r="O53" s="287">
        <f t="shared" si="16"/>
        <v>-37466.86734803475</v>
      </c>
      <c r="P53" s="287">
        <f t="shared" si="16"/>
        <v>236286.06504255906</v>
      </c>
      <c r="Q53" s="287">
        <f t="shared" si="16"/>
        <v>388982.25962393818</v>
      </c>
      <c r="R53" s="287">
        <f t="shared" si="16"/>
        <v>41803.613204206573</v>
      </c>
      <c r="S53" s="287">
        <f t="shared" si="16"/>
        <v>29166.410300436313</v>
      </c>
      <c r="T53" s="287">
        <f t="shared" si="16"/>
        <v>41720.358005968039</v>
      </c>
      <c r="U53" s="287">
        <f t="shared" si="16"/>
        <v>42664.769648800488</v>
      </c>
      <c r="V53" s="287">
        <f t="shared" si="16"/>
        <v>43617.838398358901</v>
      </c>
      <c r="W53" s="287">
        <f t="shared" si="16"/>
        <v>44579.643611454987</v>
      </c>
      <c r="X53" s="287">
        <f t="shared" si="16"/>
        <v>45550.26537233789</v>
      </c>
      <c r="Y53" s="287">
        <f t="shared" si="16"/>
        <v>46529.784499361995</v>
      </c>
      <c r="Z53" s="287">
        <f t="shared" si="16"/>
        <v>47518.282551717362</v>
      </c>
      <c r="AA53" s="287">
        <f t="shared" si="16"/>
        <v>48515.841836219071</v>
      </c>
      <c r="AB53" s="287">
        <f t="shared" si="16"/>
        <v>49522.545414162218</v>
      </c>
      <c r="AC53" s="287">
        <f t="shared" si="16"/>
        <v>50538.477108236519</v>
      </c>
      <c r="AD53" s="287">
        <f t="shared" si="16"/>
        <v>123563.72150950646</v>
      </c>
      <c r="AE53" s="287">
        <f t="shared" si="16"/>
        <v>98598.363984454772</v>
      </c>
      <c r="AF53" s="287">
        <f t="shared" si="16"/>
        <v>124744.15734875668</v>
      </c>
      <c r="AG53" s="287">
        <f t="shared" si="16"/>
        <v>125129.62048556481</v>
      </c>
      <c r="AH53" s="287">
        <f t="shared" si="16"/>
        <v>-246610.87476706877</v>
      </c>
      <c r="AI53" s="287">
        <f t="shared" si="16"/>
        <v>-210109.30699208693</v>
      </c>
      <c r="AJ53" s="287">
        <f t="shared" si="16"/>
        <v>-137854.49341326568</v>
      </c>
      <c r="AK53" s="287">
        <f t="shared" si="16"/>
        <v>-64937.344043305144</v>
      </c>
      <c r="AL53" s="287">
        <f t="shared" si="16"/>
        <v>1714.879195879912</v>
      </c>
      <c r="AM53" s="287">
        <f>AM34-AM51</f>
        <v>1674238.5494095609</v>
      </c>
      <c r="AN53" s="288">
        <f t="shared" si="5"/>
        <v>17439.984889682924</v>
      </c>
      <c r="AO53" s="249"/>
    </row>
    <row r="54" spans="1:41" s="210" customFormat="1" ht="12.75" thickBot="1">
      <c r="A54" s="209"/>
      <c r="B54" s="204"/>
      <c r="C54" s="246"/>
      <c r="D54" s="246"/>
      <c r="E54" s="246"/>
      <c r="F54" s="246"/>
      <c r="G54" s="246"/>
      <c r="H54" s="246"/>
      <c r="I54" s="246"/>
      <c r="J54" s="246"/>
      <c r="K54" s="246"/>
      <c r="L54" s="246"/>
      <c r="M54" s="246"/>
      <c r="N54" s="246"/>
      <c r="O54" s="246"/>
      <c r="P54" s="246"/>
      <c r="Q54" s="246"/>
      <c r="R54" s="246"/>
      <c r="S54" s="246"/>
      <c r="T54" s="246"/>
      <c r="U54" s="246"/>
      <c r="V54" s="246"/>
      <c r="W54" s="246"/>
      <c r="X54" s="246"/>
      <c r="Y54" s="246"/>
      <c r="Z54" s="246"/>
      <c r="AA54" s="246"/>
      <c r="AB54" s="246"/>
      <c r="AC54" s="246"/>
      <c r="AD54" s="246"/>
      <c r="AE54" s="246"/>
      <c r="AF54" s="246"/>
      <c r="AG54" s="246"/>
      <c r="AH54" s="246"/>
      <c r="AI54" s="246"/>
      <c r="AJ54" s="246"/>
      <c r="AK54" s="246"/>
      <c r="AL54" s="246"/>
      <c r="AM54" s="246"/>
      <c r="AN54" s="246"/>
      <c r="AO54" s="247"/>
    </row>
    <row r="55" spans="1:41" ht="12.75" thickBot="1">
      <c r="A55" s="200"/>
      <c r="B55" s="277" t="s">
        <v>32</v>
      </c>
      <c r="C55" s="289">
        <v>0</v>
      </c>
      <c r="D55" s="287">
        <f t="shared" ref="D55:N55" si="17">C57</f>
        <v>650525</v>
      </c>
      <c r="E55" s="287">
        <f t="shared" si="17"/>
        <v>611050</v>
      </c>
      <c r="F55" s="287">
        <f t="shared" si="17"/>
        <v>587312.5</v>
      </c>
      <c r="G55" s="287">
        <f>F57</f>
        <v>563575</v>
      </c>
      <c r="H55" s="287">
        <f t="shared" si="17"/>
        <v>539837.5</v>
      </c>
      <c r="I55" s="287">
        <f t="shared" si="17"/>
        <v>516100</v>
      </c>
      <c r="J55" s="287">
        <f t="shared" si="17"/>
        <v>1137718.2747222222</v>
      </c>
      <c r="K55" s="287">
        <f t="shared" si="17"/>
        <v>938386.00285933644</v>
      </c>
      <c r="L55" s="287">
        <f t="shared" si="17"/>
        <v>1252014.6902005817</v>
      </c>
      <c r="M55" s="287">
        <f t="shared" si="17"/>
        <v>802202.22005511657</v>
      </c>
      <c r="N55" s="287">
        <f t="shared" si="17"/>
        <v>713257.67888858053</v>
      </c>
      <c r="O55" s="287">
        <f t="shared" ref="O55:AL55" si="18">N57</f>
        <v>740470.53883139859</v>
      </c>
      <c r="P55" s="287">
        <f t="shared" si="18"/>
        <v>703003.67148336384</v>
      </c>
      <c r="Q55" s="287">
        <f t="shared" si="18"/>
        <v>939289.7365259229</v>
      </c>
      <c r="R55" s="287">
        <f t="shared" si="18"/>
        <v>1328271.996149861</v>
      </c>
      <c r="S55" s="287">
        <f t="shared" si="18"/>
        <v>1370075.6093540676</v>
      </c>
      <c r="T55" s="287">
        <f t="shared" si="18"/>
        <v>1399242.019654504</v>
      </c>
      <c r="U55" s="287">
        <f t="shared" si="18"/>
        <v>1440962.3776604719</v>
      </c>
      <c r="V55" s="287">
        <f t="shared" si="18"/>
        <v>1483627.1473092726</v>
      </c>
      <c r="W55" s="287">
        <f t="shared" si="18"/>
        <v>1527244.9857076313</v>
      </c>
      <c r="X55" s="287">
        <f t="shared" si="18"/>
        <v>1571824.6293190862</v>
      </c>
      <c r="Y55" s="287">
        <f t="shared" si="18"/>
        <v>1617374.894691424</v>
      </c>
      <c r="Z55" s="287">
        <f t="shared" si="18"/>
        <v>1663904.6791907861</v>
      </c>
      <c r="AA55" s="287">
        <f t="shared" si="18"/>
        <v>1711422.9617425036</v>
      </c>
      <c r="AB55" s="287">
        <f t="shared" si="18"/>
        <v>1759938.8035787228</v>
      </c>
      <c r="AC55" s="287">
        <f t="shared" si="18"/>
        <v>1809461.3489928851</v>
      </c>
      <c r="AD55" s="287">
        <f t="shared" si="18"/>
        <v>1859999.8261011215</v>
      </c>
      <c r="AE55" s="287">
        <f t="shared" si="18"/>
        <v>1983563.547610628</v>
      </c>
      <c r="AF55" s="287">
        <f t="shared" si="18"/>
        <v>2082161.9115950828</v>
      </c>
      <c r="AG55" s="287">
        <f t="shared" si="18"/>
        <v>2206906.0689438395</v>
      </c>
      <c r="AH55" s="287">
        <f t="shared" si="18"/>
        <v>2332035.6894294042</v>
      </c>
      <c r="AI55" s="287">
        <f t="shared" si="18"/>
        <v>2085424.8146623354</v>
      </c>
      <c r="AJ55" s="287">
        <f t="shared" si="18"/>
        <v>1875315.5076702484</v>
      </c>
      <c r="AK55" s="287">
        <f t="shared" si="18"/>
        <v>1737461.0142569826</v>
      </c>
      <c r="AL55" s="287">
        <f t="shared" si="18"/>
        <v>1672523.6702136775</v>
      </c>
      <c r="AM55" s="287"/>
      <c r="AN55" s="288"/>
      <c r="AO55" s="248"/>
    </row>
    <row r="56" spans="1:41" s="210" customFormat="1" ht="12.75" thickBot="1">
      <c r="A56" s="209"/>
      <c r="B56" s="220"/>
      <c r="C56" s="246"/>
      <c r="D56" s="246"/>
      <c r="E56" s="246"/>
      <c r="F56" s="246"/>
      <c r="G56" s="246"/>
      <c r="H56" s="246"/>
      <c r="I56" s="246"/>
      <c r="J56" s="246"/>
      <c r="K56" s="246"/>
      <c r="L56" s="246"/>
      <c r="M56" s="246"/>
      <c r="N56" s="246"/>
      <c r="O56" s="246"/>
      <c r="P56" s="246"/>
      <c r="Q56" s="246"/>
      <c r="R56" s="246"/>
      <c r="S56" s="246"/>
      <c r="T56" s="246"/>
      <c r="U56" s="246"/>
      <c r="V56" s="246"/>
      <c r="W56" s="246"/>
      <c r="X56" s="246"/>
      <c r="Y56" s="246"/>
      <c r="Z56" s="246"/>
      <c r="AA56" s="246"/>
      <c r="AB56" s="246"/>
      <c r="AC56" s="246"/>
      <c r="AD56" s="246"/>
      <c r="AE56" s="246"/>
      <c r="AF56" s="246"/>
      <c r="AG56" s="246"/>
      <c r="AH56" s="246"/>
      <c r="AI56" s="246"/>
      <c r="AJ56" s="246"/>
      <c r="AK56" s="246"/>
      <c r="AL56" s="246"/>
      <c r="AM56" s="246"/>
      <c r="AN56" s="246"/>
      <c r="AO56" s="247"/>
    </row>
    <row r="57" spans="1:41" ht="12.75" thickBot="1">
      <c r="A57" s="193"/>
      <c r="B57" s="277" t="s">
        <v>33</v>
      </c>
      <c r="C57" s="289">
        <f>C55+C53</f>
        <v>650525</v>
      </c>
      <c r="D57" s="287">
        <f>D55+D53</f>
        <v>611050</v>
      </c>
      <c r="E57" s="287">
        <f t="shared" ref="E57:N57" si="19">E55+E53</f>
        <v>587312.5</v>
      </c>
      <c r="F57" s="287">
        <f t="shared" si="19"/>
        <v>563575</v>
      </c>
      <c r="G57" s="287">
        <f t="shared" si="19"/>
        <v>539837.5</v>
      </c>
      <c r="H57" s="287">
        <f t="shared" si="19"/>
        <v>516100</v>
      </c>
      <c r="I57" s="287">
        <f t="shared" si="19"/>
        <v>1137718.2747222222</v>
      </c>
      <c r="J57" s="287">
        <f t="shared" si="19"/>
        <v>938386.00285933644</v>
      </c>
      <c r="K57" s="287">
        <f t="shared" si="19"/>
        <v>1252014.6902005817</v>
      </c>
      <c r="L57" s="287">
        <f t="shared" si="19"/>
        <v>802202.22005511657</v>
      </c>
      <c r="M57" s="287">
        <f t="shared" si="19"/>
        <v>713257.67888858053</v>
      </c>
      <c r="N57" s="287">
        <f t="shared" si="19"/>
        <v>740470.53883139859</v>
      </c>
      <c r="O57" s="287">
        <f t="shared" ref="O57:AL57" si="20">O55+O53</f>
        <v>703003.67148336384</v>
      </c>
      <c r="P57" s="287">
        <f t="shared" si="20"/>
        <v>939289.7365259229</v>
      </c>
      <c r="Q57" s="287">
        <f t="shared" si="20"/>
        <v>1328271.996149861</v>
      </c>
      <c r="R57" s="287">
        <f t="shared" si="20"/>
        <v>1370075.6093540676</v>
      </c>
      <c r="S57" s="287">
        <f t="shared" si="20"/>
        <v>1399242.019654504</v>
      </c>
      <c r="T57" s="287">
        <f t="shared" si="20"/>
        <v>1440962.3776604719</v>
      </c>
      <c r="U57" s="287">
        <f t="shared" si="20"/>
        <v>1483627.1473092726</v>
      </c>
      <c r="V57" s="287">
        <f t="shared" si="20"/>
        <v>1527244.9857076313</v>
      </c>
      <c r="W57" s="287">
        <f t="shared" si="20"/>
        <v>1571824.6293190862</v>
      </c>
      <c r="X57" s="287">
        <f t="shared" si="20"/>
        <v>1617374.894691424</v>
      </c>
      <c r="Y57" s="287">
        <f t="shared" si="20"/>
        <v>1663904.6791907861</v>
      </c>
      <c r="Z57" s="287">
        <f t="shared" si="20"/>
        <v>1711422.9617425036</v>
      </c>
      <c r="AA57" s="287">
        <f t="shared" si="20"/>
        <v>1759938.8035787228</v>
      </c>
      <c r="AB57" s="287">
        <f t="shared" si="20"/>
        <v>1809461.3489928851</v>
      </c>
      <c r="AC57" s="287">
        <f t="shared" si="20"/>
        <v>1859999.8261011215</v>
      </c>
      <c r="AD57" s="287">
        <f t="shared" si="20"/>
        <v>1983563.547610628</v>
      </c>
      <c r="AE57" s="287">
        <f t="shared" si="20"/>
        <v>2082161.9115950828</v>
      </c>
      <c r="AF57" s="287">
        <f t="shared" si="20"/>
        <v>2206906.0689438395</v>
      </c>
      <c r="AG57" s="287">
        <f t="shared" si="20"/>
        <v>2332035.6894294042</v>
      </c>
      <c r="AH57" s="287">
        <f t="shared" si="20"/>
        <v>2085424.8146623354</v>
      </c>
      <c r="AI57" s="287">
        <f t="shared" si="20"/>
        <v>1875315.5076702484</v>
      </c>
      <c r="AJ57" s="287">
        <f t="shared" si="20"/>
        <v>1737461.0142569826</v>
      </c>
      <c r="AK57" s="287">
        <f t="shared" si="20"/>
        <v>1672523.6702136775</v>
      </c>
      <c r="AL57" s="287">
        <f t="shared" si="20"/>
        <v>1674238.5494095574</v>
      </c>
      <c r="AM57" s="287"/>
      <c r="AN57" s="287" t="s">
        <v>399</v>
      </c>
      <c r="AO57" s="281"/>
    </row>
    <row r="58" spans="1:41" s="206" customFormat="1">
      <c r="A58" s="193"/>
      <c r="B58" s="211"/>
      <c r="C58" s="298"/>
      <c r="D58" s="298"/>
      <c r="E58" s="298"/>
      <c r="F58" s="298"/>
      <c r="G58" s="298"/>
      <c r="H58" s="298"/>
      <c r="I58" s="298"/>
      <c r="J58" s="298"/>
      <c r="K58" s="298"/>
      <c r="L58" s="298"/>
      <c r="M58" s="298"/>
      <c r="N58" s="298"/>
      <c r="O58" s="298"/>
      <c r="P58" s="298"/>
      <c r="Q58" s="298"/>
      <c r="R58" s="298"/>
      <c r="S58" s="298"/>
      <c r="T58" s="298"/>
      <c r="U58" s="298"/>
      <c r="V58" s="298"/>
      <c r="W58" s="298"/>
      <c r="X58" s="298"/>
      <c r="Y58" s="298"/>
      <c r="Z58" s="298"/>
      <c r="AA58" s="298"/>
      <c r="AB58" s="298"/>
      <c r="AC58" s="298"/>
      <c r="AD58" s="298"/>
      <c r="AE58" s="298"/>
      <c r="AF58" s="298"/>
      <c r="AG58" s="298"/>
      <c r="AH58" s="298"/>
      <c r="AI58" s="298"/>
      <c r="AJ58" s="298"/>
      <c r="AK58" s="298"/>
      <c r="AL58" s="298"/>
      <c r="AM58" s="298"/>
      <c r="AN58" s="298"/>
      <c r="AO58" s="299"/>
    </row>
    <row r="59" spans="1:41" s="206" customFormat="1">
      <c r="A59" s="193"/>
      <c r="B59" s="211" t="s">
        <v>430</v>
      </c>
      <c r="C59" s="298">
        <f>-C26</f>
        <v>-700000</v>
      </c>
      <c r="D59" s="298">
        <f t="shared" ref="D59:O59" si="21">+D49</f>
        <v>0</v>
      </c>
      <c r="E59" s="298">
        <f t="shared" si="21"/>
        <v>0</v>
      </c>
      <c r="F59" s="298">
        <f t="shared" si="21"/>
        <v>0</v>
      </c>
      <c r="G59" s="298">
        <f t="shared" si="21"/>
        <v>0</v>
      </c>
      <c r="H59" s="298">
        <f t="shared" si="21"/>
        <v>0</v>
      </c>
      <c r="I59" s="298">
        <f t="shared" si="21"/>
        <v>0</v>
      </c>
      <c r="J59" s="298">
        <f t="shared" si="21"/>
        <v>0</v>
      </c>
      <c r="K59" s="298">
        <f t="shared" si="21"/>
        <v>0</v>
      </c>
      <c r="L59" s="298">
        <f t="shared" si="21"/>
        <v>0</v>
      </c>
      <c r="M59" s="298">
        <f t="shared" si="21"/>
        <v>0</v>
      </c>
      <c r="N59" s="298">
        <f t="shared" si="21"/>
        <v>0</v>
      </c>
      <c r="O59" s="298">
        <f t="shared" si="21"/>
        <v>0</v>
      </c>
      <c r="P59" s="298">
        <f>+P49</f>
        <v>72916.666666666672</v>
      </c>
      <c r="Q59" s="298">
        <f t="shared" ref="Q59:AL59" si="22">+Q49</f>
        <v>21875</v>
      </c>
      <c r="R59" s="298">
        <f t="shared" si="22"/>
        <v>21875</v>
      </c>
      <c r="S59" s="298">
        <f t="shared" si="22"/>
        <v>29166.666666666668</v>
      </c>
      <c r="T59" s="298">
        <f t="shared" si="22"/>
        <v>29166.666666666668</v>
      </c>
      <c r="U59" s="298">
        <f t="shared" si="22"/>
        <v>29166.666666666668</v>
      </c>
      <c r="V59" s="298">
        <f t="shared" si="22"/>
        <v>29166.666666666668</v>
      </c>
      <c r="W59" s="298">
        <f t="shared" si="22"/>
        <v>29166.666666666668</v>
      </c>
      <c r="X59" s="298">
        <f t="shared" si="22"/>
        <v>29166.666666666668</v>
      </c>
      <c r="Y59" s="298">
        <f t="shared" si="22"/>
        <v>29166.666666666668</v>
      </c>
      <c r="Z59" s="298">
        <f t="shared" si="22"/>
        <v>29166.666666666668</v>
      </c>
      <c r="AA59" s="298">
        <f t="shared" si="22"/>
        <v>29166.666666666668</v>
      </c>
      <c r="AB59" s="298">
        <f t="shared" si="22"/>
        <v>29166.666666666668</v>
      </c>
      <c r="AC59" s="298">
        <f t="shared" si="22"/>
        <v>29166.666666666668</v>
      </c>
      <c r="AD59" s="298">
        <f t="shared" si="22"/>
        <v>29166.666666666668</v>
      </c>
      <c r="AE59" s="298">
        <f t="shared" si="22"/>
        <v>29166.666666666668</v>
      </c>
      <c r="AF59" s="298">
        <f t="shared" si="22"/>
        <v>29166.666666666668</v>
      </c>
      <c r="AG59" s="298">
        <f t="shared" si="22"/>
        <v>29166.666666666668</v>
      </c>
      <c r="AH59" s="298">
        <f t="shared" si="22"/>
        <v>29166.666666666668</v>
      </c>
      <c r="AI59" s="298">
        <f t="shared" si="22"/>
        <v>29166.666666666668</v>
      </c>
      <c r="AJ59" s="298">
        <f t="shared" si="22"/>
        <v>29166.666666666668</v>
      </c>
      <c r="AK59" s="298">
        <f t="shared" si="22"/>
        <v>29166.666666666668</v>
      </c>
      <c r="AL59" s="298">
        <f t="shared" si="22"/>
        <v>29166.666666666668</v>
      </c>
      <c r="AM59" s="298">
        <f>SUM(C59:AL59)</f>
        <v>3.637978807091713E-11</v>
      </c>
      <c r="AN59" s="298"/>
      <c r="AO59" s="299"/>
    </row>
    <row r="60" spans="1:41" s="206" customFormat="1">
      <c r="A60" s="193"/>
      <c r="B60" s="211" t="s">
        <v>431</v>
      </c>
      <c r="C60" s="298">
        <v>0</v>
      </c>
      <c r="D60" s="298">
        <v>0</v>
      </c>
      <c r="E60" s="298">
        <v>0</v>
      </c>
      <c r="F60" s="298">
        <v>0</v>
      </c>
      <c r="G60" s="298">
        <v>0</v>
      </c>
      <c r="H60" s="298"/>
      <c r="I60" s="298"/>
      <c r="J60" s="298"/>
      <c r="K60" s="298"/>
      <c r="L60" s="298"/>
      <c r="M60" s="298"/>
      <c r="N60" s="298"/>
      <c r="O60" s="298"/>
      <c r="P60" s="298">
        <f>0.75*P$53</f>
        <v>177214.54878191929</v>
      </c>
      <c r="Q60" s="298">
        <f t="shared" ref="Q60:Y60" si="23">0.75*Q$53</f>
        <v>291736.69471795362</v>
      </c>
      <c r="R60" s="298">
        <f t="shared" si="23"/>
        <v>31352.70990315493</v>
      </c>
      <c r="S60" s="298">
        <f t="shared" si="23"/>
        <v>21874.807725327235</v>
      </c>
      <c r="T60" s="298">
        <f t="shared" si="23"/>
        <v>31290.268504476029</v>
      </c>
      <c r="U60" s="298">
        <f t="shared" si="23"/>
        <v>31998.577236600366</v>
      </c>
      <c r="V60" s="298">
        <f t="shared" si="23"/>
        <v>32713.378798769176</v>
      </c>
      <c r="W60" s="298">
        <f t="shared" si="23"/>
        <v>33434.73270859124</v>
      </c>
      <c r="X60" s="298">
        <f t="shared" si="23"/>
        <v>34162.699029253417</v>
      </c>
      <c r="Y60" s="298">
        <f t="shared" si="23"/>
        <v>34897.338374521496</v>
      </c>
      <c r="Z60" s="298">
        <f>0.25*Z$53</f>
        <v>11879.570637929341</v>
      </c>
      <c r="AA60" s="298">
        <f t="shared" ref="AA60:AL60" si="24">0.25*AA$53</f>
        <v>12128.960459054768</v>
      </c>
      <c r="AB60" s="298">
        <f t="shared" si="24"/>
        <v>12380.636353540554</v>
      </c>
      <c r="AC60" s="298">
        <f t="shared" si="24"/>
        <v>12634.61927705913</v>
      </c>
      <c r="AD60" s="298">
        <f t="shared" si="24"/>
        <v>30890.930377376615</v>
      </c>
      <c r="AE60" s="298">
        <f t="shared" si="24"/>
        <v>24649.590996113693</v>
      </c>
      <c r="AF60" s="298">
        <f t="shared" si="24"/>
        <v>31186.03933718917</v>
      </c>
      <c r="AG60" s="298">
        <f t="shared" si="24"/>
        <v>31282.405121391203</v>
      </c>
      <c r="AH60" s="298">
        <f t="shared" si="24"/>
        <v>-61652.718691767193</v>
      </c>
      <c r="AI60" s="298">
        <f t="shared" si="24"/>
        <v>-52527.326748021733</v>
      </c>
      <c r="AJ60" s="298">
        <f t="shared" si="24"/>
        <v>-34463.62335331642</v>
      </c>
      <c r="AK60" s="298">
        <f t="shared" si="24"/>
        <v>-16234.336010826286</v>
      </c>
      <c r="AL60" s="298">
        <f t="shared" si="24"/>
        <v>428.719798969978</v>
      </c>
      <c r="AM60" s="298">
        <f>SUM(C60:AL60)</f>
        <v>723259.22333525959</v>
      </c>
      <c r="AN60" s="298"/>
      <c r="AO60" s="299"/>
    </row>
    <row r="61" spans="1:41" s="206" customFormat="1">
      <c r="A61" s="193"/>
      <c r="B61" s="211" t="s">
        <v>432</v>
      </c>
      <c r="C61" s="298">
        <f t="shared" ref="C61:O61" si="25">+C60+C59</f>
        <v>-700000</v>
      </c>
      <c r="D61" s="298">
        <f t="shared" si="25"/>
        <v>0</v>
      </c>
      <c r="E61" s="298">
        <f t="shared" si="25"/>
        <v>0</v>
      </c>
      <c r="F61" s="298">
        <f t="shared" si="25"/>
        <v>0</v>
      </c>
      <c r="G61" s="298">
        <f t="shared" si="25"/>
        <v>0</v>
      </c>
      <c r="H61" s="298">
        <f t="shared" si="25"/>
        <v>0</v>
      </c>
      <c r="I61" s="298">
        <f t="shared" si="25"/>
        <v>0</v>
      </c>
      <c r="J61" s="298">
        <f t="shared" si="25"/>
        <v>0</v>
      </c>
      <c r="K61" s="298">
        <f t="shared" si="25"/>
        <v>0</v>
      </c>
      <c r="L61" s="298">
        <f t="shared" si="25"/>
        <v>0</v>
      </c>
      <c r="M61" s="298">
        <f t="shared" si="25"/>
        <v>0</v>
      </c>
      <c r="N61" s="298">
        <f t="shared" si="25"/>
        <v>0</v>
      </c>
      <c r="O61" s="298">
        <f t="shared" si="25"/>
        <v>0</v>
      </c>
      <c r="P61" s="298">
        <f>+P60+P59</f>
        <v>250131.21544858598</v>
      </c>
      <c r="Q61" s="298">
        <f t="shared" ref="Q61:AL61" si="26">+Q60+Q59</f>
        <v>313611.69471795362</v>
      </c>
      <c r="R61" s="298">
        <f t="shared" si="26"/>
        <v>53227.70990315493</v>
      </c>
      <c r="S61" s="298">
        <f t="shared" si="26"/>
        <v>51041.474391993906</v>
      </c>
      <c r="T61" s="298">
        <f t="shared" si="26"/>
        <v>60456.935171142701</v>
      </c>
      <c r="U61" s="298">
        <f t="shared" si="26"/>
        <v>61165.243903267037</v>
      </c>
      <c r="V61" s="298">
        <f t="shared" si="26"/>
        <v>61880.045465435847</v>
      </c>
      <c r="W61" s="298">
        <f t="shared" si="26"/>
        <v>62601.399375257912</v>
      </c>
      <c r="X61" s="298">
        <f t="shared" si="26"/>
        <v>63329.365695920089</v>
      </c>
      <c r="Y61" s="298">
        <f t="shared" si="26"/>
        <v>64064.005041188168</v>
      </c>
      <c r="Z61" s="298">
        <f t="shared" si="26"/>
        <v>41046.237304596012</v>
      </c>
      <c r="AA61" s="298">
        <f t="shared" si="26"/>
        <v>41295.627125721439</v>
      </c>
      <c r="AB61" s="298">
        <f t="shared" si="26"/>
        <v>41547.303020207226</v>
      </c>
      <c r="AC61" s="298">
        <f t="shared" si="26"/>
        <v>41801.285943725801</v>
      </c>
      <c r="AD61" s="298">
        <f t="shared" si="26"/>
        <v>60057.597044043287</v>
      </c>
      <c r="AE61" s="298">
        <f t="shared" si="26"/>
        <v>53816.257662780365</v>
      </c>
      <c r="AF61" s="298">
        <f t="shared" si="26"/>
        <v>60352.706003855841</v>
      </c>
      <c r="AG61" s="298">
        <f t="shared" si="26"/>
        <v>60449.071788057874</v>
      </c>
      <c r="AH61" s="298">
        <f t="shared" si="26"/>
        <v>-32486.052025100525</v>
      </c>
      <c r="AI61" s="298">
        <f t="shared" si="26"/>
        <v>-23360.660081355065</v>
      </c>
      <c r="AJ61" s="298">
        <f t="shared" si="26"/>
        <v>-5296.9566866497516</v>
      </c>
      <c r="AK61" s="298">
        <f t="shared" si="26"/>
        <v>12932.330655840382</v>
      </c>
      <c r="AL61" s="298">
        <f t="shared" si="26"/>
        <v>29595.386465636646</v>
      </c>
      <c r="AM61" s="298">
        <f>SUM(C61:AL61)</f>
        <v>723259.22333525959</v>
      </c>
      <c r="AN61" s="298"/>
      <c r="AO61" s="299"/>
    </row>
    <row r="62" spans="1:41" s="206" customFormat="1">
      <c r="A62" s="193"/>
      <c r="B62" s="211" t="s">
        <v>433</v>
      </c>
      <c r="C62" s="298">
        <f>+C61</f>
        <v>-700000</v>
      </c>
      <c r="D62" s="298">
        <f>+D61+C62</f>
        <v>-700000</v>
      </c>
      <c r="E62" s="298">
        <f t="shared" ref="E62:P62" si="27">+E61+D62</f>
        <v>-700000</v>
      </c>
      <c r="F62" s="298">
        <f t="shared" si="27"/>
        <v>-700000</v>
      </c>
      <c r="G62" s="298">
        <f t="shared" si="27"/>
        <v>-700000</v>
      </c>
      <c r="H62" s="298">
        <f t="shared" si="27"/>
        <v>-700000</v>
      </c>
      <c r="I62" s="298">
        <f t="shared" si="27"/>
        <v>-700000</v>
      </c>
      <c r="J62" s="298">
        <f t="shared" si="27"/>
        <v>-700000</v>
      </c>
      <c r="K62" s="298">
        <f t="shared" si="27"/>
        <v>-700000</v>
      </c>
      <c r="L62" s="298">
        <f t="shared" si="27"/>
        <v>-700000</v>
      </c>
      <c r="M62" s="298">
        <f t="shared" si="27"/>
        <v>-700000</v>
      </c>
      <c r="N62" s="298">
        <f t="shared" si="27"/>
        <v>-700000</v>
      </c>
      <c r="O62" s="298">
        <f t="shared" si="27"/>
        <v>-700000</v>
      </c>
      <c r="P62" s="298">
        <f t="shared" si="27"/>
        <v>-449868.78455141402</v>
      </c>
      <c r="Q62" s="298">
        <f t="shared" ref="Q62:AL62" si="28">+Q61+P62</f>
        <v>-136257.0898334604</v>
      </c>
      <c r="R62" s="298">
        <f t="shared" si="28"/>
        <v>-83029.379930305469</v>
      </c>
      <c r="S62" s="298">
        <f t="shared" si="28"/>
        <v>-31987.905538311563</v>
      </c>
      <c r="T62" s="298">
        <f t="shared" si="28"/>
        <v>28469.029632831138</v>
      </c>
      <c r="U62" s="298">
        <f t="shared" si="28"/>
        <v>89634.273536098175</v>
      </c>
      <c r="V62" s="298">
        <f t="shared" si="28"/>
        <v>151514.31900153402</v>
      </c>
      <c r="W62" s="298">
        <f t="shared" si="28"/>
        <v>214115.71837679192</v>
      </c>
      <c r="X62" s="298">
        <f t="shared" si="28"/>
        <v>277445.08407271199</v>
      </c>
      <c r="Y62" s="298">
        <f t="shared" si="28"/>
        <v>341509.08911390015</v>
      </c>
      <c r="Z62" s="298">
        <f t="shared" si="28"/>
        <v>382555.32641849614</v>
      </c>
      <c r="AA62" s="298">
        <f t="shared" si="28"/>
        <v>423850.95354421757</v>
      </c>
      <c r="AB62" s="298">
        <f t="shared" si="28"/>
        <v>465398.25656442478</v>
      </c>
      <c r="AC62" s="298">
        <f t="shared" si="28"/>
        <v>507199.54250815057</v>
      </c>
      <c r="AD62" s="298">
        <f t="shared" si="28"/>
        <v>567257.13955219381</v>
      </c>
      <c r="AE62" s="298">
        <f t="shared" si="28"/>
        <v>621073.39721497416</v>
      </c>
      <c r="AF62" s="298">
        <f t="shared" si="28"/>
        <v>681426.10321882996</v>
      </c>
      <c r="AG62" s="298">
        <f t="shared" si="28"/>
        <v>741875.17500688788</v>
      </c>
      <c r="AH62" s="298">
        <f t="shared" si="28"/>
        <v>709389.12298178731</v>
      </c>
      <c r="AI62" s="298">
        <f t="shared" si="28"/>
        <v>686028.46290043229</v>
      </c>
      <c r="AJ62" s="298">
        <f t="shared" si="28"/>
        <v>680731.50621378259</v>
      </c>
      <c r="AK62" s="298">
        <f t="shared" si="28"/>
        <v>693663.83686962293</v>
      </c>
      <c r="AL62" s="298">
        <f t="shared" si="28"/>
        <v>723259.22333525959</v>
      </c>
      <c r="AM62" s="298"/>
      <c r="AN62" s="298"/>
      <c r="AO62" s="299"/>
    </row>
    <row r="63" spans="1:41" s="206" customFormat="1">
      <c r="A63" s="193"/>
      <c r="B63" s="315" t="s">
        <v>438</v>
      </c>
      <c r="C63" s="316">
        <f>IRR(C61:AL61,0.75)*12</f>
        <v>0.47543605411704615</v>
      </c>
      <c r="D63" s="298"/>
      <c r="E63" s="298"/>
      <c r="F63" s="298"/>
      <c r="G63" s="298"/>
      <c r="H63" s="298"/>
      <c r="I63" s="298"/>
      <c r="J63" s="298"/>
      <c r="K63" s="298"/>
      <c r="L63" s="298"/>
      <c r="M63" s="298"/>
      <c r="N63" s="298"/>
      <c r="O63" s="298"/>
      <c r="P63" s="298"/>
      <c r="Q63" s="298"/>
      <c r="R63" s="298"/>
      <c r="S63" s="298"/>
      <c r="T63" s="298"/>
      <c r="U63" s="298"/>
      <c r="V63" s="298"/>
      <c r="W63" s="298"/>
      <c r="X63" s="298"/>
      <c r="Y63" s="298"/>
      <c r="Z63" s="298"/>
      <c r="AA63" s="298"/>
      <c r="AB63" s="298"/>
      <c r="AC63" s="298"/>
      <c r="AD63" s="298"/>
      <c r="AE63" s="298"/>
      <c r="AF63" s="298"/>
      <c r="AG63" s="298"/>
      <c r="AH63" s="298"/>
      <c r="AI63" s="298"/>
      <c r="AJ63" s="298"/>
      <c r="AK63" s="298"/>
      <c r="AL63" s="298"/>
      <c r="AM63" s="298"/>
      <c r="AN63" s="298"/>
      <c r="AO63" s="299"/>
    </row>
    <row r="64" spans="1:41" s="206" customFormat="1">
      <c r="A64" s="193"/>
      <c r="D64" s="298"/>
      <c r="E64" s="298"/>
      <c r="F64" s="298"/>
      <c r="G64" s="298"/>
      <c r="H64" s="298"/>
      <c r="I64" s="298"/>
      <c r="J64" s="298"/>
      <c r="K64" s="298"/>
      <c r="L64" s="298"/>
      <c r="M64" s="298"/>
      <c r="N64" s="298"/>
      <c r="O64" s="298"/>
      <c r="P64" s="298"/>
      <c r="Q64" s="298"/>
      <c r="R64" s="298"/>
      <c r="S64" s="298"/>
      <c r="T64" s="298"/>
      <c r="U64" s="298"/>
      <c r="V64" s="298"/>
      <c r="W64" s="298"/>
      <c r="X64" s="298"/>
      <c r="Y64" s="298"/>
      <c r="Z64" s="298"/>
      <c r="AA64" s="298"/>
      <c r="AB64" s="298"/>
      <c r="AC64" s="298"/>
      <c r="AD64" s="298"/>
      <c r="AE64" s="298"/>
      <c r="AF64" s="298"/>
      <c r="AG64" s="298"/>
      <c r="AH64" s="298"/>
      <c r="AI64" s="298"/>
      <c r="AJ64" s="298"/>
      <c r="AK64" s="298"/>
      <c r="AL64" s="298"/>
      <c r="AM64" s="298"/>
      <c r="AN64" s="298"/>
      <c r="AO64" s="299"/>
    </row>
    <row r="65" spans="1:41" s="206" customFormat="1">
      <c r="A65" s="193"/>
      <c r="B65" s="211"/>
      <c r="C65" s="298"/>
      <c r="D65" s="298"/>
      <c r="E65" s="298"/>
      <c r="F65" s="298"/>
      <c r="G65" s="298"/>
      <c r="H65" s="298"/>
      <c r="I65" s="298"/>
      <c r="J65" s="298"/>
      <c r="K65" s="298"/>
      <c r="L65" s="298"/>
      <c r="M65" s="298"/>
      <c r="N65" s="298"/>
      <c r="O65" s="298"/>
      <c r="P65" s="298"/>
      <c r="Q65" s="298"/>
      <c r="R65" s="298"/>
      <c r="S65" s="298"/>
      <c r="T65" s="298"/>
      <c r="U65" s="298"/>
      <c r="V65" s="298"/>
      <c r="W65" s="298"/>
      <c r="X65" s="298"/>
      <c r="Y65" s="298"/>
      <c r="Z65" s="298"/>
      <c r="AA65" s="298"/>
      <c r="AB65" s="298"/>
      <c r="AC65" s="298"/>
      <c r="AD65" s="298"/>
      <c r="AE65" s="298"/>
      <c r="AF65" s="298"/>
      <c r="AG65" s="298"/>
      <c r="AH65" s="298"/>
      <c r="AI65" s="298"/>
      <c r="AJ65" s="298"/>
      <c r="AK65" s="298"/>
      <c r="AL65" s="298"/>
      <c r="AM65" s="298"/>
      <c r="AN65" s="298"/>
      <c r="AO65" s="299"/>
    </row>
    <row r="66" spans="1:41" s="206" customFormat="1" hidden="1">
      <c r="A66" s="193"/>
      <c r="B66" s="211" t="s">
        <v>434</v>
      </c>
      <c r="C66" s="298"/>
      <c r="D66" s="298"/>
      <c r="E66" s="298"/>
      <c r="F66" s="298"/>
      <c r="G66" s="298"/>
      <c r="H66" s="298"/>
      <c r="I66" s="298">
        <f>I44+I41+I39+SUM(C38:I38)+(680000-LotImpEq)</f>
        <v>547996.89009259257</v>
      </c>
      <c r="J66" s="298">
        <f>J44+J41+J39+I68</f>
        <v>742305.85712962958</v>
      </c>
      <c r="K66" s="298">
        <f>+J68+SUM(K39:K45)</f>
        <v>1227454.7947883841</v>
      </c>
      <c r="L66" s="298">
        <f t="shared" ref="L66:AK66" si="29">+K68+SUM(L39:L45)</f>
        <v>1443267.2649338492</v>
      </c>
      <c r="M66" s="298">
        <f t="shared" si="29"/>
        <v>1759792.7061003854</v>
      </c>
      <c r="N66" s="298">
        <f t="shared" si="29"/>
        <v>2054021.0461575673</v>
      </c>
      <c r="O66" s="298">
        <f t="shared" si="29"/>
        <v>2394929.1135056019</v>
      </c>
      <c r="P66" s="298">
        <f t="shared" si="29"/>
        <v>2808643.706796376</v>
      </c>
      <c r="Q66" s="298">
        <f t="shared" si="29"/>
        <v>2141926.147172438</v>
      </c>
      <c r="R66" s="298">
        <f t="shared" si="29"/>
        <v>2465583.9589682315</v>
      </c>
      <c r="S66" s="298">
        <f t="shared" si="29"/>
        <v>2486971.4820011286</v>
      </c>
      <c r="T66" s="298">
        <f t="shared" si="29"/>
        <v>2383944.757328494</v>
      </c>
      <c r="U66" s="298">
        <f t="shared" si="29"/>
        <v>2279973.6210130267</v>
      </c>
      <c r="V66" s="298">
        <f t="shared" si="29"/>
        <v>2175049.4159480012</v>
      </c>
      <c r="W66" s="298">
        <f t="shared" si="29"/>
        <v>2069163.4056698796</v>
      </c>
      <c r="X66" s="298">
        <f t="shared" si="29"/>
        <v>1962306.7736308752</v>
      </c>
      <c r="Y66" s="298">
        <f t="shared" si="29"/>
        <v>1854470.6224648464</v>
      </c>
      <c r="Z66" s="298">
        <f t="shared" si="29"/>
        <v>1745645.9732464624</v>
      </c>
      <c r="AA66" s="298">
        <f t="shared" si="29"/>
        <v>1635823.7647435768</v>
      </c>
      <c r="AB66" s="298">
        <f t="shared" si="29"/>
        <v>1524994.8526627477</v>
      </c>
      <c r="AC66" s="298">
        <f t="shared" si="29"/>
        <v>1413150.0088878446</v>
      </c>
      <c r="AD66" s="298">
        <f t="shared" si="29"/>
        <v>1300279.9207116715</v>
      </c>
      <c r="AE66" s="298">
        <f t="shared" si="29"/>
        <v>1284375.1900605501</v>
      </c>
      <c r="AF66" s="298">
        <f t="shared" si="29"/>
        <v>1242324.6660451267</v>
      </c>
      <c r="AG66" s="298">
        <f t="shared" si="29"/>
        <v>1199888.6788928953</v>
      </c>
      <c r="AH66" s="298">
        <f t="shared" si="29"/>
        <v>1081751.9869932975</v>
      </c>
      <c r="AI66" s="298">
        <f t="shared" si="29"/>
        <v>927113.72731871787</v>
      </c>
      <c r="AJ66" s="298">
        <f t="shared" si="29"/>
        <v>700220.65406531689</v>
      </c>
      <c r="AK66" s="298">
        <f t="shared" si="29"/>
        <v>400410.43144195538</v>
      </c>
      <c r="AL66" s="298">
        <f>+AK68+SUM(AL39:AL45)</f>
        <v>33947.985579408793</v>
      </c>
      <c r="AM66" s="231">
        <f>SUM(C66:AL66)</f>
        <v>47287729.404350884</v>
      </c>
      <c r="AN66" s="298"/>
      <c r="AO66" s="299"/>
    </row>
    <row r="67" spans="1:41" s="206" customFormat="1" hidden="1">
      <c r="A67" s="193"/>
      <c r="B67" s="211" t="s">
        <v>435</v>
      </c>
      <c r="C67" s="298"/>
      <c r="D67" s="298"/>
      <c r="E67" s="298"/>
      <c r="F67" s="298"/>
      <c r="G67" s="298"/>
      <c r="H67" s="298"/>
      <c r="I67" s="313">
        <f>-SUM(I47:I48)</f>
        <v>0</v>
      </c>
      <c r="J67" s="313">
        <f t="shared" ref="J67:AK67" si="30">-SUM(J47:J48)</f>
        <v>0</v>
      </c>
      <c r="K67" s="313">
        <f t="shared" si="30"/>
        <v>-180000</v>
      </c>
      <c r="L67" s="313">
        <f t="shared" si="30"/>
        <v>-54000</v>
      </c>
      <c r="M67" s="313">
        <f t="shared" si="30"/>
        <v>-54000</v>
      </c>
      <c r="N67" s="313">
        <f t="shared" si="30"/>
        <v>-72000</v>
      </c>
      <c r="O67" s="313">
        <f t="shared" si="30"/>
        <v>-72000</v>
      </c>
      <c r="P67" s="313">
        <f t="shared" si="30"/>
        <v>-1050777.625</v>
      </c>
      <c r="Q67" s="313">
        <f t="shared" si="30"/>
        <v>-72000</v>
      </c>
      <c r="R67" s="313">
        <f t="shared" si="30"/>
        <v>-407580.9</v>
      </c>
      <c r="S67" s="313">
        <f t="shared" si="30"/>
        <v>-519441.2</v>
      </c>
      <c r="T67" s="313">
        <f t="shared" si="30"/>
        <v>-519441.2</v>
      </c>
      <c r="U67" s="313">
        <f t="shared" si="30"/>
        <v>-519441.2</v>
      </c>
      <c r="V67" s="313">
        <f t="shared" si="30"/>
        <v>-519441.2</v>
      </c>
      <c r="W67" s="313">
        <f t="shared" si="30"/>
        <v>-519441.2</v>
      </c>
      <c r="X67" s="313">
        <f t="shared" si="30"/>
        <v>-519441.2</v>
      </c>
      <c r="Y67" s="313">
        <f t="shared" si="30"/>
        <v>-519441.2</v>
      </c>
      <c r="Z67" s="313">
        <f t="shared" si="30"/>
        <v>-519441.2</v>
      </c>
      <c r="AA67" s="313">
        <f t="shared" si="30"/>
        <v>-519441.2</v>
      </c>
      <c r="AB67" s="313">
        <f t="shared" si="30"/>
        <v>-519441.2</v>
      </c>
      <c r="AC67" s="313">
        <f t="shared" si="30"/>
        <v>-519441.2</v>
      </c>
      <c r="AD67" s="313">
        <f t="shared" si="30"/>
        <v>-447441.2</v>
      </c>
      <c r="AE67" s="313">
        <f t="shared" si="30"/>
        <v>-447441.2</v>
      </c>
      <c r="AF67" s="313">
        <f t="shared" si="30"/>
        <v>-447441.2</v>
      </c>
      <c r="AG67" s="313">
        <f t="shared" si="30"/>
        <v>-447441.2</v>
      </c>
      <c r="AH67" s="313">
        <f t="shared" si="30"/>
        <v>-447441.2</v>
      </c>
      <c r="AI67" s="313">
        <f t="shared" si="30"/>
        <v>-447441.2</v>
      </c>
      <c r="AJ67" s="313">
        <f t="shared" si="30"/>
        <v>-447441.2</v>
      </c>
      <c r="AK67" s="313">
        <f t="shared" si="30"/>
        <v>-447441.2</v>
      </c>
      <c r="AL67" s="313">
        <f>-SUM(AL47:AL48)</f>
        <v>-447441.2</v>
      </c>
      <c r="AM67" s="231">
        <f>SUM(C67:AL67)</f>
        <v>-11703182.524999997</v>
      </c>
      <c r="AN67" s="298"/>
      <c r="AO67" s="299"/>
    </row>
    <row r="68" spans="1:41" s="206" customFormat="1" hidden="1">
      <c r="A68" s="193"/>
      <c r="B68" s="211" t="s">
        <v>436</v>
      </c>
      <c r="C68" s="298"/>
      <c r="D68" s="298"/>
      <c r="E68" s="298"/>
      <c r="F68" s="298"/>
      <c r="G68" s="298"/>
      <c r="H68" s="298"/>
      <c r="I68" s="298">
        <f>+I67+I66</f>
        <v>547996.89009259257</v>
      </c>
      <c r="J68" s="298">
        <f>+J67+J66</f>
        <v>742305.85712962958</v>
      </c>
      <c r="K68" s="298">
        <f t="shared" ref="K68:AL68" si="31">+K67+K66</f>
        <v>1047454.7947883841</v>
      </c>
      <c r="L68" s="298">
        <f t="shared" si="31"/>
        <v>1389267.2649338492</v>
      </c>
      <c r="M68" s="298">
        <f t="shared" si="31"/>
        <v>1705792.7061003854</v>
      </c>
      <c r="N68" s="298">
        <f t="shared" si="31"/>
        <v>1982021.0461575673</v>
      </c>
      <c r="O68" s="298">
        <f t="shared" si="31"/>
        <v>2322929.1135056019</v>
      </c>
      <c r="P68" s="298">
        <f t="shared" si="31"/>
        <v>1757866.081796376</v>
      </c>
      <c r="Q68" s="298">
        <f t="shared" si="31"/>
        <v>2069926.147172438</v>
      </c>
      <c r="R68" s="298">
        <f t="shared" si="31"/>
        <v>2058003.0589682315</v>
      </c>
      <c r="S68" s="298">
        <f t="shared" si="31"/>
        <v>1967530.2820011287</v>
      </c>
      <c r="T68" s="298">
        <f t="shared" si="31"/>
        <v>1864503.557328494</v>
      </c>
      <c r="U68" s="298">
        <f t="shared" si="31"/>
        <v>1760532.4210130267</v>
      </c>
      <c r="V68" s="298">
        <f t="shared" si="31"/>
        <v>1655608.2159480012</v>
      </c>
      <c r="W68" s="298">
        <f t="shared" si="31"/>
        <v>1549722.2056698797</v>
      </c>
      <c r="X68" s="298">
        <f t="shared" si="31"/>
        <v>1442865.5736308752</v>
      </c>
      <c r="Y68" s="298">
        <f t="shared" si="31"/>
        <v>1335029.4224648464</v>
      </c>
      <c r="Z68" s="298">
        <f t="shared" si="31"/>
        <v>1226204.7732464625</v>
      </c>
      <c r="AA68" s="298">
        <f t="shared" si="31"/>
        <v>1116382.5647435768</v>
      </c>
      <c r="AB68" s="298">
        <f t="shared" si="31"/>
        <v>1005553.6526627478</v>
      </c>
      <c r="AC68" s="298">
        <f t="shared" si="31"/>
        <v>893708.80888784467</v>
      </c>
      <c r="AD68" s="298">
        <f t="shared" si="31"/>
        <v>852838.72071167151</v>
      </c>
      <c r="AE68" s="298">
        <f t="shared" si="31"/>
        <v>836933.99006055016</v>
      </c>
      <c r="AF68" s="298">
        <f t="shared" si="31"/>
        <v>794883.46604512678</v>
      </c>
      <c r="AG68" s="298">
        <f t="shared" si="31"/>
        <v>752447.47889289539</v>
      </c>
      <c r="AH68" s="298">
        <f t="shared" si="31"/>
        <v>634310.78699329752</v>
      </c>
      <c r="AI68" s="298">
        <f t="shared" si="31"/>
        <v>479672.52731871785</v>
      </c>
      <c r="AJ68" s="298">
        <f t="shared" si="31"/>
        <v>252779.45406531688</v>
      </c>
      <c r="AK68" s="298">
        <f t="shared" si="31"/>
        <v>-47030.768558044627</v>
      </c>
      <c r="AL68" s="298">
        <f t="shared" si="31"/>
        <v>-413493.21442059125</v>
      </c>
      <c r="AM68" s="231">
        <f>SUM(C68:AL68)</f>
        <v>35584546.879350863</v>
      </c>
      <c r="AN68" s="298"/>
      <c r="AO68" s="299"/>
    </row>
    <row r="69" spans="1:41" s="206" customFormat="1" hidden="1">
      <c r="A69" s="193"/>
      <c r="B69" s="211" t="s">
        <v>437</v>
      </c>
      <c r="C69" s="298"/>
      <c r="D69" s="298"/>
      <c r="E69" s="298"/>
      <c r="F69" s="298"/>
      <c r="G69" s="298"/>
      <c r="H69" s="298"/>
      <c r="I69" s="225"/>
      <c r="J69" s="225">
        <f>I68*CLIntRt</f>
        <v>5023.3048258487652</v>
      </c>
      <c r="K69" s="225">
        <f t="shared" ref="K69:AL69" si="32">J66*CLIntRt</f>
        <v>6804.4703570216043</v>
      </c>
      <c r="L69" s="225">
        <f t="shared" si="32"/>
        <v>11251.668952226855</v>
      </c>
      <c r="M69" s="225">
        <f t="shared" si="32"/>
        <v>13229.949928560285</v>
      </c>
      <c r="N69" s="225">
        <f t="shared" si="32"/>
        <v>16131.433139253533</v>
      </c>
      <c r="O69" s="225">
        <f t="shared" si="32"/>
        <v>18828.526256444366</v>
      </c>
      <c r="P69" s="225">
        <f t="shared" si="32"/>
        <v>21953.516873801349</v>
      </c>
      <c r="Q69" s="225">
        <f t="shared" si="32"/>
        <v>25745.900645633446</v>
      </c>
      <c r="R69" s="225">
        <f t="shared" si="32"/>
        <v>19634.323015747348</v>
      </c>
      <c r="S69" s="225">
        <f t="shared" si="32"/>
        <v>22601.186290542122</v>
      </c>
      <c r="T69" s="225">
        <f t="shared" si="32"/>
        <v>22797.238585010346</v>
      </c>
      <c r="U69" s="225">
        <f t="shared" si="32"/>
        <v>21852.82694217786</v>
      </c>
      <c r="V69" s="225">
        <f t="shared" si="32"/>
        <v>20899.758192619411</v>
      </c>
      <c r="W69" s="225">
        <f t="shared" si="32"/>
        <v>19937.952979523343</v>
      </c>
      <c r="X69" s="225">
        <f t="shared" si="32"/>
        <v>18967.331218640564</v>
      </c>
      <c r="Y69" s="225">
        <f t="shared" si="32"/>
        <v>17987.812091616357</v>
      </c>
      <c r="Z69" s="225">
        <f t="shared" si="32"/>
        <v>16999.314039261091</v>
      </c>
      <c r="AA69" s="225">
        <f t="shared" si="32"/>
        <v>16001.754754759238</v>
      </c>
      <c r="AB69" s="225">
        <f t="shared" si="32"/>
        <v>14995.05117681612</v>
      </c>
      <c r="AC69" s="225">
        <f t="shared" si="32"/>
        <v>13979.119482741855</v>
      </c>
      <c r="AD69" s="225">
        <f t="shared" si="32"/>
        <v>12953.87508147191</v>
      </c>
      <c r="AE69" s="225">
        <f t="shared" si="32"/>
        <v>11919.232606523656</v>
      </c>
      <c r="AF69" s="225">
        <f t="shared" si="32"/>
        <v>11773.43924222171</v>
      </c>
      <c r="AG69" s="225">
        <f t="shared" si="32"/>
        <v>11387.976105413662</v>
      </c>
      <c r="AH69" s="225">
        <f t="shared" si="32"/>
        <v>10998.979556518207</v>
      </c>
      <c r="AI69" s="225">
        <f t="shared" si="32"/>
        <v>9916.0598807718943</v>
      </c>
      <c r="AJ69" s="225">
        <f t="shared" si="32"/>
        <v>8498.5425004215813</v>
      </c>
      <c r="AK69" s="225">
        <f t="shared" si="32"/>
        <v>6418.6893289320715</v>
      </c>
      <c r="AL69" s="225">
        <f t="shared" si="32"/>
        <v>3670.4289548845909</v>
      </c>
      <c r="AM69" s="231">
        <f>SUM(C69:AL69)</f>
        <v>433159.66300540516</v>
      </c>
      <c r="AN69" s="298"/>
      <c r="AO69" s="299"/>
    </row>
    <row r="70" spans="1:41" s="206" customFormat="1">
      <c r="A70" s="193"/>
      <c r="B70" s="211"/>
      <c r="C70" s="298"/>
      <c r="D70" s="298"/>
      <c r="E70" s="298"/>
      <c r="F70" s="298"/>
      <c r="G70" s="298"/>
      <c r="H70" s="298"/>
      <c r="I70" s="298"/>
      <c r="J70" s="298"/>
      <c r="K70" s="298"/>
      <c r="L70" s="298"/>
      <c r="M70" s="298"/>
      <c r="N70" s="298"/>
      <c r="O70" s="298"/>
      <c r="P70" s="298"/>
      <c r="Q70" s="298"/>
      <c r="R70" s="298"/>
      <c r="S70" s="298"/>
      <c r="T70" s="298"/>
      <c r="U70" s="298"/>
      <c r="V70" s="298"/>
      <c r="W70" s="298"/>
      <c r="X70" s="298"/>
      <c r="Y70" s="298"/>
      <c r="Z70" s="298"/>
      <c r="AA70" s="298"/>
      <c r="AB70" s="298"/>
      <c r="AC70" s="298"/>
      <c r="AD70" s="298"/>
      <c r="AE70" s="298"/>
      <c r="AF70" s="298"/>
      <c r="AG70" s="298"/>
      <c r="AH70" s="298"/>
      <c r="AI70" s="298"/>
      <c r="AJ70" s="298"/>
      <c r="AK70" s="298"/>
      <c r="AL70" s="298"/>
      <c r="AM70" s="298"/>
      <c r="AN70" s="298"/>
      <c r="AO70" s="299"/>
    </row>
    <row r="71" spans="1:41" s="206" customFormat="1">
      <c r="A71" s="193"/>
      <c r="B71" s="211"/>
      <c r="C71" s="298"/>
      <c r="D71" s="298"/>
      <c r="E71" s="298"/>
      <c r="F71" s="298"/>
      <c r="G71" s="298"/>
      <c r="H71" s="298"/>
      <c r="I71" s="298"/>
      <c r="J71" s="298"/>
      <c r="K71" s="298"/>
      <c r="L71" s="298"/>
      <c r="M71" s="298"/>
      <c r="N71" s="298"/>
      <c r="O71" s="298"/>
      <c r="P71" s="298"/>
      <c r="Q71" s="298"/>
      <c r="R71" s="298"/>
      <c r="S71" s="298"/>
      <c r="T71" s="298"/>
      <c r="U71" s="298"/>
      <c r="V71" s="298"/>
      <c r="W71" s="298"/>
      <c r="X71" s="298"/>
      <c r="Y71" s="298"/>
      <c r="Z71" s="298"/>
      <c r="AA71" s="298"/>
      <c r="AB71" s="298"/>
      <c r="AC71" s="298"/>
      <c r="AD71" s="298"/>
      <c r="AE71" s="298"/>
      <c r="AF71" s="298"/>
      <c r="AG71" s="298"/>
      <c r="AH71" s="298"/>
      <c r="AI71" s="298"/>
      <c r="AJ71" s="298"/>
      <c r="AK71" s="298"/>
      <c r="AL71" s="298"/>
      <c r="AM71" s="298"/>
      <c r="AN71" s="298"/>
      <c r="AO71" s="299"/>
    </row>
    <row r="72" spans="1:41">
      <c r="A72" s="172"/>
      <c r="B72" s="172"/>
      <c r="C72" s="172"/>
      <c r="D72" s="172"/>
      <c r="E72" s="172"/>
      <c r="F72" s="172"/>
      <c r="G72" s="172"/>
      <c r="H72" s="172"/>
      <c r="I72" s="172"/>
      <c r="J72" s="172"/>
      <c r="K72" s="172"/>
      <c r="L72" s="172"/>
      <c r="M72" s="172"/>
      <c r="N72" s="172"/>
      <c r="O72" s="172"/>
      <c r="P72" s="172"/>
      <c r="Q72" s="172"/>
      <c r="R72" s="172"/>
      <c r="S72" s="172"/>
      <c r="T72" s="172"/>
      <c r="U72" s="172"/>
      <c r="V72" s="172"/>
      <c r="W72" s="172"/>
      <c r="X72" s="172"/>
      <c r="Y72" s="172"/>
      <c r="Z72" s="172"/>
      <c r="AA72" s="172"/>
      <c r="AB72" s="172"/>
      <c r="AC72" s="172"/>
      <c r="AD72" s="172"/>
      <c r="AE72" s="172"/>
      <c r="AF72" s="172"/>
      <c r="AG72" s="172"/>
      <c r="AH72" s="172"/>
      <c r="AI72" s="172"/>
      <c r="AJ72" s="172"/>
      <c r="AK72" s="172"/>
      <c r="AL72" s="172"/>
      <c r="AM72" s="172"/>
      <c r="AN72" s="172"/>
      <c r="AO72" s="172"/>
    </row>
    <row r="73" spans="1:41">
      <c r="A73" s="172"/>
      <c r="B73" s="172"/>
      <c r="C73" s="172"/>
      <c r="D73" s="172"/>
      <c r="E73" s="172"/>
      <c r="F73" s="172"/>
      <c r="G73" s="172"/>
      <c r="H73" s="172"/>
      <c r="I73" s="172"/>
      <c r="J73" s="172"/>
      <c r="K73" s="172"/>
      <c r="L73" s="172"/>
      <c r="M73" s="172"/>
      <c r="N73" s="172"/>
      <c r="O73" s="172"/>
      <c r="P73" s="172"/>
      <c r="Q73" s="172"/>
      <c r="R73" s="172"/>
      <c r="S73" s="172"/>
      <c r="T73" s="172"/>
      <c r="U73" s="172"/>
      <c r="V73" s="172"/>
      <c r="W73" s="172"/>
      <c r="X73" s="172"/>
      <c r="Y73" s="172"/>
      <c r="Z73" s="172"/>
      <c r="AA73" s="172"/>
      <c r="AB73" s="172"/>
      <c r="AC73" s="172"/>
      <c r="AD73" s="172"/>
      <c r="AE73" s="172"/>
      <c r="AF73" s="172"/>
      <c r="AG73" s="172"/>
      <c r="AH73" s="172"/>
      <c r="AI73" s="172"/>
      <c r="AJ73" s="172"/>
      <c r="AK73" s="172"/>
      <c r="AL73" s="172"/>
      <c r="AM73" s="172"/>
      <c r="AN73" s="172"/>
      <c r="AO73" s="172"/>
    </row>
    <row r="74" spans="1:41">
      <c r="A74" s="172"/>
      <c r="B74" s="172"/>
      <c r="C74" s="172"/>
      <c r="D74" s="172"/>
      <c r="E74" s="172"/>
      <c r="F74" s="172"/>
      <c r="G74" s="172"/>
      <c r="H74" s="172"/>
      <c r="I74" s="172"/>
      <c r="J74" s="172"/>
      <c r="K74" s="172"/>
      <c r="L74" s="172"/>
      <c r="M74" s="172"/>
      <c r="N74" s="172"/>
      <c r="O74" s="172"/>
      <c r="P74" s="172"/>
      <c r="Q74" s="172"/>
      <c r="R74" s="172"/>
      <c r="S74" s="172"/>
      <c r="T74" s="172"/>
      <c r="U74" s="172"/>
      <c r="V74" s="172"/>
      <c r="W74" s="172"/>
      <c r="X74" s="172"/>
      <c r="Y74" s="172"/>
      <c r="Z74" s="172"/>
      <c r="AA74" s="172"/>
      <c r="AB74" s="172"/>
      <c r="AC74" s="172"/>
      <c r="AD74" s="172"/>
      <c r="AE74" s="172"/>
      <c r="AF74" s="172"/>
      <c r="AG74" s="172"/>
      <c r="AH74" s="172"/>
      <c r="AI74" s="172"/>
      <c r="AJ74" s="172"/>
      <c r="AK74" s="172"/>
      <c r="AL74" s="172"/>
      <c r="AM74" s="172"/>
      <c r="AN74" s="172"/>
      <c r="AO74" s="172"/>
    </row>
    <row r="108" spans="2:2">
      <c r="B108" s="181">
        <f>+E11</f>
        <v>0</v>
      </c>
    </row>
  </sheetData>
  <mergeCells count="4">
    <mergeCell ref="B14:B15"/>
    <mergeCell ref="I13:AO13"/>
    <mergeCell ref="B8:H8"/>
    <mergeCell ref="B9:H9"/>
  </mergeCells>
  <phoneticPr fontId="3" type="noConversion"/>
  <hyperlinks>
    <hyperlink ref="B5" r:id="rId1" display="msbp://-r:276DB11B/"/>
  </hyperlinks>
  <printOptions horizontalCentered="1"/>
  <pageMargins left="0.3" right="0.3" top="0.91" bottom="0.75" header="0" footer="0.5"/>
  <pageSetup scale="81" fitToWidth="3" orientation="landscape" horizontalDpi="300" verticalDpi="300" r:id="rId2"/>
  <headerFooter alignWithMargins="0">
    <oddHeader>&amp;C&amp;"Goudy,Bold"&amp;12WESTGATE &amp;&amp; CAMERON LOOP
96 CONDOMINIUMS</oddHeader>
    <oddFooter>&amp;L&amp;"Arial,Bold"&amp;8Creekside Builders, LLC Confidential&amp;C&amp;8Page &amp;P Of &amp;N&amp;R&amp;D</oddFooter>
  </headerFooter>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94"/>
  <sheetViews>
    <sheetView workbookViewId="0">
      <selection activeCell="B51" sqref="B51"/>
    </sheetView>
  </sheetViews>
  <sheetFormatPr defaultRowHeight="12"/>
  <cols>
    <col min="1" max="1" width="8.140625" customWidth="1"/>
    <col min="2" max="2" width="11.42578125" bestFit="1" customWidth="1"/>
    <col min="3" max="3" width="8.42578125" bestFit="1" customWidth="1"/>
    <col min="4" max="4" width="9.5703125" bestFit="1" customWidth="1"/>
    <col min="5" max="5" width="8" bestFit="1" customWidth="1"/>
    <col min="6" max="6" width="4.140625" bestFit="1" customWidth="1"/>
    <col min="7" max="7" width="6.7109375" bestFit="1" customWidth="1"/>
    <col min="8" max="8" width="12" bestFit="1" customWidth="1"/>
    <col min="9" max="9" width="8.5703125" bestFit="1" customWidth="1"/>
    <col min="10" max="10" width="9.5703125" bestFit="1" customWidth="1"/>
    <col min="11" max="11" width="12" bestFit="1" customWidth="1"/>
    <col min="13" max="14" width="10.42578125" bestFit="1" customWidth="1"/>
  </cols>
  <sheetData>
    <row r="1" spans="1:14" ht="19.5" thickBot="1">
      <c r="A1" s="317" t="s">
        <v>407</v>
      </c>
      <c r="B1" s="318"/>
      <c r="C1" s="318"/>
      <c r="D1" s="318"/>
      <c r="E1" s="318"/>
      <c r="F1" s="318"/>
      <c r="G1" s="318"/>
      <c r="H1" s="318"/>
      <c r="I1" s="318"/>
      <c r="J1" s="318"/>
      <c r="K1" s="319"/>
    </row>
    <row r="2" spans="1:14">
      <c r="A2" s="54"/>
      <c r="B2" s="54"/>
      <c r="C2" s="54"/>
      <c r="D2" s="54"/>
      <c r="E2" s="54"/>
      <c r="F2" s="54"/>
      <c r="G2" s="54"/>
      <c r="H2" s="54"/>
      <c r="I2" s="54"/>
      <c r="J2" s="54"/>
      <c r="K2" s="54"/>
    </row>
    <row r="3" spans="1:14" ht="24">
      <c r="A3" s="17" t="s">
        <v>79</v>
      </c>
      <c r="B3" s="17" t="s">
        <v>80</v>
      </c>
      <c r="C3" s="17" t="s">
        <v>81</v>
      </c>
      <c r="D3" s="17" t="s">
        <v>82</v>
      </c>
      <c r="E3" s="17" t="s">
        <v>83</v>
      </c>
      <c r="F3" s="17" t="s">
        <v>84</v>
      </c>
      <c r="G3" s="17" t="s">
        <v>236</v>
      </c>
      <c r="H3" s="17" t="s">
        <v>0</v>
      </c>
      <c r="I3" s="17" t="s">
        <v>85</v>
      </c>
      <c r="J3" s="17" t="s">
        <v>86</v>
      </c>
      <c r="K3" s="17" t="s">
        <v>87</v>
      </c>
      <c r="M3" s="17" t="s">
        <v>239</v>
      </c>
      <c r="N3" s="17" t="s">
        <v>240</v>
      </c>
    </row>
    <row r="4" spans="1:14">
      <c r="A4" s="56" t="s">
        <v>219</v>
      </c>
      <c r="B4" s="56"/>
      <c r="C4" s="57"/>
      <c r="D4" s="58"/>
      <c r="E4" s="59"/>
      <c r="F4" s="56"/>
      <c r="G4" s="56"/>
      <c r="H4" s="58"/>
      <c r="I4" s="59"/>
      <c r="J4" s="58"/>
      <c r="K4" s="58"/>
      <c r="M4" s="58"/>
      <c r="N4" s="58"/>
    </row>
    <row r="5" spans="1:14">
      <c r="A5" s="60" t="s">
        <v>212</v>
      </c>
      <c r="B5" s="15" t="s">
        <v>222</v>
      </c>
      <c r="C5" s="35">
        <f>+'1164SF 2Sty'!B$10</f>
        <v>1164</v>
      </c>
      <c r="D5" s="37">
        <f>+'1164SF 2Sty'!G112</f>
        <v>79231.516800000012</v>
      </c>
      <c r="E5" s="34">
        <f>+'1164SF 2Sty'!H112</f>
        <v>68.068313402061833</v>
      </c>
      <c r="F5" s="15">
        <v>12</v>
      </c>
      <c r="G5" s="42">
        <f>+F5/F$14</f>
        <v>0.125</v>
      </c>
      <c r="H5" s="37">
        <f>+F5*D5</f>
        <v>950778.20160000015</v>
      </c>
      <c r="I5" s="61">
        <v>111</v>
      </c>
      <c r="J5" s="37">
        <f>+I5*C5</f>
        <v>129204</v>
      </c>
      <c r="K5" s="37">
        <f>+J5*F5</f>
        <v>1550448</v>
      </c>
      <c r="M5" s="55">
        <f>'Unit Summary'!C5*'Unit Summary'!F5</f>
        <v>13968</v>
      </c>
      <c r="N5" s="15">
        <f>'Unit Summary'!F5*'1164SF 2Sty'!$B$16</f>
        <v>18864</v>
      </c>
    </row>
    <row r="6" spans="1:14">
      <c r="A6" s="60" t="s">
        <v>213</v>
      </c>
      <c r="B6" s="15" t="s">
        <v>222</v>
      </c>
      <c r="C6" s="35">
        <f>+'1302SF 2Sty'!ACSFPLNA</f>
        <v>1302</v>
      </c>
      <c r="D6" s="37">
        <f>+'1302SF 2Sty'!G111</f>
        <v>83319.902399999992</v>
      </c>
      <c r="E6" s="34">
        <f>+'1302SF 2Sty'!H111</f>
        <v>63.99378064516128</v>
      </c>
      <c r="F6" s="15">
        <v>12</v>
      </c>
      <c r="G6" s="42">
        <f>+F6/F$14</f>
        <v>0.125</v>
      </c>
      <c r="H6" s="37">
        <f>+F6*D6</f>
        <v>999838.8287999999</v>
      </c>
      <c r="I6" s="61">
        <v>107</v>
      </c>
      <c r="J6" s="37">
        <f>+I6*C6</f>
        <v>139314</v>
      </c>
      <c r="K6" s="37">
        <f>+J6*F6</f>
        <v>1671768</v>
      </c>
      <c r="M6" s="55">
        <f>'Unit Summary'!C6*'Unit Summary'!F6</f>
        <v>15624</v>
      </c>
      <c r="N6" s="15">
        <f>'Unit Summary'!F6*'1302SF 2Sty'!$B$15</f>
        <v>20520</v>
      </c>
    </row>
    <row r="7" spans="1:14">
      <c r="A7" s="62" t="s">
        <v>214</v>
      </c>
      <c r="B7" s="15" t="s">
        <v>223</v>
      </c>
      <c r="C7" s="35">
        <f>+'1358SF 2Sty'!ACSFPLNA</f>
        <v>1358</v>
      </c>
      <c r="D7" s="37">
        <f>+'1358SF 2Sty'!G111</f>
        <v>82254.455699999991</v>
      </c>
      <c r="E7" s="34">
        <f>+'1358SF 2Sty'!H111</f>
        <v>60.570291384388788</v>
      </c>
      <c r="F7" s="15">
        <v>18</v>
      </c>
      <c r="G7" s="42">
        <f>+F7/F$14</f>
        <v>0.1875</v>
      </c>
      <c r="H7" s="37">
        <f>+F7*D7</f>
        <v>1480580.2026</v>
      </c>
      <c r="I7" s="61">
        <v>105</v>
      </c>
      <c r="J7" s="37">
        <f>+I7*C7</f>
        <v>142590</v>
      </c>
      <c r="K7" s="37">
        <f>+J7*F7</f>
        <v>2566620</v>
      </c>
      <c r="M7" s="55">
        <f>'Unit Summary'!C7*'Unit Summary'!F7</f>
        <v>24444</v>
      </c>
      <c r="N7" s="15">
        <f>'Unit Summary'!F7*'1358SF 2Sty'!$B$15</f>
        <v>31639.89</v>
      </c>
    </row>
    <row r="8" spans="1:14">
      <c r="A8" s="62" t="s">
        <v>215</v>
      </c>
      <c r="B8" s="15" t="s">
        <v>222</v>
      </c>
      <c r="C8" s="35">
        <f>+'1240SF 2Sty'!B$9</f>
        <v>1240</v>
      </c>
      <c r="D8" s="37">
        <f>+'1240SF 2Sty'!G111</f>
        <v>78810.437699999995</v>
      </c>
      <c r="E8" s="34">
        <f>+'1240SF 2Sty'!H111</f>
        <v>63.556804596774199</v>
      </c>
      <c r="F8" s="15">
        <v>12</v>
      </c>
      <c r="G8" s="42">
        <f>+F8/F$14</f>
        <v>0.125</v>
      </c>
      <c r="H8" s="37">
        <f>+F8*D8</f>
        <v>945725.25239999988</v>
      </c>
      <c r="I8" s="61">
        <v>110</v>
      </c>
      <c r="J8" s="37">
        <f>+I8*C8</f>
        <v>136400</v>
      </c>
      <c r="K8" s="37">
        <f>+J8*F8</f>
        <v>1636800</v>
      </c>
      <c r="M8" s="55">
        <f>'Unit Summary'!C8*'Unit Summary'!F8</f>
        <v>14880</v>
      </c>
      <c r="N8" s="15">
        <f>'Unit Summary'!F8*'1240SF 2Sty'!$B$15</f>
        <v>19677.259999999998</v>
      </c>
    </row>
    <row r="9" spans="1:14">
      <c r="A9" s="56" t="s">
        <v>220</v>
      </c>
      <c r="B9" s="56"/>
      <c r="C9" s="57"/>
      <c r="D9" s="58"/>
      <c r="E9" s="63"/>
      <c r="F9" s="56"/>
      <c r="G9" s="56"/>
      <c r="H9" s="58"/>
      <c r="I9" s="59"/>
      <c r="J9" s="58"/>
      <c r="K9" s="58"/>
      <c r="M9" s="58"/>
      <c r="N9" s="58"/>
    </row>
    <row r="10" spans="1:14">
      <c r="A10" s="62" t="s">
        <v>216</v>
      </c>
      <c r="B10" s="15" t="s">
        <v>224</v>
      </c>
      <c r="C10" s="35">
        <f>+'1463 IntCt-1Sty'!B$9</f>
        <v>1463</v>
      </c>
      <c r="D10" s="37">
        <f>+'1463 IntCt-1Sty'!G$111</f>
        <v>98871.116233962268</v>
      </c>
      <c r="E10" s="34">
        <f>+'1463 IntCt-1Sty'!H$111</f>
        <v>67.581077398470427</v>
      </c>
      <c r="F10" s="15">
        <v>18</v>
      </c>
      <c r="G10" s="42">
        <f>+F10/F$14</f>
        <v>0.1875</v>
      </c>
      <c r="H10" s="37">
        <f>+F10*D10</f>
        <v>1779680.0922113208</v>
      </c>
      <c r="I10" s="61">
        <v>100</v>
      </c>
      <c r="J10" s="37">
        <f>+I10*C10</f>
        <v>146300</v>
      </c>
      <c r="K10" s="37">
        <f>+J10*F10</f>
        <v>2633400</v>
      </c>
      <c r="M10" s="55">
        <f>'Unit Summary'!C10*'Unit Summary'!F10</f>
        <v>26334</v>
      </c>
      <c r="N10" s="15">
        <f>'Unit Summary'!F10*'1463 IntCt-1Sty'!TCSF</f>
        <v>34632</v>
      </c>
    </row>
    <row r="11" spans="1:14">
      <c r="A11" s="62" t="s">
        <v>218</v>
      </c>
      <c r="B11" s="15" t="s">
        <v>221</v>
      </c>
      <c r="C11" s="35">
        <f>+'1335 IntCt-1Sty'!B$9</f>
        <v>1335</v>
      </c>
      <c r="D11" s="37">
        <f>+'1335 IntCt-1Sty'!G$111</f>
        <v>98403.286800000002</v>
      </c>
      <c r="E11" s="34">
        <f>+'1335 IntCt-1Sty'!H$111</f>
        <v>73.710327191011231</v>
      </c>
      <c r="F11" s="15">
        <v>12</v>
      </c>
      <c r="G11" s="42">
        <f>+F11/F$14</f>
        <v>0.125</v>
      </c>
      <c r="H11" s="37">
        <f>+F11*D11</f>
        <v>1180839.4416</v>
      </c>
      <c r="I11" s="61">
        <v>105</v>
      </c>
      <c r="J11" s="37">
        <f>+I11*C11</f>
        <v>140175</v>
      </c>
      <c r="K11" s="37">
        <f>+J11*F11</f>
        <v>1682100</v>
      </c>
      <c r="M11" s="55">
        <f>'Unit Summary'!C11*'Unit Summary'!F11</f>
        <v>16020</v>
      </c>
      <c r="N11" s="15">
        <f>'Unit Summary'!F11*'1335 IntCt-1Sty'!TCSF</f>
        <v>23520</v>
      </c>
    </row>
    <row r="12" spans="1:14">
      <c r="A12" s="62" t="s">
        <v>217</v>
      </c>
      <c r="B12" s="15" t="s">
        <v>221</v>
      </c>
      <c r="C12" s="35">
        <f>+'1335 ExtCt-1Sty'!B$9</f>
        <v>1335</v>
      </c>
      <c r="D12" s="37">
        <f>+'1335 ExtCt-1Sty'!G111</f>
        <v>96919.460383766447</v>
      </c>
      <c r="E12" s="34">
        <f>+'1335 ExtCt-1Sty'!H$111</f>
        <v>72.598846729413054</v>
      </c>
      <c r="F12" s="15">
        <v>12</v>
      </c>
      <c r="G12" s="42">
        <f>+F12/F$14</f>
        <v>0.125</v>
      </c>
      <c r="H12" s="37">
        <f>+F12*D12</f>
        <v>1163033.5246051974</v>
      </c>
      <c r="I12" s="61">
        <v>105</v>
      </c>
      <c r="J12" s="37">
        <f>+I12*C12</f>
        <v>140175</v>
      </c>
      <c r="K12" s="37">
        <f>+J12*F12</f>
        <v>1682100</v>
      </c>
      <c r="M12" s="55">
        <f>'Unit Summary'!C12*'Unit Summary'!F12</f>
        <v>16020</v>
      </c>
      <c r="N12" s="15">
        <f>'Unit Summary'!F12*'1335 IntCt-1Sty'!TCSF</f>
        <v>23520</v>
      </c>
    </row>
    <row r="13" spans="1:14" ht="12.75" thickBot="1">
      <c r="A13" s="15"/>
      <c r="B13" s="15"/>
      <c r="C13" s="15"/>
      <c r="G13" s="15"/>
      <c r="H13" s="15"/>
      <c r="I13" s="36"/>
      <c r="J13" s="15"/>
      <c r="K13" s="37"/>
      <c r="M13" s="37"/>
      <c r="N13" s="15"/>
    </row>
    <row r="14" spans="1:14" ht="12.75" customHeight="1" thickBot="1">
      <c r="A14" s="19" t="s">
        <v>12</v>
      </c>
      <c r="B14" s="64"/>
      <c r="C14" s="64">
        <f>($F5*$C5+$F6*$C6+$F7*$C7+$F8*$C8+$F10*$C10+$F11*$C11+$F12*$C12)/$F14</f>
        <v>1325.9375</v>
      </c>
      <c r="D14" s="65">
        <f>+H14/TLU</f>
        <v>88546.62024808873</v>
      </c>
      <c r="E14" s="25">
        <f>H14/($F5*$C5+$F6*$C6+$F7*$C7+$F8*$C8+$F10*$C10+$F11*$C11+$F12*$C12)</f>
        <v>66.780387648806013</v>
      </c>
      <c r="F14" s="19">
        <f>SUM(F5:F12)</f>
        <v>96</v>
      </c>
      <c r="G14" s="43">
        <f>+F14/F14</f>
        <v>1</v>
      </c>
      <c r="H14" s="65">
        <f>SUM(H5:H12)</f>
        <v>8500475.543816518</v>
      </c>
      <c r="I14" s="25">
        <f>K14/($F5*$C5+$F6*$C6+$F7*$C7+$F8*$C8+$F10*$C10+$F11*$C11+$F12*$C12)</f>
        <v>105.45397124675937</v>
      </c>
      <c r="J14" s="24">
        <f>K14/TLU</f>
        <v>139825.375</v>
      </c>
      <c r="K14" s="24">
        <f>SUM(K4:K13)</f>
        <v>13423236</v>
      </c>
      <c r="M14" s="64">
        <f>SUM(M4:M13)</f>
        <v>127290</v>
      </c>
      <c r="N14" s="64">
        <f>SUM(N4:N13)</f>
        <v>172373.15</v>
      </c>
    </row>
    <row r="24" spans="16:17">
      <c r="P24">
        <v>4</v>
      </c>
      <c r="Q24">
        <v>4</v>
      </c>
    </row>
    <row r="62" spans="1:41" s="302" customFormat="1">
      <c r="A62"/>
      <c r="B62" s="300"/>
      <c r="C62" s="301"/>
      <c r="D62" s="301"/>
      <c r="E62" s="301"/>
      <c r="F62" s="301"/>
      <c r="G62" s="301"/>
      <c r="H62" s="301"/>
      <c r="I62" s="301"/>
      <c r="J62" s="301"/>
      <c r="K62" s="301"/>
      <c r="L62" s="301"/>
      <c r="M62" s="301"/>
      <c r="N62" s="301"/>
      <c r="O62" s="301"/>
      <c r="P62" s="301"/>
      <c r="Q62" s="301"/>
      <c r="R62" s="301"/>
      <c r="S62" s="301"/>
      <c r="T62" s="301"/>
      <c r="U62" s="301"/>
      <c r="V62" s="301"/>
      <c r="W62" s="301"/>
      <c r="X62" s="301"/>
      <c r="Y62" s="301"/>
      <c r="Z62" s="301"/>
      <c r="AA62" s="301"/>
      <c r="AB62" s="301"/>
      <c r="AC62" s="301"/>
      <c r="AD62" s="301"/>
      <c r="AE62" s="301"/>
      <c r="AF62" s="301"/>
      <c r="AG62" s="301"/>
      <c r="AH62" s="301"/>
      <c r="AI62" s="301"/>
      <c r="AJ62" s="301"/>
      <c r="AK62" s="301"/>
      <c r="AL62" s="301"/>
      <c r="AM62" s="301"/>
      <c r="AN62" s="301"/>
      <c r="AO62" s="301"/>
    </row>
    <row r="63" spans="1:41" s="302" customFormat="1">
      <c r="A63"/>
      <c r="B63" s="300"/>
      <c r="C63" s="300"/>
      <c r="D63" s="300"/>
      <c r="E63" s="300"/>
      <c r="F63" s="300"/>
      <c r="G63" s="300"/>
      <c r="H63" s="300"/>
      <c r="I63" s="300"/>
      <c r="J63" s="300"/>
      <c r="K63" s="300"/>
      <c r="L63" s="300"/>
      <c r="M63" s="300"/>
      <c r="N63" s="300"/>
      <c r="O63" s="300"/>
      <c r="P63" s="300"/>
      <c r="Q63" s="300"/>
      <c r="R63" s="300"/>
      <c r="S63" s="300"/>
      <c r="T63" s="300"/>
      <c r="U63" s="300"/>
      <c r="V63" s="300"/>
      <c r="W63" s="300"/>
      <c r="X63" s="300"/>
      <c r="Y63" s="300"/>
      <c r="Z63" s="300"/>
      <c r="AA63" s="300"/>
      <c r="AB63" s="300"/>
      <c r="AC63" s="300"/>
      <c r="AD63" s="300"/>
      <c r="AE63" s="300"/>
      <c r="AF63" s="300"/>
      <c r="AG63" s="300"/>
      <c r="AH63" s="300"/>
      <c r="AI63" s="300"/>
      <c r="AJ63" s="300"/>
      <c r="AK63" s="300"/>
      <c r="AL63" s="300"/>
      <c r="AM63" s="300"/>
      <c r="AN63" s="300"/>
      <c r="AO63" s="300"/>
    </row>
    <row r="64" spans="1:41" s="302" customFormat="1">
      <c r="A64"/>
      <c r="B64" s="300"/>
      <c r="C64" s="300"/>
      <c r="D64" s="300"/>
      <c r="E64" s="300"/>
      <c r="F64" s="300"/>
      <c r="G64" s="300"/>
      <c r="H64" s="300"/>
      <c r="I64" s="300"/>
      <c r="J64" s="300"/>
      <c r="K64" s="300"/>
      <c r="L64" s="300"/>
      <c r="M64" s="300"/>
      <c r="N64" s="300"/>
      <c r="O64" s="300"/>
      <c r="P64" s="300"/>
      <c r="Q64" s="300"/>
      <c r="R64" s="300"/>
      <c r="S64" s="300"/>
      <c r="T64" s="300"/>
      <c r="U64" s="300"/>
      <c r="V64" s="300"/>
      <c r="W64" s="300"/>
      <c r="X64" s="300"/>
      <c r="Y64" s="300"/>
      <c r="Z64" s="300"/>
      <c r="AA64" s="300"/>
      <c r="AB64" s="300"/>
      <c r="AC64" s="300"/>
      <c r="AD64" s="300"/>
      <c r="AE64" s="300"/>
      <c r="AF64" s="300"/>
      <c r="AG64" s="300"/>
      <c r="AH64" s="300"/>
      <c r="AI64" s="300"/>
      <c r="AJ64" s="300"/>
      <c r="AK64" s="300"/>
      <c r="AL64" s="300"/>
      <c r="AM64" s="300"/>
      <c r="AN64" s="300"/>
      <c r="AO64" s="300"/>
    </row>
    <row r="65" spans="1:41" s="302" customFormat="1">
      <c r="A65"/>
      <c r="B65" s="300"/>
      <c r="C65" s="300"/>
      <c r="D65" s="300"/>
      <c r="E65" s="300"/>
      <c r="F65" s="300"/>
      <c r="G65" s="300"/>
      <c r="H65" s="300"/>
      <c r="I65" s="300"/>
      <c r="J65" s="300"/>
      <c r="K65" s="300"/>
      <c r="L65" s="300"/>
      <c r="M65" s="300"/>
      <c r="N65" s="300"/>
      <c r="O65" s="300"/>
      <c r="P65" s="300"/>
      <c r="Q65" s="300"/>
      <c r="R65" s="300"/>
      <c r="S65" s="300"/>
      <c r="T65" s="300"/>
      <c r="U65" s="300"/>
      <c r="V65" s="300"/>
      <c r="W65" s="300"/>
      <c r="X65" s="300"/>
      <c r="Y65" s="300"/>
      <c r="Z65" s="300"/>
      <c r="AA65" s="300"/>
      <c r="AB65" s="300"/>
      <c r="AC65" s="300"/>
      <c r="AD65" s="300"/>
      <c r="AE65" s="300"/>
      <c r="AF65" s="300"/>
      <c r="AG65" s="300"/>
      <c r="AH65" s="300"/>
      <c r="AI65" s="300"/>
      <c r="AJ65" s="300"/>
      <c r="AK65" s="300"/>
      <c r="AL65" s="300"/>
      <c r="AM65" s="300"/>
      <c r="AN65" s="300"/>
      <c r="AO65" s="300"/>
    </row>
    <row r="66" spans="1:41" s="302" customFormat="1">
      <c r="A66"/>
      <c r="B66" s="303"/>
      <c r="C66" s="300"/>
      <c r="D66" s="300"/>
      <c r="E66" s="300"/>
      <c r="F66" s="300"/>
      <c r="G66" s="300"/>
      <c r="H66" s="300"/>
      <c r="I66" s="300"/>
      <c r="J66" s="300"/>
      <c r="K66" s="300"/>
      <c r="L66" s="300"/>
      <c r="M66" s="300"/>
      <c r="N66" s="300"/>
      <c r="O66" s="300"/>
      <c r="P66" s="300"/>
      <c r="Q66" s="300"/>
      <c r="R66" s="300"/>
      <c r="S66" s="300"/>
      <c r="T66" s="300"/>
      <c r="U66" s="300"/>
      <c r="V66" s="300"/>
      <c r="W66" s="300"/>
      <c r="X66" s="300"/>
      <c r="Y66" s="300"/>
      <c r="Z66" s="300"/>
      <c r="AA66" s="300"/>
      <c r="AB66" s="300"/>
      <c r="AC66" s="300"/>
      <c r="AD66" s="300"/>
      <c r="AE66" s="300"/>
      <c r="AF66" s="300"/>
      <c r="AG66" s="300"/>
      <c r="AH66" s="300"/>
      <c r="AI66" s="300"/>
      <c r="AJ66" s="300"/>
      <c r="AK66" s="300"/>
      <c r="AL66" s="300"/>
      <c r="AM66" s="300"/>
      <c r="AN66" s="300"/>
      <c r="AO66" s="300"/>
    </row>
    <row r="94" spans="2:2">
      <c r="B94" s="132">
        <f>+E11</f>
        <v>73.710327191011231</v>
      </c>
    </row>
  </sheetData>
  <mergeCells count="1">
    <mergeCell ref="A1:K1"/>
  </mergeCells>
  <phoneticPr fontId="31" type="noConversion"/>
  <printOptions horizontalCentered="1"/>
  <pageMargins left="0.25" right="0.25" top="1.7" bottom="1" header="0.5" footer="0.5"/>
  <pageSetup orientation="portrait" horizontalDpi="300" verticalDpi="300" r:id="rId1"/>
  <headerFooter alignWithMargins="0">
    <oddHeader>&amp;C&amp;"Garamond,Bold"&amp;12WESTGATE &amp;&amp; CAMERON LOOP
96 CONDOMINIUMS</oddHeader>
    <oddFooter>&amp;L&amp;"Garamond,Regular"&amp;8&amp;F&amp;C&amp;"Garamond,Regular"&amp;8&amp;P Of &amp;N&amp;R&amp;"Garamond,Regular"&amp;8&amp;D</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S201"/>
  <sheetViews>
    <sheetView zoomScaleNormal="100" workbookViewId="0">
      <selection activeCell="E11" sqref="E11"/>
    </sheetView>
  </sheetViews>
  <sheetFormatPr defaultColWidth="10.5703125" defaultRowHeight="11.25"/>
  <cols>
    <col min="1" max="1" width="30" style="74" customWidth="1"/>
    <col min="2" max="2" width="6.5703125" style="74" customWidth="1"/>
    <col min="3" max="3" width="6.5703125" style="74" bestFit="1" customWidth="1"/>
    <col min="4" max="4" width="9" style="74" customWidth="1"/>
    <col min="5" max="5" width="10.85546875" style="74" bestFit="1" customWidth="1"/>
    <col min="6" max="6" width="7.7109375" style="74" bestFit="1" customWidth="1"/>
    <col min="7" max="7" width="20.140625" style="74" hidden="1" customWidth="1"/>
    <col min="8" max="8" width="2.7109375" style="74" customWidth="1"/>
    <col min="9" max="9" width="20.5703125" style="74" customWidth="1"/>
    <col min="10" max="10" width="6.85546875" style="74" customWidth="1"/>
    <col min="11" max="11" width="8.140625" style="74" bestFit="1" customWidth="1"/>
    <col min="12" max="12" width="6.85546875" style="74" customWidth="1"/>
    <col min="13" max="13" width="8.5703125" style="74" customWidth="1"/>
    <col min="14" max="14" width="9" style="74" bestFit="1" customWidth="1"/>
    <col min="15" max="16384" width="10.5703125" style="74"/>
  </cols>
  <sheetData>
    <row r="1" spans="1:45" ht="19.5" thickBot="1">
      <c r="A1" s="317" t="s">
        <v>262</v>
      </c>
      <c r="B1" s="318"/>
      <c r="C1" s="318"/>
      <c r="D1" s="318"/>
      <c r="E1" s="318"/>
      <c r="F1" s="319"/>
      <c r="G1" s="169"/>
      <c r="H1"/>
      <c r="I1"/>
      <c r="J1"/>
      <c r="K1"/>
    </row>
    <row r="2" spans="1:45">
      <c r="A2" s="144" t="s">
        <v>364</v>
      </c>
      <c r="B2" s="145">
        <f>+F111</f>
        <v>13.145400000000002</v>
      </c>
      <c r="C2" s="75"/>
      <c r="D2" s="75"/>
    </row>
    <row r="3" spans="1:45">
      <c r="A3" s="125" t="s">
        <v>365</v>
      </c>
      <c r="B3" s="145">
        <f>+B2-F109-F110</f>
        <v>10.83569614325069</v>
      </c>
      <c r="C3" s="75"/>
      <c r="D3" s="75"/>
    </row>
    <row r="4" spans="1:45">
      <c r="A4" s="144" t="s">
        <v>206</v>
      </c>
      <c r="B4" s="144">
        <f>TLU</f>
        <v>96</v>
      </c>
      <c r="C4" s="75"/>
      <c r="D4" s="75"/>
    </row>
    <row r="5" spans="1:45">
      <c r="A5" s="144"/>
      <c r="B5" s="144"/>
      <c r="C5" s="75"/>
      <c r="D5" s="75"/>
    </row>
    <row r="6" spans="1:45">
      <c r="B6" s="76" t="s">
        <v>53</v>
      </c>
      <c r="C6" s="76" t="s">
        <v>14</v>
      </c>
      <c r="D6" s="76" t="s">
        <v>54</v>
      </c>
      <c r="E6" s="76" t="s">
        <v>55</v>
      </c>
      <c r="F6" s="76" t="s">
        <v>5</v>
      </c>
      <c r="G6" s="77" t="s">
        <v>103</v>
      </c>
      <c r="H6" s="77"/>
      <c r="I6" s="83"/>
      <c r="J6" s="83"/>
      <c r="K6" s="83"/>
      <c r="L6" s="91"/>
      <c r="M6" s="91"/>
      <c r="N6" s="93"/>
    </row>
    <row r="7" spans="1:45">
      <c r="B7" s="76"/>
      <c r="C7" s="76"/>
      <c r="D7" s="76"/>
      <c r="E7" s="76"/>
      <c r="F7" s="76"/>
      <c r="G7" s="77"/>
      <c r="H7" s="77"/>
      <c r="I7" s="83"/>
      <c r="J7" s="83"/>
      <c r="K7" s="83"/>
      <c r="L7" s="91"/>
      <c r="M7" s="91"/>
      <c r="N7" s="93"/>
    </row>
    <row r="8" spans="1:45">
      <c r="A8" s="77" t="s">
        <v>27</v>
      </c>
    </row>
    <row r="9" spans="1:45">
      <c r="A9" s="74" t="s">
        <v>56</v>
      </c>
      <c r="B9" s="74">
        <v>1</v>
      </c>
      <c r="C9" s="74" t="s">
        <v>57</v>
      </c>
      <c r="D9" s="80">
        <v>680000</v>
      </c>
      <c r="E9" s="81">
        <f>+D9*B9</f>
        <v>680000</v>
      </c>
      <c r="F9" s="81">
        <f t="shared" ref="F9:F18" si="0">+E9/TLU</f>
        <v>7083.333333333333</v>
      </c>
      <c r="I9" s="74" t="s">
        <v>357</v>
      </c>
      <c r="O9" s="84"/>
      <c r="P9" s="84"/>
      <c r="Q9" s="84"/>
      <c r="R9" s="84"/>
    </row>
    <row r="10" spans="1:45">
      <c r="A10" s="74" t="s">
        <v>336</v>
      </c>
      <c r="B10" s="85">
        <v>8</v>
      </c>
      <c r="C10" s="85" t="s">
        <v>183</v>
      </c>
      <c r="D10" s="80">
        <f>LandLTV*CLIntRt*LandPrice</f>
        <v>4363.333333333333</v>
      </c>
      <c r="E10" s="86">
        <f>+D10*B10</f>
        <v>34906.666666666664</v>
      </c>
      <c r="F10" s="86">
        <f t="shared" si="0"/>
        <v>363.61111111111109</v>
      </c>
      <c r="J10" s="74">
        <v>1</v>
      </c>
      <c r="K10" s="74">
        <v>2</v>
      </c>
      <c r="L10" s="74">
        <v>3</v>
      </c>
      <c r="M10" s="74">
        <v>4</v>
      </c>
      <c r="N10" s="74">
        <v>5</v>
      </c>
      <c r="O10" s="84">
        <v>6</v>
      </c>
      <c r="P10" s="84">
        <v>7</v>
      </c>
      <c r="Q10" s="84">
        <v>8</v>
      </c>
      <c r="R10" s="84">
        <v>9</v>
      </c>
      <c r="S10" s="74">
        <v>10</v>
      </c>
      <c r="T10" s="74">
        <v>11</v>
      </c>
      <c r="U10" s="74">
        <v>12</v>
      </c>
      <c r="V10" s="74">
        <v>13</v>
      </c>
      <c r="W10" s="74">
        <v>14</v>
      </c>
      <c r="X10" s="74">
        <v>15</v>
      </c>
      <c r="Y10" s="74">
        <v>16</v>
      </c>
      <c r="Z10" s="74">
        <v>17</v>
      </c>
      <c r="AA10" s="74">
        <v>18</v>
      </c>
      <c r="AB10" s="74">
        <v>19</v>
      </c>
      <c r="AC10" s="74">
        <v>20</v>
      </c>
      <c r="AD10" s="74">
        <v>21</v>
      </c>
      <c r="AE10" s="74">
        <v>22</v>
      </c>
      <c r="AF10" s="74">
        <v>23</v>
      </c>
      <c r="AG10" s="74">
        <v>24</v>
      </c>
      <c r="AH10" s="74">
        <v>25</v>
      </c>
      <c r="AI10" s="74">
        <v>26</v>
      </c>
      <c r="AJ10" s="74">
        <v>27</v>
      </c>
      <c r="AK10" s="74">
        <v>28</v>
      </c>
      <c r="AL10" s="74">
        <v>29</v>
      </c>
      <c r="AM10" s="74">
        <v>30</v>
      </c>
      <c r="AN10" s="74">
        <v>31</v>
      </c>
      <c r="AO10" s="74">
        <v>32</v>
      </c>
      <c r="AP10" s="74">
        <v>33</v>
      </c>
      <c r="AQ10" s="74">
        <v>34</v>
      </c>
      <c r="AR10" s="74">
        <v>35</v>
      </c>
      <c r="AS10" s="74">
        <v>36</v>
      </c>
    </row>
    <row r="11" spans="1:45">
      <c r="A11" s="87" t="s">
        <v>333</v>
      </c>
      <c r="B11" s="87">
        <v>36</v>
      </c>
      <c r="C11" s="87" t="s">
        <v>183</v>
      </c>
      <c r="D11" s="88">
        <f>+I12/36</f>
        <v>531.90586419753072</v>
      </c>
      <c r="E11" s="89">
        <f>+'Cash Flow Forecast'!AM41</f>
        <v>49933.333333333336</v>
      </c>
      <c r="F11" s="89">
        <f t="shared" si="0"/>
        <v>520.13888888888891</v>
      </c>
      <c r="J11" s="74">
        <v>96</v>
      </c>
      <c r="K11" s="74">
        <v>96</v>
      </c>
      <c r="L11" s="74">
        <v>96</v>
      </c>
      <c r="M11" s="74">
        <v>96</v>
      </c>
      <c r="N11" s="74">
        <v>96</v>
      </c>
      <c r="O11" s="84">
        <v>96</v>
      </c>
      <c r="P11" s="84">
        <v>96</v>
      </c>
      <c r="Q11" s="84">
        <v>96</v>
      </c>
      <c r="R11" s="84">
        <v>96</v>
      </c>
      <c r="S11" s="74">
        <v>96</v>
      </c>
      <c r="T11" s="74">
        <v>96</v>
      </c>
      <c r="U11" s="74">
        <v>96</v>
      </c>
      <c r="V11" s="74">
        <f>+U11-8</f>
        <v>88</v>
      </c>
      <c r="W11" s="74">
        <f>+V11-8</f>
        <v>80</v>
      </c>
      <c r="X11" s="74">
        <f>+W11-8</f>
        <v>72</v>
      </c>
      <c r="Y11" s="74">
        <f>+X11-8</f>
        <v>64</v>
      </c>
      <c r="Z11" s="74">
        <f>+Y11-5</f>
        <v>59</v>
      </c>
      <c r="AA11" s="74">
        <f t="shared" ref="AA11:AK11" si="1">+Z11-5</f>
        <v>54</v>
      </c>
      <c r="AB11" s="74">
        <f t="shared" si="1"/>
        <v>49</v>
      </c>
      <c r="AC11" s="74">
        <f t="shared" si="1"/>
        <v>44</v>
      </c>
      <c r="AD11" s="74">
        <f t="shared" si="1"/>
        <v>39</v>
      </c>
      <c r="AE11" s="74">
        <f t="shared" si="1"/>
        <v>34</v>
      </c>
      <c r="AF11" s="74">
        <f t="shared" si="1"/>
        <v>29</v>
      </c>
      <c r="AG11" s="74">
        <f t="shared" si="1"/>
        <v>24</v>
      </c>
      <c r="AH11" s="74">
        <f t="shared" si="1"/>
        <v>19</v>
      </c>
      <c r="AI11" s="74">
        <f t="shared" si="1"/>
        <v>14</v>
      </c>
      <c r="AJ11" s="74">
        <f t="shared" si="1"/>
        <v>9</v>
      </c>
      <c r="AK11" s="74">
        <f t="shared" si="1"/>
        <v>4</v>
      </c>
    </row>
    <row r="12" spans="1:45">
      <c r="A12" s="74" t="s">
        <v>58</v>
      </c>
      <c r="D12" s="94"/>
      <c r="E12" s="126">
        <f>SUM(E9:E11)</f>
        <v>764840</v>
      </c>
      <c r="F12" s="126">
        <f t="shared" si="0"/>
        <v>7967.083333333333</v>
      </c>
      <c r="I12" s="130">
        <f>SUM(J12:AS12)</f>
        <v>19148.611111111106</v>
      </c>
      <c r="J12" s="130">
        <f>0.025/12*$F$9*J11*0.7</f>
        <v>991.66666666666652</v>
      </c>
      <c r="K12" s="130">
        <f t="shared" ref="K12:T12" si="2">0.025/12*$F$9*K11*0.7</f>
        <v>991.66666666666652</v>
      </c>
      <c r="L12" s="130">
        <f t="shared" si="2"/>
        <v>991.66666666666652</v>
      </c>
      <c r="M12" s="130">
        <f t="shared" si="2"/>
        <v>991.66666666666652</v>
      </c>
      <c r="N12" s="130">
        <f t="shared" si="2"/>
        <v>991.66666666666652</v>
      </c>
      <c r="O12" s="130">
        <f t="shared" si="2"/>
        <v>991.66666666666652</v>
      </c>
      <c r="P12" s="130">
        <f t="shared" si="2"/>
        <v>991.66666666666652</v>
      </c>
      <c r="Q12" s="130">
        <f t="shared" si="2"/>
        <v>991.66666666666652</v>
      </c>
      <c r="R12" s="130">
        <f t="shared" si="2"/>
        <v>991.66666666666652</v>
      </c>
      <c r="S12" s="130">
        <f t="shared" si="2"/>
        <v>991.66666666666652</v>
      </c>
      <c r="T12" s="130">
        <f t="shared" si="2"/>
        <v>991.66666666666652</v>
      </c>
      <c r="U12" s="130">
        <f t="shared" ref="U12:AG12" si="3">0.025/12*$F$9*U11*0.7</f>
        <v>991.66666666666652</v>
      </c>
      <c r="V12" s="130">
        <f t="shared" si="3"/>
        <v>909.02777777777749</v>
      </c>
      <c r="W12" s="130">
        <f t="shared" si="3"/>
        <v>826.3888888888888</v>
      </c>
      <c r="X12" s="130">
        <f t="shared" si="3"/>
        <v>743.75</v>
      </c>
      <c r="Y12" s="130">
        <f t="shared" si="3"/>
        <v>661.11111111111097</v>
      </c>
      <c r="Z12" s="130">
        <f t="shared" si="3"/>
        <v>609.46180555555543</v>
      </c>
      <c r="AA12" s="130">
        <f t="shared" si="3"/>
        <v>557.81249999999989</v>
      </c>
      <c r="AB12" s="130">
        <f t="shared" si="3"/>
        <v>506.16319444444434</v>
      </c>
      <c r="AC12" s="130">
        <f t="shared" si="3"/>
        <v>454.51388888888874</v>
      </c>
      <c r="AD12" s="130">
        <f t="shared" si="3"/>
        <v>402.86458333333326</v>
      </c>
      <c r="AE12" s="130">
        <f t="shared" si="3"/>
        <v>351.21527777777771</v>
      </c>
      <c r="AF12" s="130">
        <f t="shared" si="3"/>
        <v>299.56597222222217</v>
      </c>
      <c r="AG12" s="130">
        <f t="shared" si="3"/>
        <v>247.91666666666663</v>
      </c>
      <c r="AH12" s="130">
        <f t="shared" ref="AH12:AS12" si="4">0.025/12*$F$9*AH11</f>
        <v>280.3819444444444</v>
      </c>
      <c r="AI12" s="130">
        <f t="shared" si="4"/>
        <v>206.5972222222222</v>
      </c>
      <c r="AJ12" s="130">
        <f t="shared" si="4"/>
        <v>132.8125</v>
      </c>
      <c r="AK12" s="130">
        <f t="shared" si="4"/>
        <v>59.027777777777771</v>
      </c>
      <c r="AL12" s="130">
        <f t="shared" si="4"/>
        <v>0</v>
      </c>
      <c r="AM12" s="130">
        <f t="shared" si="4"/>
        <v>0</v>
      </c>
      <c r="AN12" s="130">
        <f t="shared" si="4"/>
        <v>0</v>
      </c>
      <c r="AO12" s="130">
        <f t="shared" si="4"/>
        <v>0</v>
      </c>
      <c r="AP12" s="130">
        <f t="shared" si="4"/>
        <v>0</v>
      </c>
      <c r="AQ12" s="130">
        <f t="shared" si="4"/>
        <v>0</v>
      </c>
      <c r="AR12" s="130">
        <f t="shared" si="4"/>
        <v>0</v>
      </c>
      <c r="AS12" s="130">
        <f t="shared" si="4"/>
        <v>0</v>
      </c>
    </row>
    <row r="13" spans="1:45">
      <c r="D13" s="94"/>
      <c r="F13" s="95"/>
    </row>
    <row r="14" spans="1:45" ht="11.25" customHeight="1">
      <c r="A14" s="77" t="s">
        <v>59</v>
      </c>
      <c r="D14" s="94"/>
      <c r="F14" s="95"/>
    </row>
    <row r="15" spans="1:45" ht="11.25" customHeight="1">
      <c r="A15" s="74" t="s">
        <v>226</v>
      </c>
      <c r="B15" s="74">
        <v>1</v>
      </c>
      <c r="C15" s="74" t="s">
        <v>57</v>
      </c>
      <c r="D15" s="94">
        <v>5500</v>
      </c>
      <c r="E15" s="81">
        <f>+D15*B15</f>
        <v>5500</v>
      </c>
      <c r="F15" s="81">
        <f t="shared" si="0"/>
        <v>57.291666666666664</v>
      </c>
      <c r="G15" s="74" t="s">
        <v>184</v>
      </c>
    </row>
    <row r="16" spans="1:45">
      <c r="A16" s="74" t="s">
        <v>227</v>
      </c>
      <c r="B16" s="74">
        <v>1</v>
      </c>
      <c r="C16" s="74" t="s">
        <v>57</v>
      </c>
      <c r="D16" s="94">
        <v>3500</v>
      </c>
      <c r="E16" s="97">
        <f>+D16*B16</f>
        <v>3500</v>
      </c>
      <c r="F16" s="86">
        <f t="shared" si="0"/>
        <v>36.458333333333336</v>
      </c>
    </row>
    <row r="17" spans="1:17">
      <c r="A17" s="74" t="s">
        <v>225</v>
      </c>
      <c r="B17" s="74">
        <v>1</v>
      </c>
      <c r="C17" s="74" t="s">
        <v>57</v>
      </c>
      <c r="D17" s="94">
        <v>14500</v>
      </c>
      <c r="E17" s="97">
        <f>+D17*B17</f>
        <v>14500</v>
      </c>
      <c r="F17" s="86">
        <f t="shared" si="0"/>
        <v>151.04166666666666</v>
      </c>
    </row>
    <row r="18" spans="1:17">
      <c r="A18" s="74" t="s">
        <v>60</v>
      </c>
      <c r="B18" s="85">
        <f>TLU</f>
        <v>96</v>
      </c>
      <c r="C18" s="74" t="s">
        <v>57</v>
      </c>
      <c r="D18" s="94">
        <v>750</v>
      </c>
      <c r="E18" s="97">
        <f>+D18*B18</f>
        <v>72000</v>
      </c>
      <c r="F18" s="86">
        <f t="shared" si="0"/>
        <v>750</v>
      </c>
      <c r="I18" s="83"/>
      <c r="J18" s="83"/>
      <c r="K18" s="83"/>
      <c r="L18" s="91"/>
      <c r="M18" s="91"/>
      <c r="N18" s="93"/>
    </row>
    <row r="19" spans="1:17">
      <c r="A19" s="87" t="s">
        <v>228</v>
      </c>
      <c r="B19" s="87">
        <f>TLU</f>
        <v>96</v>
      </c>
      <c r="C19" s="87" t="s">
        <v>57</v>
      </c>
      <c r="D19" s="88">
        <f>(350+150+150)</f>
        <v>650</v>
      </c>
      <c r="E19" s="90">
        <f>+D19*B19</f>
        <v>62400</v>
      </c>
      <c r="F19" s="89">
        <f>+E19/TLU</f>
        <v>650</v>
      </c>
    </row>
    <row r="20" spans="1:17">
      <c r="A20" s="74" t="s">
        <v>61</v>
      </c>
      <c r="D20" s="94"/>
      <c r="E20" s="126">
        <f>SUM(E15:E19)</f>
        <v>157900</v>
      </c>
      <c r="F20" s="126">
        <f>+E20/TLU</f>
        <v>1644.7916666666667</v>
      </c>
    </row>
    <row r="21" spans="1:17">
      <c r="G21" s="74" t="s">
        <v>184</v>
      </c>
    </row>
    <row r="22" spans="1:17">
      <c r="A22" s="82" t="s">
        <v>270</v>
      </c>
      <c r="B22" s="83">
        <v>1</v>
      </c>
      <c r="C22" s="74" t="s">
        <v>57</v>
      </c>
      <c r="D22" s="74">
        <v>10000</v>
      </c>
      <c r="E22" s="126">
        <f>+D22*B22</f>
        <v>10000</v>
      </c>
      <c r="F22" s="126">
        <f>+E22/TLU</f>
        <v>104.16666666666667</v>
      </c>
    </row>
    <row r="23" spans="1:17">
      <c r="F23" s="95"/>
    </row>
    <row r="24" spans="1:17">
      <c r="A24" s="78" t="s">
        <v>324</v>
      </c>
      <c r="B24" s="83"/>
      <c r="C24" s="83"/>
      <c r="D24" s="91"/>
      <c r="E24" s="83"/>
      <c r="F24" s="128"/>
      <c r="P24" s="74">
        <v>4</v>
      </c>
      <c r="Q24" s="74">
        <v>4</v>
      </c>
    </row>
    <row r="25" spans="1:17">
      <c r="A25" s="83" t="s">
        <v>325</v>
      </c>
      <c r="B25" s="83">
        <v>2792.5</v>
      </c>
      <c r="C25" s="83" t="s">
        <v>196</v>
      </c>
      <c r="D25" s="91">
        <v>2</v>
      </c>
      <c r="E25" s="91">
        <f>+D25*B25</f>
        <v>5585</v>
      </c>
      <c r="F25" s="81">
        <f>+E25/TLU</f>
        <v>58.177083333333336</v>
      </c>
    </row>
    <row r="26" spans="1:17">
      <c r="A26" s="83" t="s">
        <v>326</v>
      </c>
      <c r="B26" s="83">
        <f>ROUND((5/7*11.5),0)</f>
        <v>8</v>
      </c>
      <c r="C26" s="83" t="s">
        <v>196</v>
      </c>
      <c r="D26" s="91">
        <v>500</v>
      </c>
      <c r="E26" s="91">
        <f>+D26*B26</f>
        <v>4000</v>
      </c>
      <c r="F26" s="86">
        <f>+E26/TLU</f>
        <v>41.666666666666664</v>
      </c>
    </row>
    <row r="27" spans="1:17">
      <c r="A27" s="98" t="s">
        <v>64</v>
      </c>
      <c r="B27" s="98">
        <f>ROUND((1/7*11.5),0)</f>
        <v>2</v>
      </c>
      <c r="C27" s="98" t="s">
        <v>196</v>
      </c>
      <c r="D27" s="99">
        <v>1500</v>
      </c>
      <c r="E27" s="99">
        <f>+D27*B27</f>
        <v>3000</v>
      </c>
      <c r="F27" s="89">
        <f>+E27/TLU</f>
        <v>31.25</v>
      </c>
    </row>
    <row r="28" spans="1:17">
      <c r="A28" s="82"/>
      <c r="C28" s="83"/>
      <c r="D28" s="91"/>
      <c r="E28" s="127">
        <f>SUM(E25:E27)</f>
        <v>12585</v>
      </c>
      <c r="F28" s="126">
        <f>+E28/TLU</f>
        <v>131.09375</v>
      </c>
    </row>
    <row r="29" spans="1:17">
      <c r="A29" s="82"/>
      <c r="B29" s="83"/>
      <c r="C29" s="83"/>
      <c r="D29" s="91"/>
      <c r="E29" s="92"/>
      <c r="F29" s="129"/>
    </row>
    <row r="30" spans="1:17">
      <c r="A30" s="78" t="s">
        <v>293</v>
      </c>
      <c r="B30" s="83"/>
      <c r="C30" s="83"/>
      <c r="D30" s="91"/>
      <c r="E30" s="91"/>
      <c r="F30" s="129"/>
      <c r="I30" s="83"/>
      <c r="J30" s="83"/>
      <c r="K30" s="83"/>
      <c r="L30" s="91"/>
      <c r="M30" s="91"/>
      <c r="N30" s="93"/>
    </row>
    <row r="31" spans="1:17">
      <c r="A31" s="83" t="s">
        <v>294</v>
      </c>
      <c r="B31" s="83">
        <f>ROUND((138/28*TLU*(25/65)),0)</f>
        <v>182</v>
      </c>
      <c r="C31" s="83" t="s">
        <v>63</v>
      </c>
      <c r="D31" s="91">
        <v>55</v>
      </c>
      <c r="E31" s="91">
        <f t="shared" ref="E31:E47" si="5">+D31*B31</f>
        <v>10010</v>
      </c>
      <c r="F31" s="81">
        <f t="shared" ref="F31:F46" si="6">+E31/TLU</f>
        <v>104.27083333333333</v>
      </c>
    </row>
    <row r="32" spans="1:17">
      <c r="A32" s="83" t="s">
        <v>295</v>
      </c>
      <c r="B32" s="83">
        <f>ROUND((276/28*TLU*(25/65)),0)</f>
        <v>364</v>
      </c>
      <c r="C32" s="83" t="s">
        <v>63</v>
      </c>
      <c r="D32" s="91">
        <v>42</v>
      </c>
      <c r="E32" s="91">
        <f t="shared" si="5"/>
        <v>15288</v>
      </c>
      <c r="F32" s="86">
        <f t="shared" si="6"/>
        <v>159.25</v>
      </c>
    </row>
    <row r="33" spans="1:14">
      <c r="A33" s="83" t="s">
        <v>296</v>
      </c>
      <c r="B33" s="83">
        <f>ROUND((124/28*TLU*(25/65)),0)</f>
        <v>164</v>
      </c>
      <c r="C33" s="83" t="s">
        <v>63</v>
      </c>
      <c r="D33" s="91">
        <v>47</v>
      </c>
      <c r="E33" s="91">
        <f t="shared" si="5"/>
        <v>7708</v>
      </c>
      <c r="F33" s="86">
        <f t="shared" si="6"/>
        <v>80.291666666666671</v>
      </c>
    </row>
    <row r="34" spans="1:14">
      <c r="A34" s="83" t="s">
        <v>297</v>
      </c>
      <c r="B34" s="83">
        <f>ROUND((344/28*TLU*(25/65)),0)</f>
        <v>454</v>
      </c>
      <c r="C34" s="83" t="s">
        <v>63</v>
      </c>
      <c r="D34" s="91">
        <v>52</v>
      </c>
      <c r="E34" s="91">
        <f t="shared" si="5"/>
        <v>23608</v>
      </c>
      <c r="F34" s="86">
        <f t="shared" si="6"/>
        <v>245.91666666666666</v>
      </c>
    </row>
    <row r="35" spans="1:14">
      <c r="A35" s="83" t="s">
        <v>298</v>
      </c>
      <c r="B35" s="83">
        <f>ROUND((85/28*TLU*(25/65)),0)</f>
        <v>112</v>
      </c>
      <c r="C35" s="83" t="s">
        <v>63</v>
      </c>
      <c r="D35" s="91">
        <v>36</v>
      </c>
      <c r="E35" s="91">
        <f t="shared" si="5"/>
        <v>4032</v>
      </c>
      <c r="F35" s="86">
        <f t="shared" si="6"/>
        <v>42</v>
      </c>
    </row>
    <row r="36" spans="1:14">
      <c r="A36" s="83" t="s">
        <v>299</v>
      </c>
      <c r="B36" s="83">
        <f>ROUND((51/28*TLU*(25/65)),0)</f>
        <v>67</v>
      </c>
      <c r="C36" s="83" t="s">
        <v>63</v>
      </c>
      <c r="D36" s="91">
        <v>40</v>
      </c>
      <c r="E36" s="91">
        <f t="shared" si="5"/>
        <v>2680</v>
      </c>
      <c r="F36" s="86">
        <f t="shared" si="6"/>
        <v>27.916666666666668</v>
      </c>
    </row>
    <row r="37" spans="1:14">
      <c r="A37" s="83" t="s">
        <v>300</v>
      </c>
      <c r="B37" s="83">
        <f>ROUND((59/28*TLU*(25/65)),0)</f>
        <v>78</v>
      </c>
      <c r="C37" s="83" t="s">
        <v>63</v>
      </c>
      <c r="D37" s="91">
        <v>45</v>
      </c>
      <c r="E37" s="91">
        <f t="shared" si="5"/>
        <v>3510</v>
      </c>
      <c r="F37" s="86">
        <f t="shared" si="6"/>
        <v>36.5625</v>
      </c>
    </row>
    <row r="38" spans="1:14">
      <c r="A38" s="83" t="s">
        <v>301</v>
      </c>
      <c r="B38" s="83">
        <f>ROUND((180/28*TLU*(25/65)),0)</f>
        <v>237</v>
      </c>
      <c r="C38" s="83" t="s">
        <v>63</v>
      </c>
      <c r="D38" s="91">
        <v>35</v>
      </c>
      <c r="E38" s="91">
        <f t="shared" si="5"/>
        <v>8295</v>
      </c>
      <c r="F38" s="86">
        <f t="shared" si="6"/>
        <v>86.40625</v>
      </c>
    </row>
    <row r="39" spans="1:14">
      <c r="A39" s="83" t="s">
        <v>302</v>
      </c>
      <c r="B39" s="83">
        <f>ROUND((1/28*TLU),0)</f>
        <v>3</v>
      </c>
      <c r="C39" s="83" t="s">
        <v>196</v>
      </c>
      <c r="D39" s="91">
        <v>2000</v>
      </c>
      <c r="E39" s="91">
        <f t="shared" si="5"/>
        <v>6000</v>
      </c>
      <c r="F39" s="86">
        <f t="shared" si="6"/>
        <v>62.5</v>
      </c>
    </row>
    <row r="40" spans="1:14">
      <c r="A40" s="83" t="s">
        <v>303</v>
      </c>
      <c r="B40" s="83">
        <f>ROUND((4/28*TLU),0)</f>
        <v>14</v>
      </c>
      <c r="C40" s="83" t="s">
        <v>196</v>
      </c>
      <c r="D40" s="91">
        <v>2500</v>
      </c>
      <c r="E40" s="91">
        <f t="shared" si="5"/>
        <v>35000</v>
      </c>
      <c r="F40" s="86">
        <f t="shared" si="6"/>
        <v>364.58333333333331</v>
      </c>
    </row>
    <row r="41" spans="1:14">
      <c r="A41" s="83" t="s">
        <v>304</v>
      </c>
      <c r="B41" s="83">
        <v>0</v>
      </c>
      <c r="C41" s="83" t="s">
        <v>305</v>
      </c>
      <c r="D41" s="91">
        <v>200</v>
      </c>
      <c r="E41" s="91">
        <f t="shared" si="5"/>
        <v>0</v>
      </c>
      <c r="F41" s="86">
        <f t="shared" si="6"/>
        <v>0</v>
      </c>
      <c r="G41" s="74" t="s">
        <v>229</v>
      </c>
    </row>
    <row r="42" spans="1:14">
      <c r="A42" s="83" t="s">
        <v>306</v>
      </c>
      <c r="B42" s="83">
        <f>ROUND((2/28*TLU),0)</f>
        <v>7</v>
      </c>
      <c r="C42" s="83" t="s">
        <v>196</v>
      </c>
      <c r="D42" s="91">
        <v>2000</v>
      </c>
      <c r="E42" s="91">
        <f t="shared" si="5"/>
        <v>14000</v>
      </c>
      <c r="F42" s="86">
        <f t="shared" si="6"/>
        <v>145.83333333333334</v>
      </c>
      <c r="G42" s="74" t="s">
        <v>230</v>
      </c>
    </row>
    <row r="43" spans="1:14">
      <c r="A43" s="83" t="s">
        <v>307</v>
      </c>
      <c r="B43" s="83">
        <f>ROUND((2/28*TLU),0)</f>
        <v>7</v>
      </c>
      <c r="C43" s="83" t="s">
        <v>196</v>
      </c>
      <c r="D43" s="91">
        <v>2500</v>
      </c>
      <c r="E43" s="91">
        <f t="shared" si="5"/>
        <v>17500</v>
      </c>
      <c r="F43" s="86">
        <f t="shared" si="6"/>
        <v>182.29166666666666</v>
      </c>
      <c r="G43" s="74" t="s">
        <v>230</v>
      </c>
    </row>
    <row r="44" spans="1:14">
      <c r="A44" s="83" t="s">
        <v>308</v>
      </c>
      <c r="B44" s="83">
        <f>ROUND((1/28*TLU),0)</f>
        <v>3</v>
      </c>
      <c r="C44" s="83" t="s">
        <v>196</v>
      </c>
      <c r="D44" s="91">
        <v>3000</v>
      </c>
      <c r="E44" s="91">
        <f t="shared" si="5"/>
        <v>9000</v>
      </c>
      <c r="F44" s="86">
        <f t="shared" si="6"/>
        <v>93.75</v>
      </c>
      <c r="G44" s="74" t="s">
        <v>230</v>
      </c>
    </row>
    <row r="45" spans="1:14">
      <c r="A45" s="83" t="s">
        <v>309</v>
      </c>
      <c r="B45" s="83">
        <f>ROUND((1/28*TLU),0)</f>
        <v>3</v>
      </c>
      <c r="C45" s="83" t="s">
        <v>196</v>
      </c>
      <c r="D45" s="91">
        <v>5000</v>
      </c>
      <c r="E45" s="91">
        <f t="shared" si="5"/>
        <v>15000</v>
      </c>
      <c r="F45" s="86">
        <f t="shared" si="6"/>
        <v>156.25</v>
      </c>
      <c r="G45" s="74" t="s">
        <v>230</v>
      </c>
    </row>
    <row r="46" spans="1:14">
      <c r="A46" s="83" t="s">
        <v>310</v>
      </c>
      <c r="B46" s="83">
        <v>0</v>
      </c>
      <c r="C46" s="83" t="s">
        <v>196</v>
      </c>
      <c r="D46" s="91">
        <v>3000</v>
      </c>
      <c r="E46" s="91">
        <f t="shared" si="5"/>
        <v>0</v>
      </c>
      <c r="F46" s="86">
        <f t="shared" si="6"/>
        <v>0</v>
      </c>
      <c r="G46" s="74" t="s">
        <v>230</v>
      </c>
    </row>
    <row r="47" spans="1:14" ht="22.5">
      <c r="A47" s="118" t="s">
        <v>409</v>
      </c>
      <c r="B47" s="98">
        <v>1</v>
      </c>
      <c r="C47" s="98" t="s">
        <v>196</v>
      </c>
      <c r="D47" s="99">
        <v>71000</v>
      </c>
      <c r="E47" s="99">
        <f t="shared" si="5"/>
        <v>71000</v>
      </c>
      <c r="F47" s="89">
        <f>+E47/TLU</f>
        <v>739.58333333333337</v>
      </c>
      <c r="G47" s="74" t="s">
        <v>230</v>
      </c>
      <c r="I47" s="83"/>
      <c r="J47" s="83"/>
      <c r="K47" s="83"/>
      <c r="L47" s="91"/>
      <c r="M47" s="83"/>
      <c r="N47" s="83"/>
    </row>
    <row r="48" spans="1:14">
      <c r="A48" s="82" t="s">
        <v>311</v>
      </c>
      <c r="B48" s="83"/>
      <c r="C48" s="83"/>
      <c r="D48" s="91"/>
      <c r="E48" s="101">
        <f>SUM(E31:E47)</f>
        <v>242631</v>
      </c>
      <c r="F48" s="126">
        <f>+E48/TLU</f>
        <v>2527.40625</v>
      </c>
    </row>
    <row r="49" spans="1:41">
      <c r="D49" s="94"/>
      <c r="F49" s="95"/>
    </row>
    <row r="50" spans="1:41">
      <c r="A50" s="78" t="s">
        <v>272</v>
      </c>
      <c r="B50" s="83"/>
      <c r="C50" s="83"/>
      <c r="D50" s="91"/>
      <c r="E50" s="91"/>
      <c r="F50" s="129"/>
    </row>
    <row r="51" spans="1:41">
      <c r="A51" s="96" t="s">
        <v>273</v>
      </c>
      <c r="B51" s="83">
        <v>750</v>
      </c>
      <c r="C51" s="83" t="s">
        <v>63</v>
      </c>
      <c r="D51" s="91">
        <v>22</v>
      </c>
      <c r="E51" s="91">
        <f t="shared" ref="E51:E58" si="7">+D51*B51</f>
        <v>16500</v>
      </c>
      <c r="F51" s="81">
        <f t="shared" ref="F51:F57" si="8">+E51/TLU</f>
        <v>171.875</v>
      </c>
    </row>
    <row r="52" spans="1:41">
      <c r="A52" s="83" t="s">
        <v>274</v>
      </c>
      <c r="B52" s="83">
        <f>ROUND((2+(96/14-2)),0)</f>
        <v>7</v>
      </c>
      <c r="C52" s="83" t="s">
        <v>196</v>
      </c>
      <c r="D52" s="91">
        <v>1800</v>
      </c>
      <c r="E52" s="91">
        <f t="shared" si="7"/>
        <v>12600</v>
      </c>
      <c r="F52" s="86">
        <f t="shared" si="8"/>
        <v>131.25</v>
      </c>
      <c r="G52" s="74" t="s">
        <v>231</v>
      </c>
    </row>
    <row r="53" spans="1:41">
      <c r="A53" s="83" t="s">
        <v>275</v>
      </c>
      <c r="B53" s="83">
        <f>ROUND((7/28*96),0)</f>
        <v>24</v>
      </c>
      <c r="C53" s="83" t="s">
        <v>196</v>
      </c>
      <c r="D53" s="91">
        <v>800</v>
      </c>
      <c r="E53" s="91">
        <f t="shared" si="7"/>
        <v>19200</v>
      </c>
      <c r="F53" s="86">
        <f t="shared" si="8"/>
        <v>200</v>
      </c>
      <c r="G53" s="74" t="s">
        <v>232</v>
      </c>
    </row>
    <row r="54" spans="1:41">
      <c r="A54" s="83" t="s">
        <v>276</v>
      </c>
      <c r="B54" s="83">
        <f>ROUND((4/28*96),0)</f>
        <v>14</v>
      </c>
      <c r="C54" s="83" t="s">
        <v>196</v>
      </c>
      <c r="D54" s="91">
        <v>600</v>
      </c>
      <c r="E54" s="91">
        <f t="shared" si="7"/>
        <v>8400</v>
      </c>
      <c r="F54" s="86">
        <f t="shared" si="8"/>
        <v>87.5</v>
      </c>
      <c r="G54" s="74" t="s">
        <v>232</v>
      </c>
    </row>
    <row r="55" spans="1:41">
      <c r="A55" s="83" t="s">
        <v>277</v>
      </c>
      <c r="B55" s="83">
        <f>ROUND((4/28*96),0)</f>
        <v>14</v>
      </c>
      <c r="C55" s="83" t="s">
        <v>196</v>
      </c>
      <c r="D55" s="91">
        <v>1250</v>
      </c>
      <c r="E55" s="91">
        <f t="shared" si="7"/>
        <v>17500</v>
      </c>
      <c r="F55" s="86">
        <f t="shared" si="8"/>
        <v>182.29166666666666</v>
      </c>
      <c r="G55" s="74" t="s">
        <v>232</v>
      </c>
    </row>
    <row r="56" spans="1:41">
      <c r="A56" s="83" t="s">
        <v>278</v>
      </c>
      <c r="B56" s="83">
        <f>ROUND((3/28*96),0)</f>
        <v>10</v>
      </c>
      <c r="C56" s="83" t="s">
        <v>196</v>
      </c>
      <c r="D56" s="91">
        <v>750</v>
      </c>
      <c r="E56" s="91">
        <f t="shared" si="7"/>
        <v>7500</v>
      </c>
      <c r="F56" s="86">
        <f t="shared" si="8"/>
        <v>78.125</v>
      </c>
      <c r="G56" s="74" t="s">
        <v>232</v>
      </c>
    </row>
    <row r="57" spans="1:41">
      <c r="A57" s="83" t="s">
        <v>279</v>
      </c>
      <c r="B57" s="83">
        <f>ROUND((2/28*96),0)</f>
        <v>7</v>
      </c>
      <c r="C57" s="83" t="s">
        <v>196</v>
      </c>
      <c r="D57" s="91">
        <v>500</v>
      </c>
      <c r="E57" s="91">
        <f t="shared" si="7"/>
        <v>3500</v>
      </c>
      <c r="F57" s="86">
        <f t="shared" si="8"/>
        <v>36.458333333333336</v>
      </c>
    </row>
    <row r="58" spans="1:41">
      <c r="A58" s="98" t="s">
        <v>280</v>
      </c>
      <c r="B58" s="98">
        <f>ROUND((2/28*96),0)</f>
        <v>7</v>
      </c>
      <c r="C58" s="98" t="s">
        <v>196</v>
      </c>
      <c r="D58" s="99">
        <v>500</v>
      </c>
      <c r="E58" s="99">
        <f t="shared" si="7"/>
        <v>3500</v>
      </c>
      <c r="F58" s="89">
        <f>+E58/TLU</f>
        <v>36.458333333333336</v>
      </c>
    </row>
    <row r="59" spans="1:41">
      <c r="A59" s="82" t="s">
        <v>281</v>
      </c>
      <c r="B59" s="83"/>
      <c r="C59" s="83"/>
      <c r="D59" s="91"/>
      <c r="E59" s="101">
        <f>SUM(E51:E58)</f>
        <v>88700</v>
      </c>
      <c r="F59" s="126">
        <f>+E59/TLU</f>
        <v>923.95833333333337</v>
      </c>
    </row>
    <row r="60" spans="1:41">
      <c r="D60" s="94"/>
      <c r="F60" s="95"/>
    </row>
    <row r="61" spans="1:41">
      <c r="A61" s="78" t="s">
        <v>282</v>
      </c>
      <c r="B61" s="83"/>
      <c r="C61" s="83"/>
      <c r="D61" s="91"/>
      <c r="E61" s="91"/>
      <c r="F61" s="129"/>
    </row>
    <row r="62" spans="1:41" s="85" customFormat="1" ht="12">
      <c r="A62" s="83" t="s">
        <v>283</v>
      </c>
      <c r="B62" s="294">
        <f>ROUND((700/28*TLU*(25/65)),0)</f>
        <v>923</v>
      </c>
      <c r="C62" s="294" t="s">
        <v>284</v>
      </c>
      <c r="D62" s="295">
        <v>25</v>
      </c>
      <c r="E62" s="295">
        <f t="shared" ref="E62:E69" si="9">+D62*B62</f>
        <v>23075</v>
      </c>
      <c r="F62" s="296">
        <f t="shared" ref="F62:F68" si="10">+E62/TLU</f>
        <v>240.36458333333334</v>
      </c>
      <c r="G62" s="173"/>
      <c r="H62" s="173"/>
      <c r="I62" s="173"/>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row>
    <row r="63" spans="1:41" s="85" customFormat="1" ht="12">
      <c r="A63" s="83" t="s">
        <v>285</v>
      </c>
      <c r="B63" s="294">
        <f>ROUND((59/28*TLU*(25/65)),0)</f>
        <v>78</v>
      </c>
      <c r="C63" s="294" t="s">
        <v>284</v>
      </c>
      <c r="D63" s="295">
        <v>30</v>
      </c>
      <c r="E63" s="295">
        <f t="shared" si="9"/>
        <v>2340</v>
      </c>
      <c r="F63" s="297">
        <f t="shared" si="10"/>
        <v>24.375</v>
      </c>
      <c r="G63" s="173"/>
      <c r="H63" s="173"/>
      <c r="I63" s="173"/>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row>
    <row r="64" spans="1:41" s="85" customFormat="1" ht="12">
      <c r="A64" s="83" t="s">
        <v>286</v>
      </c>
      <c r="B64" s="294">
        <f>ROUND((59/28*TLU*(25/65)),0)</f>
        <v>78</v>
      </c>
      <c r="C64" s="294" t="s">
        <v>284</v>
      </c>
      <c r="D64" s="295">
        <v>35</v>
      </c>
      <c r="E64" s="295">
        <f t="shared" si="9"/>
        <v>2730</v>
      </c>
      <c r="F64" s="297">
        <f t="shared" si="10"/>
        <v>28.4375</v>
      </c>
      <c r="G64" s="173"/>
      <c r="H64" s="173"/>
      <c r="I64" s="173"/>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row>
    <row r="65" spans="1:41" s="85" customFormat="1" ht="12">
      <c r="A65" s="83" t="s">
        <v>287</v>
      </c>
      <c r="B65" s="294">
        <f>ROUND((47/28*TLU*(25/65)),0)</f>
        <v>62</v>
      </c>
      <c r="C65" s="294" t="s">
        <v>284</v>
      </c>
      <c r="D65" s="295">
        <v>40</v>
      </c>
      <c r="E65" s="295">
        <f t="shared" si="9"/>
        <v>2480</v>
      </c>
      <c r="F65" s="297">
        <f t="shared" si="10"/>
        <v>25.833333333333332</v>
      </c>
      <c r="G65" s="173"/>
      <c r="H65" s="173"/>
      <c r="I65" s="173"/>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row>
    <row r="66" spans="1:41" s="85" customFormat="1" ht="12">
      <c r="A66" s="104" t="s">
        <v>288</v>
      </c>
      <c r="B66" s="294">
        <f>ROUND((4/28*TLU),0)</f>
        <v>14</v>
      </c>
      <c r="C66" s="294" t="s">
        <v>196</v>
      </c>
      <c r="D66" s="295">
        <v>2000</v>
      </c>
      <c r="E66" s="295">
        <f t="shared" si="9"/>
        <v>28000</v>
      </c>
      <c r="F66" s="297">
        <f t="shared" si="10"/>
        <v>291.66666666666669</v>
      </c>
      <c r="G66" s="173" t="s">
        <v>230</v>
      </c>
      <c r="H66" s="173"/>
      <c r="I66" s="173"/>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row>
    <row r="67" spans="1:41">
      <c r="A67" s="83" t="s">
        <v>289</v>
      </c>
      <c r="B67" s="83">
        <f>ROUND((4/28*TLU),0)</f>
        <v>14</v>
      </c>
      <c r="C67" s="83" t="s">
        <v>196</v>
      </c>
      <c r="D67" s="91">
        <v>900</v>
      </c>
      <c r="E67" s="91">
        <f t="shared" si="9"/>
        <v>12600</v>
      </c>
      <c r="F67" s="86">
        <f t="shared" si="10"/>
        <v>131.25</v>
      </c>
      <c r="G67" s="74" t="s">
        <v>233</v>
      </c>
    </row>
    <row r="68" spans="1:41">
      <c r="A68" s="83" t="s">
        <v>290</v>
      </c>
      <c r="B68" s="83">
        <f>ROUND((6/28*TLU),0)</f>
        <v>21</v>
      </c>
      <c r="C68" s="83" t="s">
        <v>196</v>
      </c>
      <c r="D68" s="91">
        <v>1200</v>
      </c>
      <c r="E68" s="91">
        <f t="shared" si="9"/>
        <v>25200</v>
      </c>
      <c r="F68" s="86">
        <f t="shared" si="10"/>
        <v>262.5</v>
      </c>
      <c r="G68" s="74" t="s">
        <v>230</v>
      </c>
    </row>
    <row r="69" spans="1:41">
      <c r="A69" s="98" t="s">
        <v>291</v>
      </c>
      <c r="B69" s="98">
        <f>ROUND((3/28*TLU),0)</f>
        <v>10</v>
      </c>
      <c r="C69" s="98" t="s">
        <v>196</v>
      </c>
      <c r="D69" s="99">
        <v>1000</v>
      </c>
      <c r="E69" s="99">
        <f t="shared" si="9"/>
        <v>10000</v>
      </c>
      <c r="F69" s="89">
        <f>+E69/TLU</f>
        <v>104.16666666666667</v>
      </c>
    </row>
    <row r="70" spans="1:41">
      <c r="A70" s="82" t="s">
        <v>292</v>
      </c>
      <c r="B70" s="83"/>
      <c r="C70" s="83"/>
      <c r="D70" s="91"/>
      <c r="E70" s="101">
        <f>SUM(E62:E69)</f>
        <v>106425</v>
      </c>
      <c r="F70" s="126">
        <f>+E70/TLU</f>
        <v>1108.59375</v>
      </c>
    </row>
    <row r="71" spans="1:41">
      <c r="A71" s="82"/>
      <c r="B71" s="83"/>
      <c r="C71" s="83"/>
      <c r="D71" s="91"/>
      <c r="E71" s="101"/>
      <c r="F71" s="101"/>
    </row>
    <row r="72" spans="1:41">
      <c r="A72" s="77" t="s">
        <v>67</v>
      </c>
      <c r="D72" s="94"/>
      <c r="F72" s="95"/>
    </row>
    <row r="73" spans="1:41">
      <c r="A73" s="74" t="s">
        <v>68</v>
      </c>
      <c r="B73" s="74">
        <v>450</v>
      </c>
      <c r="C73" s="74" t="s">
        <v>63</v>
      </c>
      <c r="D73" s="94">
        <v>25</v>
      </c>
      <c r="E73" s="81">
        <f>+D73*B73</f>
        <v>11250</v>
      </c>
      <c r="F73" s="81">
        <f>+E73/TLU</f>
        <v>117.1875</v>
      </c>
    </row>
    <row r="74" spans="1:41">
      <c r="A74" s="74" t="s">
        <v>69</v>
      </c>
      <c r="B74" s="74">
        <v>450</v>
      </c>
      <c r="C74" s="74" t="s">
        <v>63</v>
      </c>
      <c r="D74" s="94">
        <v>5</v>
      </c>
      <c r="E74" s="105">
        <f>+D74*B74</f>
        <v>2250</v>
      </c>
      <c r="F74" s="112">
        <f>+E74/TLU</f>
        <v>23.4375</v>
      </c>
    </row>
    <row r="75" spans="1:41">
      <c r="A75" s="87" t="s">
        <v>70</v>
      </c>
      <c r="B75" s="87">
        <v>450</v>
      </c>
      <c r="C75" s="87" t="s">
        <v>63</v>
      </c>
      <c r="D75" s="88">
        <v>5</v>
      </c>
      <c r="E75" s="103">
        <f>+D75*B75</f>
        <v>2250</v>
      </c>
      <c r="F75" s="89">
        <f>+E75/TLU</f>
        <v>23.4375</v>
      </c>
    </row>
    <row r="76" spans="1:41">
      <c r="A76" s="74" t="s">
        <v>71</v>
      </c>
      <c r="D76" s="94"/>
      <c r="E76" s="126">
        <f>SUM(E73:E75)</f>
        <v>15750</v>
      </c>
      <c r="F76" s="126">
        <f>+E76/TLU</f>
        <v>164.0625</v>
      </c>
    </row>
    <row r="77" spans="1:41">
      <c r="D77" s="94"/>
      <c r="F77" s="95"/>
    </row>
    <row r="78" spans="1:41">
      <c r="A78" s="78" t="s">
        <v>312</v>
      </c>
      <c r="B78" s="83"/>
      <c r="C78" s="83"/>
      <c r="D78" s="91"/>
      <c r="E78" s="91"/>
      <c r="F78" s="129"/>
    </row>
    <row r="79" spans="1:41">
      <c r="A79" s="83" t="s">
        <v>313</v>
      </c>
      <c r="B79" s="91">
        <f>ROUND((5301/28*TLU*26/60),0)</f>
        <v>7876</v>
      </c>
      <c r="C79" s="83" t="s">
        <v>314</v>
      </c>
      <c r="D79" s="91">
        <v>3.5</v>
      </c>
      <c r="E79" s="91">
        <f t="shared" ref="E79:E85" si="11">+D79*B79</f>
        <v>27566</v>
      </c>
      <c r="F79" s="81">
        <f t="shared" ref="F79:F84" si="12">+E79/TLU</f>
        <v>287.14583333333331</v>
      </c>
    </row>
    <row r="80" spans="1:41" ht="12">
      <c r="A80" s="83" t="s">
        <v>315</v>
      </c>
      <c r="B80" s="91">
        <f>ROUND((5301/28*TLU*26/60),0)</f>
        <v>7876</v>
      </c>
      <c r="C80" s="83" t="s">
        <v>314</v>
      </c>
      <c r="D80" s="91">
        <v>2</v>
      </c>
      <c r="E80" s="91">
        <f t="shared" si="11"/>
        <v>15752</v>
      </c>
      <c r="F80" s="73">
        <f t="shared" si="12"/>
        <v>164.08333333333334</v>
      </c>
    </row>
    <row r="81" spans="1:6" ht="12">
      <c r="A81" s="83" t="s">
        <v>316</v>
      </c>
      <c r="B81" s="91">
        <f>ROUND((5301/28*TLU*26/60),0)</f>
        <v>7876</v>
      </c>
      <c r="C81" s="83" t="s">
        <v>314</v>
      </c>
      <c r="D81" s="91">
        <v>5.5</v>
      </c>
      <c r="E81" s="91">
        <f t="shared" si="11"/>
        <v>43318</v>
      </c>
      <c r="F81" s="73">
        <f t="shared" si="12"/>
        <v>451.22916666666669</v>
      </c>
    </row>
    <row r="82" spans="1:6" ht="12">
      <c r="A82" s="83" t="s">
        <v>317</v>
      </c>
      <c r="B82" s="83">
        <v>4550</v>
      </c>
      <c r="C82" s="83" t="s">
        <v>314</v>
      </c>
      <c r="D82" s="91">
        <v>4</v>
      </c>
      <c r="E82" s="91">
        <f t="shared" si="11"/>
        <v>18200</v>
      </c>
      <c r="F82" s="73">
        <f t="shared" si="12"/>
        <v>189.58333333333334</v>
      </c>
    </row>
    <row r="83" spans="1:6" ht="12">
      <c r="A83" s="83" t="s">
        <v>318</v>
      </c>
      <c r="B83" s="83">
        <f>ROUND(((2022/28/65)*TLU*AvgWidth),0)</f>
        <v>3520</v>
      </c>
      <c r="C83" s="83" t="s">
        <v>63</v>
      </c>
      <c r="D83" s="91">
        <v>7</v>
      </c>
      <c r="E83" s="91">
        <f t="shared" si="11"/>
        <v>24640</v>
      </c>
      <c r="F83" s="73">
        <f t="shared" si="12"/>
        <v>256.66666666666669</v>
      </c>
    </row>
    <row r="84" spans="1:6" ht="12">
      <c r="A84" s="83" t="s">
        <v>319</v>
      </c>
      <c r="B84" s="83">
        <f>4*B83</f>
        <v>14080</v>
      </c>
      <c r="C84" s="83" t="s">
        <v>65</v>
      </c>
      <c r="D84" s="91">
        <v>2.5</v>
      </c>
      <c r="E84" s="91">
        <f t="shared" si="11"/>
        <v>35200</v>
      </c>
      <c r="F84" s="73">
        <f t="shared" si="12"/>
        <v>366.66666666666669</v>
      </c>
    </row>
    <row r="85" spans="1:6">
      <c r="A85" s="98" t="s">
        <v>320</v>
      </c>
      <c r="B85" s="98">
        <f>ROUND((2/28*TLU),0)</f>
        <v>7</v>
      </c>
      <c r="C85" s="98" t="s">
        <v>196</v>
      </c>
      <c r="D85" s="99">
        <v>500</v>
      </c>
      <c r="E85" s="99">
        <f t="shared" si="11"/>
        <v>3500</v>
      </c>
      <c r="F85" s="89">
        <f>+E85/TLU</f>
        <v>36.458333333333336</v>
      </c>
    </row>
    <row r="86" spans="1:6">
      <c r="A86" s="82" t="s">
        <v>321</v>
      </c>
      <c r="B86" s="82"/>
      <c r="C86" s="82"/>
      <c r="D86" s="106"/>
      <c r="E86" s="106">
        <f>SUM(E79:E85)</f>
        <v>168176</v>
      </c>
      <c r="F86" s="126">
        <f>+E86/TLU</f>
        <v>1751.8333333333333</v>
      </c>
    </row>
    <row r="87" spans="1:6">
      <c r="A87" s="83"/>
      <c r="B87" s="83"/>
      <c r="C87" s="83"/>
      <c r="D87" s="91"/>
      <c r="E87" s="91"/>
      <c r="F87" s="129"/>
    </row>
    <row r="88" spans="1:6">
      <c r="A88" s="78" t="s">
        <v>339</v>
      </c>
      <c r="B88" s="83"/>
      <c r="C88" s="83"/>
      <c r="D88" s="91"/>
      <c r="E88" s="91"/>
      <c r="F88" s="129"/>
    </row>
    <row r="89" spans="1:6">
      <c r="A89" s="98" t="s">
        <v>322</v>
      </c>
      <c r="B89" s="98">
        <v>1025</v>
      </c>
      <c r="C89" s="98" t="s">
        <v>63</v>
      </c>
      <c r="D89" s="99">
        <v>26</v>
      </c>
      <c r="E89" s="99">
        <f>+D89*B89</f>
        <v>26650</v>
      </c>
      <c r="F89" s="89">
        <f>+E89/TLU</f>
        <v>277.60416666666669</v>
      </c>
    </row>
    <row r="90" spans="1:6">
      <c r="A90" s="82" t="s">
        <v>323</v>
      </c>
      <c r="B90" s="83"/>
      <c r="C90" s="83"/>
      <c r="D90" s="91"/>
      <c r="E90" s="101">
        <f>+E89+E86</f>
        <v>194826</v>
      </c>
      <c r="F90" s="126">
        <f>+E90/TLU</f>
        <v>2029.4375</v>
      </c>
    </row>
    <row r="91" spans="1:6">
      <c r="A91" s="82"/>
      <c r="B91" s="83"/>
      <c r="C91" s="83"/>
      <c r="D91" s="91"/>
      <c r="E91" s="101"/>
      <c r="F91" s="101"/>
    </row>
    <row r="92" spans="1:6">
      <c r="A92" s="77" t="s">
        <v>72</v>
      </c>
      <c r="D92" s="94"/>
      <c r="F92" s="95"/>
    </row>
    <row r="93" spans="1:6">
      <c r="A93" s="74" t="s">
        <v>235</v>
      </c>
      <c r="B93" s="74">
        <f>400*2+400*4</f>
        <v>2400</v>
      </c>
      <c r="C93" s="74" t="s">
        <v>63</v>
      </c>
      <c r="D93" s="94">
        <v>5</v>
      </c>
      <c r="E93" s="81">
        <f>+D93*B93</f>
        <v>12000</v>
      </c>
      <c r="F93" s="81">
        <f t="shared" ref="F93:F98" si="13">+E93/TLU</f>
        <v>125</v>
      </c>
    </row>
    <row r="94" spans="1:6" ht="12">
      <c r="A94" s="74" t="s">
        <v>234</v>
      </c>
      <c r="B94" s="134">
        <f>SUM(B112:B114)</f>
        <v>2362.5</v>
      </c>
      <c r="C94" s="74" t="s">
        <v>63</v>
      </c>
      <c r="D94" s="94">
        <v>25</v>
      </c>
      <c r="E94" s="105">
        <f>+D94*B94</f>
        <v>59062.5</v>
      </c>
      <c r="F94" s="73">
        <f t="shared" si="13"/>
        <v>615.234375</v>
      </c>
    </row>
    <row r="95" spans="1:6" ht="12">
      <c r="A95" s="74" t="s">
        <v>73</v>
      </c>
      <c r="B95" s="105">
        <f>100*15</f>
        <v>1500</v>
      </c>
      <c r="C95" s="74" t="s">
        <v>65</v>
      </c>
      <c r="D95" s="94">
        <v>5</v>
      </c>
      <c r="E95" s="105">
        <f>+D95*B95</f>
        <v>7500</v>
      </c>
      <c r="F95" s="73">
        <f t="shared" si="13"/>
        <v>78.125</v>
      </c>
    </row>
    <row r="96" spans="1:6" ht="12">
      <c r="A96" s="74" t="s">
        <v>74</v>
      </c>
      <c r="B96" s="74">
        <v>1</v>
      </c>
      <c r="C96" s="74" t="s">
        <v>57</v>
      </c>
      <c r="D96" s="94">
        <v>2500</v>
      </c>
      <c r="E96" s="105">
        <f>+D96*B96</f>
        <v>2500</v>
      </c>
      <c r="F96" s="73">
        <f t="shared" si="13"/>
        <v>26.041666666666668</v>
      </c>
    </row>
    <row r="97" spans="1:6">
      <c r="A97" s="87" t="s">
        <v>75</v>
      </c>
      <c r="B97" s="87">
        <v>1</v>
      </c>
      <c r="C97" s="87" t="s">
        <v>57</v>
      </c>
      <c r="D97" s="88">
        <v>2000</v>
      </c>
      <c r="E97" s="103">
        <f>+D97*B97</f>
        <v>2000</v>
      </c>
      <c r="F97" s="89">
        <f t="shared" si="13"/>
        <v>20.833333333333332</v>
      </c>
    </row>
    <row r="98" spans="1:6">
      <c r="A98" s="74" t="s">
        <v>76</v>
      </c>
      <c r="D98" s="94"/>
      <c r="E98" s="126">
        <f>SUM(E93:E97)</f>
        <v>83062.5</v>
      </c>
      <c r="F98" s="126">
        <f t="shared" si="13"/>
        <v>865.234375</v>
      </c>
    </row>
    <row r="99" spans="1:6">
      <c r="B99" s="95"/>
      <c r="F99" s="95"/>
    </row>
    <row r="100" spans="1:6" ht="22.5">
      <c r="A100" s="124" t="s">
        <v>355</v>
      </c>
      <c r="B100" s="91">
        <f>('Unit Summary'!$N$14*2)/27</f>
        <v>12768.381481481481</v>
      </c>
      <c r="C100" s="83" t="s">
        <v>328</v>
      </c>
      <c r="D100" s="110">
        <v>3.5</v>
      </c>
      <c r="E100" s="127">
        <f>+D100*B100</f>
        <v>44689.335185185184</v>
      </c>
      <c r="F100" s="126">
        <f>+E100/TLU</f>
        <v>465.51390817901233</v>
      </c>
    </row>
    <row r="101" spans="1:6">
      <c r="D101" s="91"/>
      <c r="E101" s="170"/>
      <c r="F101" s="128"/>
    </row>
    <row r="102" spans="1:6">
      <c r="A102" s="136" t="s">
        <v>9</v>
      </c>
      <c r="B102" s="87">
        <v>6</v>
      </c>
      <c r="C102" s="87" t="s">
        <v>77</v>
      </c>
      <c r="D102" s="88">
        <f>((100*52)/12+250+100)</f>
        <v>783.33333333333326</v>
      </c>
      <c r="E102" s="138">
        <f>+D102*B102</f>
        <v>4700</v>
      </c>
      <c r="F102" s="138">
        <f>+E102/TLU</f>
        <v>48.958333333333336</v>
      </c>
    </row>
    <row r="103" spans="1:6">
      <c r="A103" s="141" t="s">
        <v>356</v>
      </c>
      <c r="B103" s="142"/>
      <c r="C103" s="142"/>
      <c r="D103" s="143"/>
      <c r="E103" s="137">
        <f>+E$102+E$100+E$98+E$90+E$86+E$76+E$70+E$59+E$48+E$28+E$22+E$20</f>
        <v>1129444.8351851851</v>
      </c>
      <c r="F103" s="137">
        <f>+E103/TLU</f>
        <v>11765.050366512345</v>
      </c>
    </row>
    <row r="104" spans="1:6" ht="12" thickBot="1">
      <c r="A104" s="139" t="s">
        <v>78</v>
      </c>
      <c r="B104" s="140"/>
      <c r="C104" s="140"/>
      <c r="D104" s="140"/>
      <c r="E104" s="135">
        <f>+E103+E12</f>
        <v>1894284.8351851851</v>
      </c>
      <c r="F104" s="135">
        <f>+E104/TLU</f>
        <v>19732.133699845679</v>
      </c>
    </row>
    <row r="105" spans="1:6">
      <c r="A105" s="119"/>
      <c r="B105" s="85"/>
      <c r="C105" s="85"/>
      <c r="D105" s="85"/>
      <c r="E105" s="131"/>
      <c r="F105" s="131"/>
    </row>
    <row r="106" spans="1:6">
      <c r="A106" s="119"/>
      <c r="B106" s="85"/>
      <c r="C106" s="85"/>
      <c r="D106" s="85"/>
      <c r="E106" s="131"/>
      <c r="F106" s="131"/>
    </row>
    <row r="107" spans="1:6">
      <c r="A107" s="119"/>
      <c r="B107" s="85"/>
      <c r="C107" s="85"/>
      <c r="D107" s="85"/>
      <c r="E107" s="120"/>
      <c r="F107" s="120"/>
    </row>
    <row r="108" spans="1:6">
      <c r="A108" s="119" t="s">
        <v>345</v>
      </c>
      <c r="B108" s="76" t="s">
        <v>347</v>
      </c>
      <c r="C108" s="76"/>
      <c r="D108" s="76" t="s">
        <v>352</v>
      </c>
      <c r="E108" s="123" t="s">
        <v>351</v>
      </c>
      <c r="F108" s="123" t="s">
        <v>350</v>
      </c>
    </row>
    <row r="109" spans="1:6">
      <c r="A109" s="111" t="s">
        <v>340</v>
      </c>
      <c r="B109" s="74">
        <f>13.75*50</f>
        <v>687.5</v>
      </c>
      <c r="D109" s="74">
        <v>60</v>
      </c>
      <c r="E109" s="112">
        <f>D109*B109</f>
        <v>41250</v>
      </c>
      <c r="F109" s="122">
        <f>E109/43560</f>
        <v>0.94696969696969702</v>
      </c>
    </row>
    <row r="110" spans="1:6">
      <c r="A110" s="111" t="s">
        <v>341</v>
      </c>
      <c r="B110" s="112">
        <f>565.34</f>
        <v>565.34</v>
      </c>
      <c r="D110" s="112">
        <f>105</f>
        <v>105</v>
      </c>
      <c r="E110" s="112">
        <f>D110*B110</f>
        <v>59360.700000000004</v>
      </c>
      <c r="F110" s="122">
        <f>E110/43560</f>
        <v>1.3627341597796143</v>
      </c>
    </row>
    <row r="111" spans="1:6">
      <c r="A111" s="111" t="s">
        <v>346</v>
      </c>
      <c r="E111" s="112">
        <f>13.1454*43560</f>
        <v>572613.62400000007</v>
      </c>
      <c r="F111" s="122">
        <f>E111/43560</f>
        <v>13.145400000000002</v>
      </c>
    </row>
    <row r="112" spans="1:6">
      <c r="A112" s="121" t="s">
        <v>348</v>
      </c>
      <c r="B112" s="112">
        <f>13.5*50</f>
        <v>675</v>
      </c>
      <c r="C112" s="83"/>
      <c r="D112" s="85"/>
      <c r="E112" s="120"/>
      <c r="F112" s="120"/>
    </row>
    <row r="113" spans="1:6">
      <c r="A113" s="121" t="s">
        <v>349</v>
      </c>
      <c r="B113" s="112">
        <f>9*50</f>
        <v>450</v>
      </c>
      <c r="C113" s="83"/>
      <c r="D113" s="85"/>
      <c r="E113" s="120"/>
      <c r="F113" s="120"/>
    </row>
    <row r="114" spans="1:6">
      <c r="A114" s="121" t="s">
        <v>353</v>
      </c>
      <c r="B114" s="112">
        <f>24.75*50</f>
        <v>1237.5</v>
      </c>
      <c r="C114" s="83"/>
      <c r="D114" s="85"/>
      <c r="E114" s="120"/>
      <c r="F114" s="120"/>
    </row>
    <row r="115" spans="1:6">
      <c r="A115" s="121" t="s">
        <v>354</v>
      </c>
      <c r="B115" s="112">
        <f>565.34+3*50</f>
        <v>715.34</v>
      </c>
      <c r="C115" s="83"/>
      <c r="D115" s="85"/>
      <c r="E115" s="120"/>
      <c r="F115" s="120"/>
    </row>
    <row r="116" spans="1:6">
      <c r="A116" s="121"/>
      <c r="B116" s="112"/>
      <c r="C116" s="83"/>
      <c r="D116" s="85"/>
      <c r="E116" s="120"/>
      <c r="F116" s="120"/>
    </row>
    <row r="117" spans="1:6">
      <c r="A117" s="121"/>
      <c r="B117" s="112"/>
      <c r="C117" s="83"/>
      <c r="D117" s="85"/>
      <c r="E117" s="120"/>
      <c r="F117" s="120"/>
    </row>
    <row r="118" spans="1:6">
      <c r="A118" s="121"/>
      <c r="B118" s="112"/>
      <c r="C118" s="83"/>
      <c r="D118" s="85"/>
      <c r="E118" s="120"/>
      <c r="F118" s="120"/>
    </row>
    <row r="119" spans="1:6">
      <c r="A119" s="121"/>
      <c r="B119" s="112"/>
      <c r="C119" s="83"/>
      <c r="D119" s="85"/>
      <c r="E119" s="120"/>
      <c r="F119" s="120"/>
    </row>
    <row r="120" spans="1:6">
      <c r="A120" s="121"/>
      <c r="B120" s="112"/>
      <c r="C120" s="83"/>
      <c r="D120" s="85"/>
      <c r="E120" s="120"/>
      <c r="F120" s="120"/>
    </row>
    <row r="121" spans="1:6">
      <c r="A121" s="121"/>
      <c r="B121" s="112"/>
      <c r="C121" s="83"/>
      <c r="D121" s="85"/>
      <c r="E121" s="120"/>
      <c r="F121" s="120"/>
    </row>
    <row r="122" spans="1:6">
      <c r="A122" s="121"/>
      <c r="B122" s="112"/>
      <c r="C122" s="83"/>
      <c r="D122" s="85"/>
      <c r="E122" s="120"/>
      <c r="F122" s="120"/>
    </row>
    <row r="123" spans="1:6">
      <c r="A123" s="121"/>
      <c r="B123" s="112"/>
      <c r="C123" s="83"/>
      <c r="D123" s="85"/>
      <c r="E123" s="120"/>
      <c r="F123" s="120"/>
    </row>
    <row r="125" spans="1:6" ht="13.5" hidden="1" customHeight="1" thickTop="1" thickBot="1">
      <c r="A125" s="326" t="s">
        <v>344</v>
      </c>
      <c r="B125" s="327"/>
      <c r="C125" s="327"/>
      <c r="D125" s="327"/>
      <c r="E125" s="327"/>
      <c r="F125" s="328"/>
    </row>
    <row r="126" spans="1:6" ht="12" hidden="1" thickTop="1">
      <c r="A126" s="78" t="s">
        <v>263</v>
      </c>
      <c r="B126" s="79" t="s">
        <v>264</v>
      </c>
      <c r="C126" s="79" t="s">
        <v>265</v>
      </c>
      <c r="D126" s="79" t="s">
        <v>82</v>
      </c>
      <c r="E126" s="79" t="s">
        <v>266</v>
      </c>
      <c r="F126" s="79" t="s">
        <v>267</v>
      </c>
    </row>
    <row r="127" spans="1:6" hidden="1">
      <c r="A127" s="78"/>
      <c r="B127" s="79"/>
      <c r="C127" s="79"/>
      <c r="D127" s="79"/>
      <c r="E127" s="79"/>
      <c r="F127" s="79"/>
    </row>
    <row r="128" spans="1:6" hidden="1">
      <c r="A128" s="82" t="s">
        <v>268</v>
      </c>
      <c r="B128" s="79"/>
      <c r="C128" s="79"/>
      <c r="D128" s="79"/>
      <c r="E128" s="83"/>
      <c r="F128" s="83">
        <v>96</v>
      </c>
    </row>
    <row r="129" spans="1:6" hidden="1">
      <c r="A129" s="82" t="s">
        <v>269</v>
      </c>
      <c r="B129" s="79"/>
      <c r="C129" s="79"/>
      <c r="D129" s="79"/>
      <c r="E129" s="83"/>
      <c r="F129" s="83">
        <v>25</v>
      </c>
    </row>
    <row r="130" spans="1:6" hidden="1">
      <c r="A130" s="82" t="s">
        <v>270</v>
      </c>
      <c r="B130" s="83">
        <v>1</v>
      </c>
      <c r="C130" s="83" t="s">
        <v>271</v>
      </c>
      <c r="D130" s="91">
        <v>10000</v>
      </c>
      <c r="E130" s="92">
        <f>+D130*B130</f>
        <v>10000</v>
      </c>
      <c r="F130" s="93" t="e">
        <f>+E130/TotLots</f>
        <v>#NAME?</v>
      </c>
    </row>
    <row r="131" spans="1:6" hidden="1">
      <c r="A131" s="82"/>
      <c r="B131" s="83"/>
      <c r="C131" s="83"/>
      <c r="D131" s="91"/>
      <c r="E131" s="92"/>
      <c r="F131" s="93"/>
    </row>
    <row r="132" spans="1:6" hidden="1">
      <c r="A132" s="78" t="s">
        <v>293</v>
      </c>
      <c r="B132" s="83"/>
      <c r="C132" s="83"/>
      <c r="D132" s="91"/>
      <c r="E132" s="91"/>
      <c r="F132" s="93"/>
    </row>
    <row r="133" spans="1:6" hidden="1">
      <c r="A133" s="83" t="s">
        <v>294</v>
      </c>
      <c r="B133" s="83" t="e">
        <f>ROUND((138/28*TotLots*(25/65)),0)</f>
        <v>#NAME?</v>
      </c>
      <c r="C133" s="83" t="s">
        <v>63</v>
      </c>
      <c r="D133" s="91">
        <v>55</v>
      </c>
      <c r="E133" s="91" t="e">
        <f t="shared" ref="E133:E149" si="14">+D133*B133</f>
        <v>#NAME?</v>
      </c>
      <c r="F133" s="93" t="e">
        <f t="shared" ref="F133:F149" si="15">+E133/TotLots</f>
        <v>#NAME?</v>
      </c>
    </row>
    <row r="134" spans="1:6" hidden="1">
      <c r="A134" s="83" t="s">
        <v>295</v>
      </c>
      <c r="B134" s="83" t="e">
        <f>ROUND((276/28*TotLots*(25/65)),0)</f>
        <v>#NAME?</v>
      </c>
      <c r="C134" s="83" t="s">
        <v>63</v>
      </c>
      <c r="D134" s="91">
        <v>42</v>
      </c>
      <c r="E134" s="91" t="e">
        <f t="shared" si="14"/>
        <v>#NAME?</v>
      </c>
      <c r="F134" s="93" t="e">
        <f t="shared" si="15"/>
        <v>#NAME?</v>
      </c>
    </row>
    <row r="135" spans="1:6" hidden="1">
      <c r="A135" s="83" t="s">
        <v>296</v>
      </c>
      <c r="B135" s="83" t="e">
        <f>ROUND((124/28*TotLots*(25/65)),0)</f>
        <v>#NAME?</v>
      </c>
      <c r="C135" s="83" t="s">
        <v>63</v>
      </c>
      <c r="D135" s="91">
        <v>47</v>
      </c>
      <c r="E135" s="91" t="e">
        <f t="shared" si="14"/>
        <v>#NAME?</v>
      </c>
      <c r="F135" s="93" t="e">
        <f t="shared" si="15"/>
        <v>#NAME?</v>
      </c>
    </row>
    <row r="136" spans="1:6" hidden="1">
      <c r="A136" s="83" t="s">
        <v>297</v>
      </c>
      <c r="B136" s="83" t="e">
        <f>ROUND((344/28*TotLots*(25/65)),0)</f>
        <v>#NAME?</v>
      </c>
      <c r="C136" s="83" t="s">
        <v>63</v>
      </c>
      <c r="D136" s="91">
        <v>52</v>
      </c>
      <c r="E136" s="91" t="e">
        <f t="shared" si="14"/>
        <v>#NAME?</v>
      </c>
      <c r="F136" s="93" t="e">
        <f t="shared" si="15"/>
        <v>#NAME?</v>
      </c>
    </row>
    <row r="137" spans="1:6" hidden="1">
      <c r="A137" s="83" t="s">
        <v>298</v>
      </c>
      <c r="B137" s="83" t="e">
        <f>ROUND((85/28*TotLots*(25/65)),0)</f>
        <v>#NAME?</v>
      </c>
      <c r="C137" s="83" t="s">
        <v>63</v>
      </c>
      <c r="D137" s="91">
        <v>36</v>
      </c>
      <c r="E137" s="91" t="e">
        <f t="shared" si="14"/>
        <v>#NAME?</v>
      </c>
      <c r="F137" s="93" t="e">
        <f t="shared" si="15"/>
        <v>#NAME?</v>
      </c>
    </row>
    <row r="138" spans="1:6" hidden="1">
      <c r="A138" s="83" t="s">
        <v>299</v>
      </c>
      <c r="B138" s="83" t="e">
        <f>ROUND((51/28*TotLots*(25/65)),0)</f>
        <v>#NAME?</v>
      </c>
      <c r="C138" s="83" t="s">
        <v>63</v>
      </c>
      <c r="D138" s="91">
        <v>40</v>
      </c>
      <c r="E138" s="91" t="e">
        <f t="shared" si="14"/>
        <v>#NAME?</v>
      </c>
      <c r="F138" s="93" t="e">
        <f t="shared" si="15"/>
        <v>#NAME?</v>
      </c>
    </row>
    <row r="139" spans="1:6" hidden="1">
      <c r="A139" s="83" t="s">
        <v>300</v>
      </c>
      <c r="B139" s="83" t="e">
        <f>ROUND((59/28*TotLots*(25/65)),0)</f>
        <v>#NAME?</v>
      </c>
      <c r="C139" s="83" t="s">
        <v>63</v>
      </c>
      <c r="D139" s="91">
        <v>45</v>
      </c>
      <c r="E139" s="91" t="e">
        <f t="shared" si="14"/>
        <v>#NAME?</v>
      </c>
      <c r="F139" s="93" t="e">
        <f t="shared" si="15"/>
        <v>#NAME?</v>
      </c>
    </row>
    <row r="140" spans="1:6" hidden="1">
      <c r="A140" s="83" t="s">
        <v>301</v>
      </c>
      <c r="B140" s="83" t="e">
        <f>ROUND((180/28*TotLots*(25/65)),0)</f>
        <v>#NAME?</v>
      </c>
      <c r="C140" s="83" t="s">
        <v>63</v>
      </c>
      <c r="D140" s="91">
        <v>35</v>
      </c>
      <c r="E140" s="91" t="e">
        <f t="shared" si="14"/>
        <v>#NAME?</v>
      </c>
      <c r="F140" s="93" t="e">
        <f t="shared" si="15"/>
        <v>#NAME?</v>
      </c>
    </row>
    <row r="141" spans="1:6" hidden="1">
      <c r="A141" s="83" t="s">
        <v>302</v>
      </c>
      <c r="B141" s="83" t="e">
        <f>ROUND((1/28*TotLots),0)</f>
        <v>#NAME?</v>
      </c>
      <c r="C141" s="83" t="s">
        <v>196</v>
      </c>
      <c r="D141" s="91">
        <v>2000</v>
      </c>
      <c r="E141" s="91" t="e">
        <f t="shared" si="14"/>
        <v>#NAME?</v>
      </c>
      <c r="F141" s="93" t="e">
        <f t="shared" si="15"/>
        <v>#NAME?</v>
      </c>
    </row>
    <row r="142" spans="1:6" hidden="1">
      <c r="A142" s="83" t="s">
        <v>303</v>
      </c>
      <c r="B142" s="83" t="e">
        <f>ROUND((4/28*TotLots),0)</f>
        <v>#NAME?</v>
      </c>
      <c r="C142" s="83" t="s">
        <v>196</v>
      </c>
      <c r="D142" s="91">
        <v>2500</v>
      </c>
      <c r="E142" s="91" t="e">
        <f t="shared" si="14"/>
        <v>#NAME?</v>
      </c>
      <c r="F142" s="93" t="e">
        <f t="shared" si="15"/>
        <v>#NAME?</v>
      </c>
    </row>
    <row r="143" spans="1:6" hidden="1">
      <c r="A143" s="83" t="s">
        <v>304</v>
      </c>
      <c r="B143" s="83">
        <v>0</v>
      </c>
      <c r="C143" s="83" t="s">
        <v>305</v>
      </c>
      <c r="D143" s="91">
        <v>200</v>
      </c>
      <c r="E143" s="91">
        <f t="shared" si="14"/>
        <v>0</v>
      </c>
      <c r="F143" s="93" t="e">
        <f t="shared" si="15"/>
        <v>#NAME?</v>
      </c>
    </row>
    <row r="144" spans="1:6" hidden="1">
      <c r="A144" s="83" t="s">
        <v>306</v>
      </c>
      <c r="B144" s="83" t="e">
        <f>ROUND((2/28*TotLots),0)</f>
        <v>#NAME?</v>
      </c>
      <c r="C144" s="83" t="s">
        <v>196</v>
      </c>
      <c r="D144" s="91">
        <v>2000</v>
      </c>
      <c r="E144" s="91" t="e">
        <f t="shared" si="14"/>
        <v>#NAME?</v>
      </c>
      <c r="F144" s="93" t="e">
        <f t="shared" si="15"/>
        <v>#NAME?</v>
      </c>
    </row>
    <row r="145" spans="1:6" hidden="1">
      <c r="A145" s="83" t="s">
        <v>307</v>
      </c>
      <c r="B145" s="83" t="e">
        <f>ROUND((2/28*TotLots),0)</f>
        <v>#NAME?</v>
      </c>
      <c r="C145" s="83" t="s">
        <v>196</v>
      </c>
      <c r="D145" s="91">
        <v>2500</v>
      </c>
      <c r="E145" s="91" t="e">
        <f t="shared" si="14"/>
        <v>#NAME?</v>
      </c>
      <c r="F145" s="93" t="e">
        <f t="shared" si="15"/>
        <v>#NAME?</v>
      </c>
    </row>
    <row r="146" spans="1:6" hidden="1">
      <c r="A146" s="83" t="s">
        <v>308</v>
      </c>
      <c r="B146" s="83" t="e">
        <f>ROUND((1/28*TotLots),0)</f>
        <v>#NAME?</v>
      </c>
      <c r="C146" s="83" t="s">
        <v>196</v>
      </c>
      <c r="D146" s="91">
        <v>3000</v>
      </c>
      <c r="E146" s="91" t="e">
        <f t="shared" si="14"/>
        <v>#NAME?</v>
      </c>
      <c r="F146" s="93" t="e">
        <f t="shared" si="15"/>
        <v>#NAME?</v>
      </c>
    </row>
    <row r="147" spans="1:6" hidden="1">
      <c r="A147" s="83" t="s">
        <v>309</v>
      </c>
      <c r="B147" s="83" t="e">
        <f>ROUND((1/28*TotLots),0)</f>
        <v>#NAME?</v>
      </c>
      <c r="C147" s="83" t="s">
        <v>196</v>
      </c>
      <c r="D147" s="91">
        <v>5000</v>
      </c>
      <c r="E147" s="91" t="e">
        <f t="shared" si="14"/>
        <v>#NAME?</v>
      </c>
      <c r="F147" s="93" t="e">
        <f t="shared" si="15"/>
        <v>#NAME?</v>
      </c>
    </row>
    <row r="148" spans="1:6" hidden="1">
      <c r="A148" s="83" t="s">
        <v>310</v>
      </c>
      <c r="B148" s="83">
        <v>0</v>
      </c>
      <c r="C148" s="83" t="s">
        <v>196</v>
      </c>
      <c r="D148" s="91">
        <v>3000</v>
      </c>
      <c r="E148" s="91">
        <f t="shared" si="14"/>
        <v>0</v>
      </c>
      <c r="F148" s="93" t="e">
        <f t="shared" si="15"/>
        <v>#NAME?</v>
      </c>
    </row>
    <row r="149" spans="1:6" ht="33.75" hidden="1">
      <c r="A149" s="118" t="s">
        <v>343</v>
      </c>
      <c r="B149" s="83">
        <v>1</v>
      </c>
      <c r="C149" s="98" t="s">
        <v>196</v>
      </c>
      <c r="D149" s="99">
        <v>71000</v>
      </c>
      <c r="E149" s="99">
        <f t="shared" si="14"/>
        <v>71000</v>
      </c>
      <c r="F149" s="100" t="e">
        <f t="shared" si="15"/>
        <v>#NAME?</v>
      </c>
    </row>
    <row r="150" spans="1:6" hidden="1">
      <c r="A150" s="82" t="s">
        <v>311</v>
      </c>
      <c r="B150" s="83"/>
      <c r="C150" s="83"/>
      <c r="D150" s="91"/>
      <c r="E150" s="101" t="e">
        <f>SUM(E133:E149)</f>
        <v>#NAME?</v>
      </c>
      <c r="F150" s="102" t="e">
        <f>SUM(F133:F149)</f>
        <v>#NAME?</v>
      </c>
    </row>
    <row r="151" spans="1:6" hidden="1"/>
    <row r="152" spans="1:6" hidden="1">
      <c r="A152" s="78" t="s">
        <v>282</v>
      </c>
      <c r="B152" s="83"/>
      <c r="C152" s="83"/>
      <c r="D152" s="91"/>
      <c r="E152" s="91"/>
      <c r="F152" s="93"/>
    </row>
    <row r="153" spans="1:6" hidden="1">
      <c r="A153" s="83" t="s">
        <v>283</v>
      </c>
      <c r="B153" s="83" t="e">
        <f>ROUND((700/28*TotLots*(25/65)),0)</f>
        <v>#NAME?</v>
      </c>
      <c r="C153" s="83" t="s">
        <v>284</v>
      </c>
      <c r="D153" s="91">
        <v>25</v>
      </c>
      <c r="E153" s="91" t="e">
        <f t="shared" ref="E153:E160" si="16">+D153*B153</f>
        <v>#NAME?</v>
      </c>
      <c r="F153" s="93" t="e">
        <f t="shared" ref="F153:F160" si="17">+E153/TotLots</f>
        <v>#NAME?</v>
      </c>
    </row>
    <row r="154" spans="1:6" hidden="1">
      <c r="A154" s="83" t="s">
        <v>285</v>
      </c>
      <c r="B154" s="83" t="e">
        <f>ROUND((59/28*TotLots*(25/65)),0)</f>
        <v>#NAME?</v>
      </c>
      <c r="C154" s="83" t="s">
        <v>284</v>
      </c>
      <c r="D154" s="91">
        <v>30</v>
      </c>
      <c r="E154" s="91" t="e">
        <f t="shared" si="16"/>
        <v>#NAME?</v>
      </c>
      <c r="F154" s="93" t="e">
        <f t="shared" si="17"/>
        <v>#NAME?</v>
      </c>
    </row>
    <row r="155" spans="1:6" hidden="1">
      <c r="A155" s="83" t="s">
        <v>286</v>
      </c>
      <c r="B155" s="83" t="e">
        <f>ROUND((59/28*TotLots*(25/65)),0)</f>
        <v>#NAME?</v>
      </c>
      <c r="C155" s="83" t="s">
        <v>284</v>
      </c>
      <c r="D155" s="91">
        <v>35</v>
      </c>
      <c r="E155" s="91" t="e">
        <f t="shared" si="16"/>
        <v>#NAME?</v>
      </c>
      <c r="F155" s="93" t="e">
        <f t="shared" si="17"/>
        <v>#NAME?</v>
      </c>
    </row>
    <row r="156" spans="1:6" hidden="1">
      <c r="A156" s="83" t="s">
        <v>287</v>
      </c>
      <c r="B156" s="83" t="e">
        <f>ROUND((47/28*TotLots*(25/65)),0)</f>
        <v>#NAME?</v>
      </c>
      <c r="C156" s="83" t="s">
        <v>284</v>
      </c>
      <c r="D156" s="91">
        <v>40</v>
      </c>
      <c r="E156" s="91" t="e">
        <f t="shared" si="16"/>
        <v>#NAME?</v>
      </c>
      <c r="F156" s="93" t="e">
        <f t="shared" si="17"/>
        <v>#NAME?</v>
      </c>
    </row>
    <row r="157" spans="1:6" hidden="1">
      <c r="A157" s="104" t="s">
        <v>288</v>
      </c>
      <c r="B157" s="83" t="e">
        <f>ROUND((4/28*TotLots),0)</f>
        <v>#NAME?</v>
      </c>
      <c r="C157" s="83" t="s">
        <v>196</v>
      </c>
      <c r="D157" s="91">
        <v>2000</v>
      </c>
      <c r="E157" s="91" t="e">
        <f t="shared" si="16"/>
        <v>#NAME?</v>
      </c>
      <c r="F157" s="93" t="e">
        <f t="shared" si="17"/>
        <v>#NAME?</v>
      </c>
    </row>
    <row r="158" spans="1:6" hidden="1">
      <c r="A158" s="83" t="s">
        <v>289</v>
      </c>
      <c r="B158" s="83" t="e">
        <f>ROUND((4/28*TotLots),0)</f>
        <v>#NAME?</v>
      </c>
      <c r="C158" s="83" t="s">
        <v>196</v>
      </c>
      <c r="D158" s="91">
        <v>900</v>
      </c>
      <c r="E158" s="91" t="e">
        <f t="shared" si="16"/>
        <v>#NAME?</v>
      </c>
      <c r="F158" s="93" t="e">
        <f t="shared" si="17"/>
        <v>#NAME?</v>
      </c>
    </row>
    <row r="159" spans="1:6" hidden="1">
      <c r="A159" s="83" t="s">
        <v>290</v>
      </c>
      <c r="B159" s="83" t="e">
        <f>ROUND((6/28*TotLots),0)</f>
        <v>#NAME?</v>
      </c>
      <c r="C159" s="83" t="s">
        <v>196</v>
      </c>
      <c r="D159" s="91">
        <v>1200</v>
      </c>
      <c r="E159" s="91" t="e">
        <f t="shared" si="16"/>
        <v>#NAME?</v>
      </c>
      <c r="F159" s="93" t="e">
        <f t="shared" si="17"/>
        <v>#NAME?</v>
      </c>
    </row>
    <row r="160" spans="1:6" hidden="1">
      <c r="A160" s="98" t="s">
        <v>291</v>
      </c>
      <c r="B160" s="98" t="e">
        <f>ROUND((3/28*TotLots),0)</f>
        <v>#NAME?</v>
      </c>
      <c r="C160" s="98" t="s">
        <v>196</v>
      </c>
      <c r="D160" s="99">
        <v>1000</v>
      </c>
      <c r="E160" s="99" t="e">
        <f t="shared" si="16"/>
        <v>#NAME?</v>
      </c>
      <c r="F160" s="100" t="e">
        <f t="shared" si="17"/>
        <v>#NAME?</v>
      </c>
    </row>
    <row r="161" spans="1:6" hidden="1">
      <c r="A161" s="82" t="s">
        <v>292</v>
      </c>
      <c r="B161" s="83"/>
      <c r="C161" s="83"/>
      <c r="D161" s="91"/>
      <c r="E161" s="101" t="e">
        <f>SUM(E153:E160)</f>
        <v>#NAME?</v>
      </c>
      <c r="F161" s="102" t="e">
        <f>SUM(F153:F160)</f>
        <v>#NAME?</v>
      </c>
    </row>
    <row r="162" spans="1:6" hidden="1"/>
    <row r="163" spans="1:6" hidden="1">
      <c r="A163" s="78" t="s">
        <v>272</v>
      </c>
      <c r="B163" s="83"/>
      <c r="C163" s="83"/>
      <c r="D163" s="91"/>
      <c r="E163" s="91"/>
      <c r="F163" s="93"/>
    </row>
    <row r="164" spans="1:6" hidden="1">
      <c r="A164" s="96" t="s">
        <v>273</v>
      </c>
      <c r="B164" s="83">
        <v>750</v>
      </c>
      <c r="C164" s="83" t="s">
        <v>63</v>
      </c>
      <c r="D164" s="91">
        <v>22</v>
      </c>
      <c r="E164" s="91">
        <f t="shared" ref="E164:E171" si="18">+D164*B164</f>
        <v>16500</v>
      </c>
      <c r="F164" s="93" t="e">
        <f t="shared" ref="F164:F171" si="19">+E164/TotLots</f>
        <v>#NAME?</v>
      </c>
    </row>
    <row r="165" spans="1:6" hidden="1">
      <c r="A165" s="83" t="s">
        <v>274</v>
      </c>
      <c r="B165" s="83">
        <f>ROUND((2+(96/14-2)),0)</f>
        <v>7</v>
      </c>
      <c r="C165" s="83" t="s">
        <v>196</v>
      </c>
      <c r="D165" s="91">
        <v>1800</v>
      </c>
      <c r="E165" s="91">
        <f t="shared" si="18"/>
        <v>12600</v>
      </c>
      <c r="F165" s="93" t="e">
        <f t="shared" si="19"/>
        <v>#NAME?</v>
      </c>
    </row>
    <row r="166" spans="1:6" hidden="1">
      <c r="A166" s="83" t="s">
        <v>275</v>
      </c>
      <c r="B166" s="83">
        <f>ROUND((7/28*96),0)</f>
        <v>24</v>
      </c>
      <c r="C166" s="83" t="s">
        <v>196</v>
      </c>
      <c r="D166" s="91">
        <v>800</v>
      </c>
      <c r="E166" s="91">
        <f t="shared" si="18"/>
        <v>19200</v>
      </c>
      <c r="F166" s="93" t="e">
        <f t="shared" si="19"/>
        <v>#NAME?</v>
      </c>
    </row>
    <row r="167" spans="1:6" hidden="1">
      <c r="A167" s="83" t="s">
        <v>276</v>
      </c>
      <c r="B167" s="83">
        <f>ROUND((4/28*96),0)</f>
        <v>14</v>
      </c>
      <c r="C167" s="83" t="s">
        <v>196</v>
      </c>
      <c r="D167" s="91">
        <v>600</v>
      </c>
      <c r="E167" s="91">
        <f t="shared" si="18"/>
        <v>8400</v>
      </c>
      <c r="F167" s="93" t="e">
        <f t="shared" si="19"/>
        <v>#NAME?</v>
      </c>
    </row>
    <row r="168" spans="1:6" hidden="1">
      <c r="A168" s="83" t="s">
        <v>277</v>
      </c>
      <c r="B168" s="83">
        <f>ROUND((4/28*96),0)</f>
        <v>14</v>
      </c>
      <c r="C168" s="83" t="s">
        <v>196</v>
      </c>
      <c r="D168" s="91">
        <v>1250</v>
      </c>
      <c r="E168" s="91">
        <f t="shared" si="18"/>
        <v>17500</v>
      </c>
      <c r="F168" s="93" t="e">
        <f t="shared" si="19"/>
        <v>#NAME?</v>
      </c>
    </row>
    <row r="169" spans="1:6" hidden="1">
      <c r="A169" s="83" t="s">
        <v>278</v>
      </c>
      <c r="B169" s="83">
        <f>ROUND((3/28*96),0)</f>
        <v>10</v>
      </c>
      <c r="C169" s="83" t="s">
        <v>196</v>
      </c>
      <c r="D169" s="91">
        <v>750</v>
      </c>
      <c r="E169" s="91">
        <f t="shared" si="18"/>
        <v>7500</v>
      </c>
      <c r="F169" s="93" t="e">
        <f t="shared" si="19"/>
        <v>#NAME?</v>
      </c>
    </row>
    <row r="170" spans="1:6" hidden="1">
      <c r="A170" s="83" t="s">
        <v>279</v>
      </c>
      <c r="B170" s="83">
        <f>ROUND((2/28*96),0)</f>
        <v>7</v>
      </c>
      <c r="C170" s="83" t="s">
        <v>196</v>
      </c>
      <c r="D170" s="91">
        <v>500</v>
      </c>
      <c r="E170" s="91">
        <f t="shared" si="18"/>
        <v>3500</v>
      </c>
      <c r="F170" s="93" t="e">
        <f t="shared" si="19"/>
        <v>#NAME?</v>
      </c>
    </row>
    <row r="171" spans="1:6" hidden="1">
      <c r="A171" s="98" t="s">
        <v>280</v>
      </c>
      <c r="B171" s="98">
        <f>ROUND((2/28*96),0)</f>
        <v>7</v>
      </c>
      <c r="C171" s="98" t="s">
        <v>196</v>
      </c>
      <c r="D171" s="99">
        <v>500</v>
      </c>
      <c r="E171" s="99">
        <f t="shared" si="18"/>
        <v>3500</v>
      </c>
      <c r="F171" s="100" t="e">
        <f t="shared" si="19"/>
        <v>#NAME?</v>
      </c>
    </row>
    <row r="172" spans="1:6" hidden="1">
      <c r="A172" s="82" t="s">
        <v>281</v>
      </c>
      <c r="B172" s="83"/>
      <c r="C172" s="83"/>
      <c r="D172" s="91"/>
      <c r="E172" s="101">
        <f>SUM(E164:E171)</f>
        <v>88700</v>
      </c>
      <c r="F172" s="102" t="e">
        <f>SUM(F164:F171)</f>
        <v>#NAME?</v>
      </c>
    </row>
    <row r="173" spans="1:6" hidden="1"/>
    <row r="174" spans="1:6" hidden="1">
      <c r="A174" s="78" t="s">
        <v>312</v>
      </c>
      <c r="B174" s="83"/>
      <c r="C174" s="83"/>
      <c r="D174" s="91"/>
      <c r="E174" s="91"/>
      <c r="F174" s="93"/>
    </row>
    <row r="175" spans="1:6" hidden="1">
      <c r="A175" s="83" t="s">
        <v>313</v>
      </c>
      <c r="B175" s="91" t="e">
        <f>ROUND((5301/28*TotLots*26/60),0)</f>
        <v>#NAME?</v>
      </c>
      <c r="C175" s="83" t="s">
        <v>314</v>
      </c>
      <c r="D175" s="91">
        <v>3.5</v>
      </c>
      <c r="E175" s="91" t="e">
        <f t="shared" ref="E175:E181" si="20">+D175*B175</f>
        <v>#NAME?</v>
      </c>
      <c r="F175" s="93" t="e">
        <f t="shared" ref="F175:F181" si="21">+E175/TotLots</f>
        <v>#NAME?</v>
      </c>
    </row>
    <row r="176" spans="1:6" hidden="1">
      <c r="A176" s="83" t="s">
        <v>315</v>
      </c>
      <c r="B176" s="91" t="e">
        <f>ROUND((5301/28*TotLots*26/60),0)</f>
        <v>#NAME?</v>
      </c>
      <c r="C176" s="83" t="s">
        <v>314</v>
      </c>
      <c r="D176" s="91">
        <v>2</v>
      </c>
      <c r="E176" s="91" t="e">
        <f t="shared" si="20"/>
        <v>#NAME?</v>
      </c>
      <c r="F176" s="93" t="e">
        <f t="shared" si="21"/>
        <v>#NAME?</v>
      </c>
    </row>
    <row r="177" spans="1:6" hidden="1">
      <c r="A177" s="83" t="s">
        <v>316</v>
      </c>
      <c r="B177" s="91" t="e">
        <f>ROUND((5301/28*TotLots*26/60),0)</f>
        <v>#NAME?</v>
      </c>
      <c r="C177" s="83" t="s">
        <v>314</v>
      </c>
      <c r="D177" s="91">
        <v>5.5</v>
      </c>
      <c r="E177" s="91" t="e">
        <f t="shared" si="20"/>
        <v>#NAME?</v>
      </c>
      <c r="F177" s="93" t="e">
        <f t="shared" si="21"/>
        <v>#NAME?</v>
      </c>
    </row>
    <row r="178" spans="1:6" hidden="1">
      <c r="A178" s="83" t="s">
        <v>317</v>
      </c>
      <c r="B178" s="83">
        <v>4550</v>
      </c>
      <c r="C178" s="83" t="s">
        <v>314</v>
      </c>
      <c r="D178" s="91">
        <v>4</v>
      </c>
      <c r="E178" s="91">
        <f t="shared" si="20"/>
        <v>18200</v>
      </c>
      <c r="F178" s="93" t="e">
        <f t="shared" si="21"/>
        <v>#NAME?</v>
      </c>
    </row>
    <row r="179" spans="1:6" hidden="1">
      <c r="A179" s="83" t="s">
        <v>318</v>
      </c>
      <c r="B179" s="83" t="e">
        <f>ROUND(((2022/28/65)*TotLots*AvgWidth),0)</f>
        <v>#NAME?</v>
      </c>
      <c r="C179" s="83" t="s">
        <v>63</v>
      </c>
      <c r="D179" s="91">
        <v>7</v>
      </c>
      <c r="E179" s="91" t="e">
        <f t="shared" si="20"/>
        <v>#NAME?</v>
      </c>
      <c r="F179" s="93" t="e">
        <f t="shared" si="21"/>
        <v>#NAME?</v>
      </c>
    </row>
    <row r="180" spans="1:6" hidden="1">
      <c r="A180" s="83" t="s">
        <v>319</v>
      </c>
      <c r="B180" s="83" t="e">
        <f>4*B179</f>
        <v>#NAME?</v>
      </c>
      <c r="C180" s="83" t="s">
        <v>65</v>
      </c>
      <c r="D180" s="91">
        <v>2.5</v>
      </c>
      <c r="E180" s="91" t="e">
        <f t="shared" si="20"/>
        <v>#NAME?</v>
      </c>
      <c r="F180" s="93" t="e">
        <f t="shared" si="21"/>
        <v>#NAME?</v>
      </c>
    </row>
    <row r="181" spans="1:6" hidden="1">
      <c r="A181" s="98" t="s">
        <v>320</v>
      </c>
      <c r="B181" s="98" t="e">
        <f>ROUND((2/28*TotLots),0)</f>
        <v>#NAME?</v>
      </c>
      <c r="C181" s="98" t="s">
        <v>196</v>
      </c>
      <c r="D181" s="99">
        <v>500</v>
      </c>
      <c r="E181" s="99" t="e">
        <f t="shared" si="20"/>
        <v>#NAME?</v>
      </c>
      <c r="F181" s="100" t="e">
        <f t="shared" si="21"/>
        <v>#NAME?</v>
      </c>
    </row>
    <row r="182" spans="1:6" hidden="1">
      <c r="A182" s="82" t="s">
        <v>321</v>
      </c>
      <c r="B182" s="82"/>
      <c r="C182" s="82"/>
      <c r="D182" s="106"/>
      <c r="E182" s="106" t="e">
        <f>SUM(E175:E181)</f>
        <v>#NAME?</v>
      </c>
      <c r="F182" s="107" t="e">
        <f>SUM(F175:F181)</f>
        <v>#NAME?</v>
      </c>
    </row>
    <row r="183" spans="1:6" hidden="1">
      <c r="A183" s="83"/>
      <c r="B183" s="83"/>
      <c r="C183" s="83"/>
      <c r="D183" s="91"/>
      <c r="E183" s="91"/>
      <c r="F183" s="93"/>
    </row>
    <row r="184" spans="1:6" hidden="1">
      <c r="A184" s="78" t="s">
        <v>339</v>
      </c>
      <c r="B184" s="83"/>
      <c r="C184" s="83"/>
      <c r="D184" s="91"/>
      <c r="E184" s="91"/>
      <c r="F184" s="93"/>
    </row>
    <row r="185" spans="1:6" hidden="1">
      <c r="A185" s="98" t="s">
        <v>322</v>
      </c>
      <c r="B185" s="98">
        <v>1025</v>
      </c>
      <c r="C185" s="98" t="s">
        <v>63</v>
      </c>
      <c r="D185" s="99">
        <v>26</v>
      </c>
      <c r="E185" s="99">
        <f>+D185*B185</f>
        <v>26650</v>
      </c>
      <c r="F185" s="100" t="e">
        <f>+E185/TotLots</f>
        <v>#NAME?</v>
      </c>
    </row>
    <row r="186" spans="1:6" hidden="1">
      <c r="A186" s="82" t="s">
        <v>323</v>
      </c>
      <c r="B186" s="83"/>
      <c r="C186" s="83"/>
      <c r="D186" s="91"/>
      <c r="E186" s="101" t="e">
        <f>+E185+E182</f>
        <v>#NAME?</v>
      </c>
      <c r="F186" s="102" t="e">
        <f>+F185+F182</f>
        <v>#NAME?</v>
      </c>
    </row>
    <row r="187" spans="1:6" hidden="1"/>
    <row r="188" spans="1:6" hidden="1">
      <c r="A188" s="78" t="s">
        <v>324</v>
      </c>
      <c r="B188" s="83"/>
      <c r="C188" s="83"/>
      <c r="D188" s="91"/>
      <c r="E188" s="83"/>
      <c r="F188" s="83"/>
    </row>
    <row r="189" spans="1:6" hidden="1">
      <c r="A189" s="83" t="s">
        <v>325</v>
      </c>
      <c r="B189" s="83">
        <v>2792.5</v>
      </c>
      <c r="C189" s="83" t="s">
        <v>196</v>
      </c>
      <c r="D189" s="91">
        <v>2</v>
      </c>
      <c r="E189" s="91">
        <f>+D189*B189</f>
        <v>5585</v>
      </c>
      <c r="F189" s="93" t="e">
        <f>+E189/TotLots</f>
        <v>#NAME?</v>
      </c>
    </row>
    <row r="190" spans="1:6" hidden="1">
      <c r="A190" s="83" t="s">
        <v>326</v>
      </c>
      <c r="B190" s="83">
        <f>ROUND((5/7*11.5),0)</f>
        <v>8</v>
      </c>
      <c r="C190" s="83" t="s">
        <v>196</v>
      </c>
      <c r="D190" s="91">
        <v>500</v>
      </c>
      <c r="E190" s="91">
        <f>+D190*B190</f>
        <v>4000</v>
      </c>
      <c r="F190" s="93" t="e">
        <f>+E190/TotLots</f>
        <v>#NAME?</v>
      </c>
    </row>
    <row r="191" spans="1:6" hidden="1">
      <c r="A191" s="98" t="s">
        <v>64</v>
      </c>
      <c r="B191" s="83">
        <f>ROUND((1/7*11.5),0)</f>
        <v>2</v>
      </c>
      <c r="C191" s="98" t="s">
        <v>196</v>
      </c>
      <c r="D191" s="99">
        <v>1500</v>
      </c>
      <c r="E191" s="99">
        <f>+D191*B191</f>
        <v>3000</v>
      </c>
      <c r="F191" s="100" t="e">
        <f>+E191/TotLots</f>
        <v>#NAME?</v>
      </c>
    </row>
    <row r="192" spans="1:6" hidden="1">
      <c r="A192" s="82" t="s">
        <v>327</v>
      </c>
      <c r="B192" s="83"/>
      <c r="C192" s="83"/>
      <c r="D192" s="91"/>
      <c r="E192" s="108">
        <f>SUM(E189:E191)</f>
        <v>12585</v>
      </c>
      <c r="F192" s="109" t="e">
        <f>SUM(F189:F191)</f>
        <v>#NAME?</v>
      </c>
    </row>
    <row r="193" spans="1:6" hidden="1">
      <c r="A193" s="82"/>
      <c r="B193" s="83"/>
      <c r="C193" s="83"/>
      <c r="D193" s="91"/>
      <c r="E193" s="108"/>
      <c r="F193" s="109"/>
    </row>
    <row r="194" spans="1:6" hidden="1">
      <c r="A194" s="82" t="s">
        <v>342</v>
      </c>
      <c r="B194" s="91">
        <f>('Unit Summary'!$N$14*2)/27</f>
        <v>12768.381481481481</v>
      </c>
      <c r="C194" s="83" t="s">
        <v>328</v>
      </c>
      <c r="D194" s="110">
        <v>3.5</v>
      </c>
      <c r="E194" s="91">
        <f>+D194*B194</f>
        <v>44689.335185185184</v>
      </c>
      <c r="F194" s="93" t="e">
        <f>+E194/TotLots</f>
        <v>#NAME?</v>
      </c>
    </row>
    <row r="195" spans="1:6" hidden="1">
      <c r="A195" s="111" t="s">
        <v>340</v>
      </c>
      <c r="B195" s="112">
        <f>13.75*50*60</f>
        <v>41250</v>
      </c>
      <c r="C195" s="83" t="s">
        <v>65</v>
      </c>
      <c r="D195" s="91"/>
      <c r="E195" s="108"/>
      <c r="F195" s="109"/>
    </row>
    <row r="196" spans="1:6" hidden="1">
      <c r="A196" s="111" t="s">
        <v>341</v>
      </c>
      <c r="B196" s="112">
        <f>105*565.34</f>
        <v>59360.700000000004</v>
      </c>
      <c r="C196" s="83" t="s">
        <v>65</v>
      </c>
      <c r="D196" s="91"/>
      <c r="E196" s="83"/>
      <c r="F196" s="83"/>
    </row>
    <row r="197" spans="1:6" ht="12" hidden="1" thickBot="1">
      <c r="A197" s="113" t="s">
        <v>329</v>
      </c>
      <c r="B197" s="114"/>
      <c r="C197" s="114"/>
      <c r="D197" s="115"/>
      <c r="E197" s="116" t="e">
        <f>E194+E192+E186+E150+E161+E172+E130</f>
        <v>#NAME?</v>
      </c>
      <c r="F197" s="117" t="e">
        <f>+TImpCost/TotLots</f>
        <v>#NAME?</v>
      </c>
    </row>
    <row r="198" spans="1:6" ht="12" hidden="1" thickTop="1">
      <c r="A198" s="83"/>
      <c r="B198" s="83"/>
      <c r="C198" s="83"/>
      <c r="D198" s="83"/>
      <c r="E198" s="83"/>
      <c r="F198" s="83"/>
    </row>
    <row r="199" spans="1:6" hidden="1">
      <c r="A199" s="83" t="s">
        <v>330</v>
      </c>
      <c r="B199" s="83"/>
      <c r="C199" s="83"/>
      <c r="D199" s="83"/>
      <c r="E199" s="83"/>
      <c r="F199" s="83"/>
    </row>
    <row r="200" spans="1:6" hidden="1">
      <c r="A200" s="83" t="s">
        <v>331</v>
      </c>
      <c r="B200" s="83"/>
      <c r="C200" s="83"/>
      <c r="D200" s="83"/>
      <c r="E200" s="83"/>
      <c r="F200" s="83"/>
    </row>
    <row r="201" spans="1:6" hidden="1">
      <c r="A201" s="83" t="s">
        <v>332</v>
      </c>
      <c r="B201" s="83"/>
      <c r="C201" s="83"/>
      <c r="D201" s="83"/>
      <c r="E201" s="83"/>
      <c r="F201" s="83"/>
    </row>
  </sheetData>
  <mergeCells count="2">
    <mergeCell ref="A125:F125"/>
    <mergeCell ref="A1:F1"/>
  </mergeCells>
  <phoneticPr fontId="3" type="noConversion"/>
  <printOptions horizontalCentered="1"/>
  <pageMargins left="0.25" right="0.25" top="1.19" bottom="1" header="0.5" footer="0.5"/>
  <pageSetup scale="98" orientation="portrait" horizontalDpi="300" verticalDpi="300" r:id="rId1"/>
  <headerFooter alignWithMargins="0">
    <oddHeader>&amp;C&amp;"Garamond,Bold"&amp;12WESTGATE &amp;&amp; CAMERON LOOP 
96 CONODOMINIUMS</oddHeader>
    <oddFooter>&amp;L&amp;8&amp;F&amp;C&amp;8Page &amp;P Of &amp;N&amp;R&amp;8&amp;D</oddFooter>
  </headerFooter>
  <rowBreaks count="1" manualBreakCount="1">
    <brk id="57" max="6" man="1"/>
  </row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143"/>
  <sheetViews>
    <sheetView topLeftCell="A2" zoomScaleNormal="100" workbookViewId="0">
      <selection activeCell="F47" activeCellId="1" sqref="B36 F47:F50"/>
    </sheetView>
  </sheetViews>
  <sheetFormatPr defaultRowHeight="12.75"/>
  <cols>
    <col min="1" max="1" width="16.5703125" style="3" customWidth="1"/>
    <col min="2" max="2" width="6.140625" style="3" customWidth="1"/>
    <col min="3" max="3" width="5.85546875" style="3" customWidth="1"/>
    <col min="4" max="4" width="5.140625" style="3" customWidth="1"/>
    <col min="5" max="5" width="9.7109375" style="3" customWidth="1"/>
    <col min="6" max="6" width="7.140625" style="3" customWidth="1"/>
    <col min="7" max="7" width="9.7109375" style="3" customWidth="1"/>
    <col min="8" max="8" width="5.85546875" style="3" customWidth="1"/>
    <col min="9" max="16384" width="9.140625" style="3"/>
  </cols>
  <sheetData>
    <row r="1" spans="1:9" ht="13.5" thickBot="1">
      <c r="A1" s="329" t="s">
        <v>368</v>
      </c>
      <c r="B1" s="330"/>
      <c r="C1" s="330"/>
      <c r="D1" s="330"/>
      <c r="E1" s="330"/>
      <c r="F1" s="330"/>
      <c r="G1" s="330"/>
      <c r="H1" s="330"/>
    </row>
    <row r="2" spans="1:9">
      <c r="A2" s="14"/>
      <c r="B2" s="14"/>
      <c r="C2" s="14"/>
      <c r="D2" s="14"/>
      <c r="E2" s="14"/>
      <c r="F2" s="14"/>
      <c r="G2" s="14"/>
      <c r="H2" s="14"/>
    </row>
    <row r="3" spans="1:9">
      <c r="A3" s="150"/>
      <c r="B3" s="151"/>
      <c r="C3" s="151"/>
      <c r="D3" s="151"/>
      <c r="E3" s="151"/>
      <c r="F3" s="151"/>
      <c r="G3" s="151"/>
      <c r="H3" s="151"/>
      <c r="I3" s="151"/>
    </row>
    <row r="4" spans="1:9" ht="38.25">
      <c r="A4" s="151" t="s">
        <v>100</v>
      </c>
      <c r="B4" s="151" t="s">
        <v>84</v>
      </c>
      <c r="C4" s="151" t="s">
        <v>16</v>
      </c>
      <c r="D4" s="151" t="s">
        <v>82</v>
      </c>
      <c r="E4" s="151" t="s">
        <v>101</v>
      </c>
      <c r="F4" s="151" t="s">
        <v>13</v>
      </c>
      <c r="G4" s="151" t="s">
        <v>369</v>
      </c>
      <c r="H4" s="151" t="s">
        <v>13</v>
      </c>
      <c r="I4" s="151"/>
    </row>
    <row r="6" spans="1:9">
      <c r="A6" s="152" t="s">
        <v>88</v>
      </c>
      <c r="B6" s="149"/>
      <c r="C6" s="149"/>
      <c r="D6" s="149" t="s">
        <v>98</v>
      </c>
      <c r="E6" s="149"/>
      <c r="F6" s="149"/>
      <c r="G6" s="149">
        <f>35*9</f>
        <v>315</v>
      </c>
      <c r="H6" s="149" t="s">
        <v>65</v>
      </c>
    </row>
    <row r="7" spans="1:9">
      <c r="A7" s="152" t="s">
        <v>89</v>
      </c>
      <c r="B7" s="149"/>
      <c r="C7" s="149"/>
      <c r="D7" s="149" t="s">
        <v>8</v>
      </c>
      <c r="E7" s="149"/>
      <c r="F7" s="149"/>
      <c r="G7" s="149">
        <f>B8+B15</f>
        <v>900</v>
      </c>
      <c r="H7" s="149" t="s">
        <v>65</v>
      </c>
    </row>
    <row r="8" spans="1:9">
      <c r="A8" s="149" t="s">
        <v>90</v>
      </c>
      <c r="B8" s="149">
        <v>492</v>
      </c>
      <c r="C8" s="149" t="s">
        <v>65</v>
      </c>
      <c r="D8" s="152" t="s">
        <v>130</v>
      </c>
      <c r="E8" s="149"/>
      <c r="F8" s="149"/>
      <c r="G8" s="149">
        <f>+G9+G10+G11</f>
        <v>178.5</v>
      </c>
      <c r="H8" s="149"/>
    </row>
    <row r="9" spans="1:9">
      <c r="A9" s="162" t="s">
        <v>91</v>
      </c>
      <c r="B9" s="162">
        <v>672</v>
      </c>
      <c r="C9" s="162" t="s">
        <v>65</v>
      </c>
      <c r="D9" s="155" t="s">
        <v>179</v>
      </c>
      <c r="E9" s="149"/>
      <c r="F9" s="149"/>
      <c r="G9" s="149">
        <f>8*7</f>
        <v>56</v>
      </c>
      <c r="H9" s="149" t="s">
        <v>65</v>
      </c>
    </row>
    <row r="10" spans="1:9">
      <c r="A10" s="149" t="s">
        <v>92</v>
      </c>
      <c r="B10" s="149">
        <f>+B9+B8</f>
        <v>1164</v>
      </c>
      <c r="C10" s="149" t="s">
        <v>65</v>
      </c>
      <c r="D10" s="155" t="s">
        <v>360</v>
      </c>
      <c r="E10" s="149"/>
      <c r="F10" s="149"/>
      <c r="G10" s="149">
        <v>0</v>
      </c>
      <c r="H10" s="149"/>
    </row>
    <row r="11" spans="1:9">
      <c r="A11" s="149"/>
      <c r="B11" s="149"/>
      <c r="C11" s="149"/>
      <c r="D11" s="155" t="s">
        <v>180</v>
      </c>
      <c r="E11" s="149"/>
      <c r="F11" s="149"/>
      <c r="G11" s="149">
        <f>3.5*(25+10)</f>
        <v>122.5</v>
      </c>
      <c r="H11" s="149"/>
    </row>
    <row r="12" spans="1:9">
      <c r="A12" s="152" t="s">
        <v>93</v>
      </c>
      <c r="B12" s="149"/>
      <c r="C12" s="149"/>
      <c r="D12" s="149" t="s">
        <v>181</v>
      </c>
      <c r="E12" s="149"/>
      <c r="F12" s="149"/>
      <c r="G12" s="149">
        <f>25*18</f>
        <v>450</v>
      </c>
      <c r="H12" s="149"/>
    </row>
    <row r="13" spans="1:9">
      <c r="A13" s="149" t="s">
        <v>94</v>
      </c>
      <c r="B13" s="149">
        <v>386</v>
      </c>
      <c r="C13" s="149" t="s">
        <v>65</v>
      </c>
      <c r="D13" s="149" t="s">
        <v>1</v>
      </c>
      <c r="E13" s="149"/>
      <c r="F13" s="149"/>
      <c r="G13" s="149">
        <v>9</v>
      </c>
      <c r="H13" s="149"/>
    </row>
    <row r="14" spans="1:9">
      <c r="A14" s="149" t="s">
        <v>95</v>
      </c>
      <c r="B14" s="149">
        <v>22</v>
      </c>
      <c r="C14" s="149" t="s">
        <v>65</v>
      </c>
      <c r="D14" s="149" t="s">
        <v>361</v>
      </c>
      <c r="E14" s="149"/>
      <c r="F14" s="149"/>
      <c r="G14" s="149">
        <v>1</v>
      </c>
      <c r="H14" s="149"/>
    </row>
    <row r="15" spans="1:9">
      <c r="A15" s="153" t="s">
        <v>96</v>
      </c>
      <c r="B15" s="153">
        <f>+B14+B13</f>
        <v>408</v>
      </c>
      <c r="C15" s="153" t="s">
        <v>65</v>
      </c>
      <c r="D15" s="149" t="s">
        <v>138</v>
      </c>
      <c r="E15" s="149"/>
      <c r="F15" s="149"/>
      <c r="G15" s="149">
        <v>8</v>
      </c>
      <c r="H15" s="149"/>
    </row>
    <row r="16" spans="1:9">
      <c r="A16" s="154" t="s">
        <v>97</v>
      </c>
      <c r="B16" s="154">
        <f>+B15+B10</f>
        <v>1572</v>
      </c>
      <c r="C16" s="154" t="s">
        <v>65</v>
      </c>
      <c r="D16" s="149" t="s">
        <v>187</v>
      </c>
      <c r="E16" s="149"/>
      <c r="F16" s="149"/>
      <c r="G16" s="149">
        <f>ConstTime</f>
        <v>6</v>
      </c>
      <c r="H16" s="149" t="s">
        <v>10</v>
      </c>
    </row>
    <row r="17" spans="1:8">
      <c r="A17" s="149"/>
      <c r="B17" s="149"/>
      <c r="C17" s="149"/>
      <c r="D17" s="149"/>
      <c r="E17" s="149"/>
      <c r="F17" s="149"/>
      <c r="G17" s="149"/>
      <c r="H17" s="149"/>
    </row>
    <row r="18" spans="1:8">
      <c r="A18" s="152" t="s">
        <v>59</v>
      </c>
      <c r="B18" s="149"/>
      <c r="C18" s="149"/>
      <c r="D18" s="149"/>
      <c r="E18" s="149"/>
      <c r="F18" s="149"/>
      <c r="G18" s="149"/>
      <c r="H18" s="149"/>
    </row>
    <row r="19" spans="1:8">
      <c r="A19" s="149" t="s">
        <v>104</v>
      </c>
      <c r="B19" s="149">
        <v>0</v>
      </c>
      <c r="C19" s="149" t="s">
        <v>57</v>
      </c>
      <c r="D19" s="157">
        <f>1000/4</f>
        <v>250</v>
      </c>
      <c r="E19" s="161">
        <f>D19*B19</f>
        <v>0</v>
      </c>
      <c r="F19" s="160">
        <f>+E19/$B$10</f>
        <v>0</v>
      </c>
      <c r="G19" s="161">
        <f>+E19*AdjRate</f>
        <v>0</v>
      </c>
      <c r="H19" s="160">
        <f t="shared" ref="H19:H82" si="0">+G19/B$10</f>
        <v>0</v>
      </c>
    </row>
    <row r="20" spans="1:8">
      <c r="A20" s="149" t="s">
        <v>105</v>
      </c>
      <c r="B20" s="149">
        <f>+$G$7</f>
        <v>900</v>
      </c>
      <c r="C20" s="149" t="s">
        <v>65</v>
      </c>
      <c r="D20" s="157">
        <v>0.15</v>
      </c>
      <c r="E20" s="161">
        <f>D20*B20</f>
        <v>135</v>
      </c>
      <c r="F20" s="160">
        <f>+E20/$B$10</f>
        <v>0.11597938144329897</v>
      </c>
      <c r="G20" s="161">
        <f>+E20*AdjRate</f>
        <v>162</v>
      </c>
      <c r="H20" s="160">
        <f t="shared" si="0"/>
        <v>0.13917525773195877</v>
      </c>
    </row>
    <row r="21" spans="1:8">
      <c r="A21" s="149" t="s">
        <v>106</v>
      </c>
      <c r="B21" s="149">
        <v>0</v>
      </c>
      <c r="C21" s="149" t="s">
        <v>57</v>
      </c>
      <c r="D21" s="157">
        <v>315</v>
      </c>
      <c r="E21" s="161">
        <f>D21*B21</f>
        <v>0</v>
      </c>
      <c r="F21" s="160">
        <f>+E21/$B$10</f>
        <v>0</v>
      </c>
      <c r="G21" s="161">
        <f>+E21*AdjRate</f>
        <v>0</v>
      </c>
      <c r="H21" s="160">
        <f t="shared" si="0"/>
        <v>0</v>
      </c>
    </row>
    <row r="22" spans="1:8">
      <c r="A22" s="149" t="s">
        <v>107</v>
      </c>
      <c r="B22" s="149">
        <v>1</v>
      </c>
      <c r="C22" s="149" t="s">
        <v>57</v>
      </c>
      <c r="D22" s="157">
        <v>0</v>
      </c>
      <c r="E22" s="161">
        <f t="shared" ref="E22:E82" si="1">D22*B22</f>
        <v>0</v>
      </c>
      <c r="F22" s="160">
        <f>+E22/$B$10</f>
        <v>0</v>
      </c>
      <c r="G22" s="161">
        <f>+E22*AdjRate</f>
        <v>0</v>
      </c>
      <c r="H22" s="160">
        <f t="shared" si="0"/>
        <v>0</v>
      </c>
    </row>
    <row r="23" spans="1:8">
      <c r="A23" s="149"/>
      <c r="B23" s="149"/>
      <c r="C23" s="149"/>
      <c r="D23" s="157"/>
      <c r="E23" s="161"/>
      <c r="F23" s="160"/>
      <c r="G23" s="161"/>
      <c r="H23" s="160"/>
    </row>
    <row r="24" spans="1:8">
      <c r="A24" s="152" t="s">
        <v>108</v>
      </c>
      <c r="B24" s="149"/>
      <c r="C24" s="149"/>
      <c r="D24" s="157"/>
      <c r="E24" s="161"/>
      <c r="F24" s="160"/>
      <c r="G24" s="161"/>
      <c r="H24" s="160"/>
    </row>
    <row r="25" spans="1:8">
      <c r="A25" s="149" t="s">
        <v>109</v>
      </c>
      <c r="B25" s="149">
        <v>1</v>
      </c>
      <c r="C25" s="149" t="s">
        <v>57</v>
      </c>
      <c r="D25" s="157">
        <v>150</v>
      </c>
      <c r="E25" s="161">
        <f t="shared" si="1"/>
        <v>150</v>
      </c>
      <c r="F25" s="160">
        <f>+E25/$B$10</f>
        <v>0.12886597938144329</v>
      </c>
      <c r="G25" s="161">
        <f>+E25*AdjRate</f>
        <v>180</v>
      </c>
      <c r="H25" s="160">
        <f t="shared" si="0"/>
        <v>0.15463917525773196</v>
      </c>
    </row>
    <row r="26" spans="1:8">
      <c r="A26" s="149" t="s">
        <v>110</v>
      </c>
      <c r="B26" s="149">
        <v>1</v>
      </c>
      <c r="C26" s="149" t="s">
        <v>57</v>
      </c>
      <c r="D26" s="157">
        <v>100</v>
      </c>
      <c r="E26" s="161">
        <f t="shared" si="1"/>
        <v>100</v>
      </c>
      <c r="F26" s="160">
        <f>+E26/$B$10</f>
        <v>8.5910652920962199E-2</v>
      </c>
      <c r="G26" s="161">
        <f>+E26*AdjRate</f>
        <v>120</v>
      </c>
      <c r="H26" s="160">
        <f t="shared" si="0"/>
        <v>0.10309278350515463</v>
      </c>
    </row>
    <row r="27" spans="1:8">
      <c r="A27" s="149" t="s">
        <v>111</v>
      </c>
      <c r="B27" s="149">
        <v>1</v>
      </c>
      <c r="C27" s="149" t="s">
        <v>57</v>
      </c>
      <c r="D27" s="157">
        <v>0</v>
      </c>
      <c r="E27" s="161">
        <f t="shared" si="1"/>
        <v>0</v>
      </c>
      <c r="F27" s="160">
        <f>+E27/$B$10</f>
        <v>0</v>
      </c>
      <c r="G27" s="161">
        <f>+E27*AdjRate</f>
        <v>0</v>
      </c>
      <c r="H27" s="160">
        <f t="shared" si="0"/>
        <v>0</v>
      </c>
    </row>
    <row r="28" spans="1:8">
      <c r="A28" s="149"/>
      <c r="B28" s="149"/>
      <c r="C28" s="149"/>
      <c r="D28" s="157"/>
      <c r="E28" s="161"/>
      <c r="F28" s="160"/>
      <c r="G28" s="161"/>
      <c r="H28" s="160"/>
    </row>
    <row r="29" spans="1:8">
      <c r="A29" s="152" t="s">
        <v>113</v>
      </c>
      <c r="B29" s="149"/>
      <c r="C29" s="149"/>
      <c r="D29" s="157"/>
      <c r="E29" s="161"/>
      <c r="F29" s="160"/>
      <c r="G29" s="161"/>
      <c r="H29" s="160"/>
    </row>
    <row r="30" spans="1:8">
      <c r="A30" s="149" t="s">
        <v>6</v>
      </c>
      <c r="B30" s="149">
        <f>ConstTime</f>
        <v>6</v>
      </c>
      <c r="C30" s="149" t="s">
        <v>77</v>
      </c>
      <c r="D30" s="157">
        <f>56</f>
        <v>56</v>
      </c>
      <c r="E30" s="161">
        <f t="shared" si="1"/>
        <v>336</v>
      </c>
      <c r="F30" s="160">
        <f>+E30/$B$10</f>
        <v>0.28865979381443296</v>
      </c>
      <c r="G30" s="161">
        <f>+E30*AdjRate</f>
        <v>403.2</v>
      </c>
      <c r="H30" s="160">
        <f t="shared" si="0"/>
        <v>0.34639175257731958</v>
      </c>
    </row>
    <row r="31" spans="1:8">
      <c r="A31" s="149" t="s">
        <v>114</v>
      </c>
      <c r="B31" s="149">
        <v>1</v>
      </c>
      <c r="C31" s="149" t="s">
        <v>57</v>
      </c>
      <c r="D31" s="157">
        <v>500</v>
      </c>
      <c r="E31" s="161">
        <f t="shared" si="1"/>
        <v>500</v>
      </c>
      <c r="F31" s="160">
        <f>+E31/$B$10</f>
        <v>0.42955326460481097</v>
      </c>
      <c r="G31" s="161">
        <f>+E31*AdjRate</f>
        <v>600</v>
      </c>
      <c r="H31" s="160">
        <f t="shared" si="0"/>
        <v>0.51546391752577314</v>
      </c>
    </row>
    <row r="32" spans="1:8">
      <c r="A32" s="149"/>
      <c r="B32" s="149"/>
      <c r="C32" s="149"/>
      <c r="D32" s="157"/>
      <c r="E32" s="161"/>
      <c r="F32" s="160"/>
      <c r="G32" s="161"/>
      <c r="H32" s="160"/>
    </row>
    <row r="33" spans="1:8">
      <c r="A33" s="152" t="s">
        <v>115</v>
      </c>
      <c r="B33" s="149"/>
      <c r="C33" s="149"/>
      <c r="D33" s="157"/>
      <c r="E33" s="161"/>
      <c r="F33" s="160"/>
      <c r="G33" s="161"/>
      <c r="H33" s="160"/>
    </row>
    <row r="34" spans="1:8">
      <c r="A34" s="149" t="s">
        <v>116</v>
      </c>
      <c r="B34" s="149">
        <f>ConstTime</f>
        <v>6</v>
      </c>
      <c r="C34" s="149" t="s">
        <v>77</v>
      </c>
      <c r="D34" s="157">
        <v>30</v>
      </c>
      <c r="E34" s="161">
        <f t="shared" si="1"/>
        <v>180</v>
      </c>
      <c r="F34" s="160">
        <f>+E34/$B$10</f>
        <v>0.15463917525773196</v>
      </c>
      <c r="G34" s="161">
        <f>+E34*AdjRate</f>
        <v>216</v>
      </c>
      <c r="H34" s="160">
        <f t="shared" si="0"/>
        <v>0.18556701030927836</v>
      </c>
    </row>
    <row r="35" spans="1:8">
      <c r="A35" s="149" t="s">
        <v>117</v>
      </c>
      <c r="B35" s="149">
        <f>ConstTime</f>
        <v>6</v>
      </c>
      <c r="C35" s="149" t="s">
        <v>77</v>
      </c>
      <c r="D35" s="157">
        <v>30</v>
      </c>
      <c r="E35" s="161">
        <f t="shared" si="1"/>
        <v>180</v>
      </c>
      <c r="F35" s="160">
        <f>+E35/$B$10</f>
        <v>0.15463917525773196</v>
      </c>
      <c r="G35" s="161">
        <f>+E35*AdjRate</f>
        <v>216</v>
      </c>
      <c r="H35" s="160">
        <f t="shared" si="0"/>
        <v>0.18556701030927836</v>
      </c>
    </row>
    <row r="36" spans="1:8">
      <c r="A36" s="149" t="s">
        <v>118</v>
      </c>
      <c r="B36" s="149">
        <f>ConstTime</f>
        <v>6</v>
      </c>
      <c r="C36" s="149" t="s">
        <v>77</v>
      </c>
      <c r="D36" s="157">
        <f>85/2</f>
        <v>42.5</v>
      </c>
      <c r="E36" s="161">
        <f t="shared" si="1"/>
        <v>255</v>
      </c>
      <c r="F36" s="160">
        <f>+E36/$B$10</f>
        <v>0.21907216494845361</v>
      </c>
      <c r="G36" s="161">
        <f>+E36*AdjRate</f>
        <v>306</v>
      </c>
      <c r="H36" s="160">
        <f t="shared" si="0"/>
        <v>0.26288659793814434</v>
      </c>
    </row>
    <row r="37" spans="1:8">
      <c r="A37" s="149"/>
      <c r="B37" s="149"/>
      <c r="C37" s="149"/>
      <c r="D37" s="157"/>
      <c r="E37" s="161"/>
      <c r="F37" s="160"/>
      <c r="G37" s="161"/>
      <c r="H37" s="160"/>
    </row>
    <row r="38" spans="1:8">
      <c r="A38" s="152" t="s">
        <v>119</v>
      </c>
      <c r="B38" s="149"/>
      <c r="C38" s="149"/>
      <c r="D38" s="157"/>
      <c r="E38" s="161"/>
      <c r="F38" s="160"/>
      <c r="G38" s="161"/>
      <c r="H38" s="160"/>
    </row>
    <row r="39" spans="1:8">
      <c r="A39" s="149" t="s">
        <v>120</v>
      </c>
      <c r="B39" s="149">
        <v>1</v>
      </c>
      <c r="C39" s="149" t="s">
        <v>57</v>
      </c>
      <c r="D39" s="157">
        <v>750</v>
      </c>
      <c r="E39" s="161">
        <f t="shared" si="1"/>
        <v>750</v>
      </c>
      <c r="F39" s="160">
        <f>+E39/$B$10</f>
        <v>0.64432989690721654</v>
      </c>
      <c r="G39" s="161">
        <f>+E39*AdjRate</f>
        <v>900</v>
      </c>
      <c r="H39" s="160">
        <f t="shared" si="0"/>
        <v>0.77319587628865982</v>
      </c>
    </row>
    <row r="40" spans="1:8">
      <c r="A40" s="149" t="s">
        <v>121</v>
      </c>
      <c r="B40" s="149">
        <f>+B$10</f>
        <v>1164</v>
      </c>
      <c r="C40" s="149" t="s">
        <v>65</v>
      </c>
      <c r="D40" s="157">
        <v>0.1</v>
      </c>
      <c r="E40" s="161">
        <f t="shared" si="1"/>
        <v>116.4</v>
      </c>
      <c r="F40" s="160">
        <f>+E40/$B$10</f>
        <v>0.1</v>
      </c>
      <c r="G40" s="161">
        <f>+E40*AdjRate</f>
        <v>139.68</v>
      </c>
      <c r="H40" s="160">
        <f t="shared" si="0"/>
        <v>0.12000000000000001</v>
      </c>
    </row>
    <row r="41" spans="1:8">
      <c r="A41" s="149"/>
      <c r="B41" s="149"/>
      <c r="C41" s="149"/>
      <c r="D41" s="157"/>
      <c r="E41" s="161"/>
      <c r="F41" s="160"/>
      <c r="G41" s="161"/>
      <c r="H41" s="160"/>
    </row>
    <row r="42" spans="1:8">
      <c r="A42" s="152" t="s">
        <v>7</v>
      </c>
      <c r="B42" s="149"/>
      <c r="C42" s="149"/>
      <c r="D42" s="157"/>
      <c r="E42" s="161"/>
      <c r="F42" s="160"/>
      <c r="G42" s="161"/>
      <c r="H42" s="160"/>
    </row>
    <row r="43" spans="1:8">
      <c r="A43" s="149" t="s">
        <v>62</v>
      </c>
      <c r="B43" s="149">
        <v>0</v>
      </c>
      <c r="C43" s="149" t="s">
        <v>57</v>
      </c>
      <c r="D43" s="157">
        <v>0</v>
      </c>
      <c r="E43" s="161">
        <f t="shared" si="1"/>
        <v>0</v>
      </c>
      <c r="F43" s="160">
        <f t="shared" ref="F43:F49" si="2">+E43/$B$10</f>
        <v>0</v>
      </c>
      <c r="G43" s="161">
        <f t="shared" ref="G43:G49" si="3">+E43*AdjRate</f>
        <v>0</v>
      </c>
      <c r="H43" s="160">
        <f t="shared" si="0"/>
        <v>0</v>
      </c>
    </row>
    <row r="44" spans="1:8">
      <c r="A44" s="149" t="s">
        <v>122</v>
      </c>
      <c r="B44" s="149">
        <v>1</v>
      </c>
      <c r="C44" s="149" t="s">
        <v>196</v>
      </c>
      <c r="D44" s="157">
        <v>150</v>
      </c>
      <c r="E44" s="161">
        <f t="shared" si="1"/>
        <v>150</v>
      </c>
      <c r="F44" s="160">
        <f t="shared" si="2"/>
        <v>0.12886597938144329</v>
      </c>
      <c r="G44" s="161">
        <f t="shared" si="3"/>
        <v>180</v>
      </c>
      <c r="H44" s="160">
        <f t="shared" si="0"/>
        <v>0.15463917525773196</v>
      </c>
    </row>
    <row r="45" spans="1:8">
      <c r="A45" s="149" t="s">
        <v>124</v>
      </c>
      <c r="B45" s="149">
        <v>1</v>
      </c>
      <c r="C45" s="149" t="s">
        <v>57</v>
      </c>
      <c r="D45" s="157">
        <v>150</v>
      </c>
      <c r="E45" s="161">
        <f t="shared" si="1"/>
        <v>150</v>
      </c>
      <c r="F45" s="160">
        <f t="shared" si="2"/>
        <v>0.12886597938144329</v>
      </c>
      <c r="G45" s="161">
        <f t="shared" si="3"/>
        <v>180</v>
      </c>
      <c r="H45" s="160">
        <f t="shared" si="0"/>
        <v>0.15463917525773196</v>
      </c>
    </row>
    <row r="46" spans="1:8">
      <c r="A46" s="149" t="s">
        <v>125</v>
      </c>
      <c r="B46" s="149">
        <v>1</v>
      </c>
      <c r="C46" s="149" t="s">
        <v>57</v>
      </c>
      <c r="D46" s="157">
        <v>0</v>
      </c>
      <c r="E46" s="161">
        <f t="shared" si="1"/>
        <v>0</v>
      </c>
      <c r="F46" s="160">
        <f t="shared" si="2"/>
        <v>0</v>
      </c>
      <c r="G46" s="161">
        <f t="shared" si="3"/>
        <v>0</v>
      </c>
      <c r="H46" s="160">
        <f t="shared" si="0"/>
        <v>0</v>
      </c>
    </row>
    <row r="47" spans="1:8">
      <c r="A47" s="149" t="s">
        <v>73</v>
      </c>
      <c r="B47" s="149">
        <v>1</v>
      </c>
      <c r="C47" s="149" t="s">
        <v>57</v>
      </c>
      <c r="D47" s="157">
        <v>0</v>
      </c>
      <c r="E47" s="161">
        <f t="shared" si="1"/>
        <v>0</v>
      </c>
      <c r="F47" s="171" t="s">
        <v>379</v>
      </c>
      <c r="G47" s="161">
        <f t="shared" si="3"/>
        <v>0</v>
      </c>
      <c r="H47" s="160">
        <f t="shared" si="0"/>
        <v>0</v>
      </c>
    </row>
    <row r="48" spans="1:8">
      <c r="A48" s="149" t="s">
        <v>126</v>
      </c>
      <c r="B48" s="149">
        <v>100</v>
      </c>
      <c r="C48" s="149" t="s">
        <v>63</v>
      </c>
      <c r="D48" s="157">
        <v>15</v>
      </c>
      <c r="E48" s="161">
        <f t="shared" si="1"/>
        <v>1500</v>
      </c>
      <c r="F48" s="160">
        <f t="shared" si="2"/>
        <v>1.2886597938144331</v>
      </c>
      <c r="G48" s="161">
        <f t="shared" si="3"/>
        <v>1800</v>
      </c>
      <c r="H48" s="160">
        <f t="shared" si="0"/>
        <v>1.5463917525773196</v>
      </c>
    </row>
    <row r="49" spans="1:8">
      <c r="A49" s="149" t="s">
        <v>127</v>
      </c>
      <c r="B49" s="149">
        <v>1</v>
      </c>
      <c r="C49" s="149" t="s">
        <v>57</v>
      </c>
      <c r="D49" s="157">
        <v>100</v>
      </c>
      <c r="E49" s="161">
        <f t="shared" si="1"/>
        <v>100</v>
      </c>
      <c r="F49" s="160">
        <f t="shared" si="2"/>
        <v>8.5910652920962199E-2</v>
      </c>
      <c r="G49" s="161">
        <f t="shared" si="3"/>
        <v>120</v>
      </c>
      <c r="H49" s="160">
        <f t="shared" si="0"/>
        <v>0.10309278350515463</v>
      </c>
    </row>
    <row r="50" spans="1:8">
      <c r="A50" s="149"/>
      <c r="B50" s="149"/>
      <c r="C50" s="149"/>
      <c r="D50" s="157"/>
      <c r="E50" s="161"/>
      <c r="F50" s="160"/>
      <c r="G50" s="161"/>
      <c r="H50" s="160"/>
    </row>
    <row r="51" spans="1:8">
      <c r="A51" s="152" t="s">
        <v>128</v>
      </c>
      <c r="B51" s="149"/>
      <c r="C51" s="149"/>
      <c r="D51" s="157"/>
      <c r="E51" s="161"/>
      <c r="F51" s="160"/>
      <c r="G51" s="161"/>
      <c r="H51" s="160"/>
    </row>
    <row r="52" spans="1:8">
      <c r="A52" s="149" t="s">
        <v>8</v>
      </c>
      <c r="B52" s="149">
        <f>+G7</f>
        <v>900</v>
      </c>
      <c r="C52" s="149" t="s">
        <v>65</v>
      </c>
      <c r="D52" s="157">
        <v>5.75</v>
      </c>
      <c r="E52" s="161">
        <f t="shared" si="1"/>
        <v>5175</v>
      </c>
      <c r="F52" s="160">
        <f t="shared" ref="F52:F112" si="4">+E52/$B$10</f>
        <v>4.445876288659794</v>
      </c>
      <c r="G52" s="161">
        <f>+E52*AdjRate</f>
        <v>6210</v>
      </c>
      <c r="H52" s="160">
        <f t="shared" si="0"/>
        <v>5.3350515463917523</v>
      </c>
    </row>
    <row r="53" spans="1:8">
      <c r="A53" s="149" t="s">
        <v>129</v>
      </c>
      <c r="B53" s="149">
        <v>1</v>
      </c>
      <c r="C53" s="149" t="s">
        <v>57</v>
      </c>
      <c r="D53" s="157">
        <v>100</v>
      </c>
      <c r="E53" s="161">
        <f t="shared" si="1"/>
        <v>100</v>
      </c>
      <c r="F53" s="160">
        <f t="shared" si="4"/>
        <v>8.5910652920962199E-2</v>
      </c>
      <c r="G53" s="161">
        <f>+E53*AdjRate</f>
        <v>120</v>
      </c>
      <c r="H53" s="160">
        <f t="shared" si="0"/>
        <v>0.10309278350515463</v>
      </c>
    </row>
    <row r="54" spans="1:8">
      <c r="A54" s="149" t="s">
        <v>130</v>
      </c>
      <c r="B54" s="149">
        <f>+G8</f>
        <v>178.5</v>
      </c>
      <c r="C54" s="149" t="s">
        <v>65</v>
      </c>
      <c r="D54" s="157">
        <v>2</v>
      </c>
      <c r="E54" s="161">
        <f t="shared" si="1"/>
        <v>357</v>
      </c>
      <c r="F54" s="160">
        <f t="shared" si="4"/>
        <v>0.30670103092783507</v>
      </c>
      <c r="G54" s="161">
        <f>+E54*AdjRate</f>
        <v>428.4</v>
      </c>
      <c r="H54" s="160">
        <f t="shared" si="0"/>
        <v>0.36804123711340203</v>
      </c>
    </row>
    <row r="55" spans="1:8">
      <c r="A55" s="149" t="s">
        <v>182</v>
      </c>
      <c r="B55" s="149">
        <f>+G12</f>
        <v>450</v>
      </c>
      <c r="C55" s="149" t="s">
        <v>65</v>
      </c>
      <c r="D55" s="157">
        <v>2.25</v>
      </c>
      <c r="E55" s="161">
        <f t="shared" si="1"/>
        <v>1012.5</v>
      </c>
      <c r="F55" s="160">
        <f t="shared" si="4"/>
        <v>0.86984536082474229</v>
      </c>
      <c r="G55" s="161">
        <f>+E55*AdjRate</f>
        <v>1215</v>
      </c>
      <c r="H55" s="160">
        <f t="shared" si="0"/>
        <v>1.0438144329896908</v>
      </c>
    </row>
    <row r="56" spans="1:8">
      <c r="A56" s="149"/>
      <c r="B56" s="149"/>
      <c r="C56" s="149"/>
      <c r="D56" s="157"/>
      <c r="E56" s="161"/>
      <c r="F56" s="160"/>
      <c r="G56" s="161"/>
      <c r="H56" s="160"/>
    </row>
    <row r="57" spans="1:8">
      <c r="A57" s="152" t="s">
        <v>131</v>
      </c>
      <c r="B57" s="149"/>
      <c r="C57" s="149"/>
      <c r="D57" s="157"/>
      <c r="E57" s="161"/>
      <c r="F57" s="160"/>
      <c r="G57" s="161" t="s">
        <v>24</v>
      </c>
      <c r="H57" s="160"/>
    </row>
    <row r="58" spans="1:8">
      <c r="A58" s="149" t="s">
        <v>132</v>
      </c>
      <c r="B58" s="149">
        <f>B$16</f>
        <v>1572</v>
      </c>
      <c r="C58" s="149" t="s">
        <v>65</v>
      </c>
      <c r="D58" s="157">
        <v>2.5</v>
      </c>
      <c r="E58" s="161">
        <f t="shared" si="1"/>
        <v>3930</v>
      </c>
      <c r="F58" s="160">
        <f t="shared" si="4"/>
        <v>3.3762886597938144</v>
      </c>
      <c r="G58" s="161">
        <f t="shared" ref="G58:G68" si="5">+E58*AdjRate</f>
        <v>4716</v>
      </c>
      <c r="H58" s="160">
        <f t="shared" si="0"/>
        <v>4.0515463917525771</v>
      </c>
    </row>
    <row r="59" spans="1:8">
      <c r="A59" s="149" t="s">
        <v>133</v>
      </c>
      <c r="B59" s="149">
        <f>+B9</f>
        <v>672</v>
      </c>
      <c r="C59" s="149" t="s">
        <v>65</v>
      </c>
      <c r="D59" s="157">
        <v>1.9</v>
      </c>
      <c r="E59" s="161">
        <f t="shared" si="1"/>
        <v>1276.8</v>
      </c>
      <c r="F59" s="160">
        <f t="shared" si="4"/>
        <v>1.0969072164948452</v>
      </c>
      <c r="G59" s="161">
        <f t="shared" si="5"/>
        <v>1532.1599999999999</v>
      </c>
      <c r="H59" s="160">
        <f t="shared" si="0"/>
        <v>1.3162886597938144</v>
      </c>
    </row>
    <row r="60" spans="1:8">
      <c r="A60" s="149" t="s">
        <v>134</v>
      </c>
      <c r="B60" s="149">
        <f>+G$7</f>
        <v>900</v>
      </c>
      <c r="C60" s="149" t="s">
        <v>65</v>
      </c>
      <c r="D60" s="157">
        <v>1.2</v>
      </c>
      <c r="E60" s="161">
        <f t="shared" si="1"/>
        <v>1080</v>
      </c>
      <c r="F60" s="160">
        <f t="shared" si="4"/>
        <v>0.92783505154639179</v>
      </c>
      <c r="G60" s="161">
        <f t="shared" si="5"/>
        <v>1296</v>
      </c>
      <c r="H60" s="160">
        <f t="shared" si="0"/>
        <v>1.1134020618556701</v>
      </c>
    </row>
    <row r="61" spans="1:8">
      <c r="A61" s="149" t="s">
        <v>11</v>
      </c>
      <c r="B61" s="149">
        <f>B$16</f>
        <v>1572</v>
      </c>
      <c r="C61" s="149" t="s">
        <v>65</v>
      </c>
      <c r="D61" s="157">
        <v>3.5</v>
      </c>
      <c r="E61" s="161">
        <f t="shared" si="1"/>
        <v>5502</v>
      </c>
      <c r="F61" s="160">
        <f t="shared" si="4"/>
        <v>4.7268041237113403</v>
      </c>
      <c r="G61" s="161">
        <f t="shared" si="5"/>
        <v>6602.4</v>
      </c>
      <c r="H61" s="160">
        <f t="shared" si="0"/>
        <v>5.6721649484536076</v>
      </c>
    </row>
    <row r="62" spans="1:8">
      <c r="A62" s="149" t="s">
        <v>135</v>
      </c>
      <c r="B62" s="149">
        <v>1</v>
      </c>
      <c r="C62" s="149" t="s">
        <v>57</v>
      </c>
      <c r="D62" s="157">
        <v>285</v>
      </c>
      <c r="E62" s="161">
        <f t="shared" si="1"/>
        <v>285</v>
      </c>
      <c r="F62" s="160">
        <f t="shared" si="4"/>
        <v>0.24484536082474226</v>
      </c>
      <c r="G62" s="161">
        <f t="shared" si="5"/>
        <v>342</v>
      </c>
      <c r="H62" s="160">
        <f t="shared" si="0"/>
        <v>0.29381443298969073</v>
      </c>
    </row>
    <row r="63" spans="1:8">
      <c r="A63" s="149" t="s">
        <v>2</v>
      </c>
      <c r="B63" s="149">
        <f>+G14</f>
        <v>1</v>
      </c>
      <c r="C63" s="149" t="s">
        <v>136</v>
      </c>
      <c r="D63" s="157">
        <v>285</v>
      </c>
      <c r="E63" s="161">
        <f t="shared" si="1"/>
        <v>285</v>
      </c>
      <c r="F63" s="160">
        <f t="shared" si="4"/>
        <v>0.24484536082474226</v>
      </c>
      <c r="G63" s="161">
        <f t="shared" si="5"/>
        <v>342</v>
      </c>
      <c r="H63" s="160">
        <f t="shared" si="0"/>
        <v>0.29381443298969073</v>
      </c>
    </row>
    <row r="64" spans="1:8">
      <c r="A64" s="149" t="s">
        <v>137</v>
      </c>
      <c r="B64" s="149">
        <f>B$10</f>
        <v>1164</v>
      </c>
      <c r="C64" s="149" t="s">
        <v>65</v>
      </c>
      <c r="D64" s="157">
        <v>0.6</v>
      </c>
      <c r="E64" s="161">
        <f t="shared" si="1"/>
        <v>698.4</v>
      </c>
      <c r="F64" s="160">
        <f t="shared" si="4"/>
        <v>0.6</v>
      </c>
      <c r="G64" s="161">
        <f t="shared" si="5"/>
        <v>838.07999999999993</v>
      </c>
      <c r="H64" s="160">
        <f t="shared" si="0"/>
        <v>0.72</v>
      </c>
    </row>
    <row r="65" spans="1:8">
      <c r="A65" s="149" t="s">
        <v>138</v>
      </c>
      <c r="B65" s="149">
        <f>+G15</f>
        <v>8</v>
      </c>
      <c r="C65" s="149" t="s">
        <v>139</v>
      </c>
      <c r="D65" s="157">
        <v>85</v>
      </c>
      <c r="E65" s="161">
        <f t="shared" si="1"/>
        <v>680</v>
      </c>
      <c r="F65" s="160">
        <f t="shared" si="4"/>
        <v>0.58419243986254299</v>
      </c>
      <c r="G65" s="161">
        <f t="shared" si="5"/>
        <v>816</v>
      </c>
      <c r="H65" s="160">
        <f t="shared" si="0"/>
        <v>0.7010309278350515</v>
      </c>
    </row>
    <row r="66" spans="1:8">
      <c r="A66" s="149" t="s">
        <v>140</v>
      </c>
      <c r="B66" s="149">
        <f>B$10</f>
        <v>1164</v>
      </c>
      <c r="C66" s="149" t="s">
        <v>65</v>
      </c>
      <c r="D66" s="157">
        <v>0.6</v>
      </c>
      <c r="E66" s="161">
        <f t="shared" si="1"/>
        <v>698.4</v>
      </c>
      <c r="F66" s="160">
        <f t="shared" si="4"/>
        <v>0.6</v>
      </c>
      <c r="G66" s="161">
        <f t="shared" si="5"/>
        <v>838.07999999999993</v>
      </c>
      <c r="H66" s="160">
        <f t="shared" si="0"/>
        <v>0.72</v>
      </c>
    </row>
    <row r="67" spans="1:8">
      <c r="A67" s="149" t="s">
        <v>141</v>
      </c>
      <c r="B67" s="149">
        <v>33</v>
      </c>
      <c r="C67" s="149" t="s">
        <v>63</v>
      </c>
      <c r="D67" s="157">
        <v>60</v>
      </c>
      <c r="E67" s="161">
        <f t="shared" si="1"/>
        <v>1980</v>
      </c>
      <c r="F67" s="160">
        <f t="shared" si="4"/>
        <v>1.7010309278350515</v>
      </c>
      <c r="G67" s="161">
        <f t="shared" si="5"/>
        <v>2376</v>
      </c>
      <c r="H67" s="160">
        <f t="shared" si="0"/>
        <v>2.0412371134020617</v>
      </c>
    </row>
    <row r="68" spans="1:8">
      <c r="A68" s="149" t="s">
        <v>142</v>
      </c>
      <c r="B68" s="149">
        <v>16</v>
      </c>
      <c r="C68" s="149" t="s">
        <v>63</v>
      </c>
      <c r="D68" s="157">
        <v>30</v>
      </c>
      <c r="E68" s="161">
        <f t="shared" si="1"/>
        <v>480</v>
      </c>
      <c r="F68" s="160">
        <f t="shared" si="4"/>
        <v>0.41237113402061853</v>
      </c>
      <c r="G68" s="161">
        <f t="shared" si="5"/>
        <v>576</v>
      </c>
      <c r="H68" s="160">
        <f t="shared" si="0"/>
        <v>0.49484536082474229</v>
      </c>
    </row>
    <row r="69" spans="1:8">
      <c r="A69" s="149"/>
      <c r="B69" s="149"/>
      <c r="C69" s="149"/>
      <c r="D69" s="157"/>
      <c r="E69" s="161"/>
      <c r="F69" s="160"/>
      <c r="G69" s="161"/>
      <c r="H69" s="160"/>
    </row>
    <row r="70" spans="1:8">
      <c r="A70" s="152" t="s">
        <v>143</v>
      </c>
      <c r="B70" s="149"/>
      <c r="C70" s="149"/>
      <c r="D70" s="157"/>
      <c r="E70" s="161"/>
      <c r="F70" s="160"/>
      <c r="G70" s="161"/>
      <c r="H70" s="160"/>
    </row>
    <row r="71" spans="1:8">
      <c r="A71" s="149" t="s">
        <v>1</v>
      </c>
      <c r="B71" s="149">
        <f>+G13</f>
        <v>9</v>
      </c>
      <c r="C71" s="149" t="s">
        <v>144</v>
      </c>
      <c r="D71" s="157">
        <v>85</v>
      </c>
      <c r="E71" s="161">
        <f t="shared" si="1"/>
        <v>765</v>
      </c>
      <c r="F71" s="160">
        <f t="shared" si="4"/>
        <v>0.65721649484536082</v>
      </c>
      <c r="G71" s="161">
        <f>+E71*AdjRate</f>
        <v>918</v>
      </c>
      <c r="H71" s="160">
        <f t="shared" si="0"/>
        <v>0.78865979381443296</v>
      </c>
    </row>
    <row r="72" spans="1:8">
      <c r="A72" s="149" t="s">
        <v>145</v>
      </c>
      <c r="B72" s="149">
        <v>0</v>
      </c>
      <c r="C72" s="149" t="s">
        <v>57</v>
      </c>
      <c r="D72" s="157">
        <v>0</v>
      </c>
      <c r="E72" s="161">
        <f t="shared" si="1"/>
        <v>0</v>
      </c>
      <c r="F72" s="160">
        <f t="shared" si="4"/>
        <v>0</v>
      </c>
      <c r="G72" s="161">
        <f>+E72*AdjRate</f>
        <v>0</v>
      </c>
      <c r="H72" s="160">
        <f t="shared" si="0"/>
        <v>0</v>
      </c>
    </row>
    <row r="73" spans="1:8">
      <c r="A73" s="149" t="s">
        <v>146</v>
      </c>
      <c r="B73" s="149">
        <v>36</v>
      </c>
      <c r="C73" s="149" t="s">
        <v>65</v>
      </c>
      <c r="D73" s="157">
        <v>5</v>
      </c>
      <c r="E73" s="161">
        <f t="shared" si="1"/>
        <v>180</v>
      </c>
      <c r="F73" s="160">
        <f t="shared" si="4"/>
        <v>0.15463917525773196</v>
      </c>
      <c r="G73" s="161">
        <f>+E73*AdjRate</f>
        <v>216</v>
      </c>
      <c r="H73" s="160">
        <f t="shared" si="0"/>
        <v>0.18556701030927836</v>
      </c>
    </row>
    <row r="74" spans="1:8">
      <c r="A74" s="149"/>
      <c r="B74" s="149"/>
      <c r="C74" s="149"/>
      <c r="D74" s="157"/>
      <c r="E74" s="161"/>
      <c r="F74" s="160"/>
      <c r="G74" s="161"/>
      <c r="H74" s="160"/>
    </row>
    <row r="75" spans="1:8">
      <c r="A75" s="152" t="s">
        <v>147</v>
      </c>
      <c r="B75" s="149"/>
      <c r="C75" s="149"/>
      <c r="D75" s="157"/>
      <c r="E75" s="161"/>
      <c r="F75" s="160"/>
      <c r="G75" s="161"/>
      <c r="H75" s="160"/>
    </row>
    <row r="76" spans="1:8">
      <c r="A76" s="149" t="s">
        <v>148</v>
      </c>
      <c r="B76" s="149">
        <f>1.3*1164/100</f>
        <v>15.132</v>
      </c>
      <c r="C76" s="149" t="s">
        <v>149</v>
      </c>
      <c r="D76" s="157">
        <v>52</v>
      </c>
      <c r="E76" s="161">
        <f t="shared" si="1"/>
        <v>786.86400000000003</v>
      </c>
      <c r="F76" s="160">
        <f t="shared" si="4"/>
        <v>0.67600000000000005</v>
      </c>
      <c r="G76" s="161">
        <f>+E76*AdjRate</f>
        <v>944.23680000000002</v>
      </c>
      <c r="H76" s="160">
        <f t="shared" si="0"/>
        <v>0.81120000000000003</v>
      </c>
    </row>
    <row r="77" spans="1:8">
      <c r="A77" s="149" t="s">
        <v>150</v>
      </c>
      <c r="B77" s="149">
        <v>1</v>
      </c>
      <c r="C77" s="149" t="s">
        <v>57</v>
      </c>
      <c r="D77" s="157">
        <v>200</v>
      </c>
      <c r="E77" s="161">
        <f t="shared" si="1"/>
        <v>200</v>
      </c>
      <c r="F77" s="160">
        <f t="shared" si="4"/>
        <v>0.1718213058419244</v>
      </c>
      <c r="G77" s="161">
        <f>+E77*AdjRate</f>
        <v>240</v>
      </c>
      <c r="H77" s="160">
        <f t="shared" si="0"/>
        <v>0.20618556701030927</v>
      </c>
    </row>
    <row r="78" spans="1:8">
      <c r="A78" s="149" t="s">
        <v>151</v>
      </c>
      <c r="B78" s="149">
        <f>B$10</f>
        <v>1164</v>
      </c>
      <c r="C78" s="149" t="s">
        <v>65</v>
      </c>
      <c r="D78" s="157">
        <v>0.7</v>
      </c>
      <c r="E78" s="161">
        <f t="shared" si="1"/>
        <v>814.8</v>
      </c>
      <c r="F78" s="160">
        <f t="shared" si="4"/>
        <v>0.7</v>
      </c>
      <c r="G78" s="161">
        <f>+E78*AdjRate</f>
        <v>977.75999999999988</v>
      </c>
      <c r="H78" s="160">
        <f t="shared" si="0"/>
        <v>0.83999999999999986</v>
      </c>
    </row>
    <row r="79" spans="1:8">
      <c r="A79" s="149" t="s">
        <v>15</v>
      </c>
      <c r="B79" s="149">
        <f>B$10</f>
        <v>1164</v>
      </c>
      <c r="C79" s="149" t="s">
        <v>65</v>
      </c>
      <c r="D79" s="157">
        <v>3</v>
      </c>
      <c r="E79" s="161">
        <f t="shared" si="1"/>
        <v>3492</v>
      </c>
      <c r="F79" s="160">
        <f t="shared" si="4"/>
        <v>3</v>
      </c>
      <c r="G79" s="161">
        <f>+E79*AdjRate</f>
        <v>4190.3999999999996</v>
      </c>
      <c r="H79" s="160">
        <f t="shared" si="0"/>
        <v>3.5999999999999996</v>
      </c>
    </row>
    <row r="80" spans="1:8">
      <c r="A80" s="149"/>
      <c r="B80" s="149"/>
      <c r="C80" s="149"/>
      <c r="D80" s="157"/>
      <c r="E80" s="161"/>
      <c r="F80" s="160"/>
      <c r="G80" s="161"/>
      <c r="H80" s="160"/>
    </row>
    <row r="81" spans="1:8">
      <c r="A81" s="152" t="s">
        <v>98</v>
      </c>
      <c r="B81" s="149"/>
      <c r="C81" s="149"/>
      <c r="D81" s="157"/>
      <c r="E81" s="161"/>
      <c r="F81" s="160"/>
      <c r="G81" s="161"/>
      <c r="H81" s="160"/>
    </row>
    <row r="82" spans="1:8">
      <c r="A82" s="149" t="s">
        <v>152</v>
      </c>
      <c r="B82" s="149">
        <f>+G6</f>
        <v>315</v>
      </c>
      <c r="C82" s="149" t="s">
        <v>65</v>
      </c>
      <c r="D82" s="157">
        <v>5.5</v>
      </c>
      <c r="E82" s="161">
        <f t="shared" si="1"/>
        <v>1732.5</v>
      </c>
      <c r="F82" s="160">
        <f t="shared" si="4"/>
        <v>1.4884020618556701</v>
      </c>
      <c r="G82" s="161">
        <f t="shared" ref="G82:G93" si="6">+E82*AdjRate</f>
        <v>2079</v>
      </c>
      <c r="H82" s="160">
        <f t="shared" si="0"/>
        <v>1.7860824742268042</v>
      </c>
    </row>
    <row r="83" spans="1:8">
      <c r="A83" s="149" t="s">
        <v>153</v>
      </c>
      <c r="B83" s="149">
        <f>B$10</f>
        <v>1164</v>
      </c>
      <c r="C83" s="149" t="s">
        <v>65</v>
      </c>
      <c r="D83" s="157">
        <v>2</v>
      </c>
      <c r="E83" s="161">
        <f t="shared" ref="E83:E106" si="7">D83*B83</f>
        <v>2328</v>
      </c>
      <c r="F83" s="160">
        <f t="shared" si="4"/>
        <v>2</v>
      </c>
      <c r="G83" s="161">
        <f t="shared" si="6"/>
        <v>2793.6</v>
      </c>
      <c r="H83" s="160">
        <f t="shared" ref="H83:H96" si="8">+G83/B$10</f>
        <v>2.4</v>
      </c>
    </row>
    <row r="84" spans="1:8">
      <c r="A84" s="149" t="s">
        <v>154</v>
      </c>
      <c r="B84" s="149">
        <f>B$16</f>
        <v>1572</v>
      </c>
      <c r="C84" s="149" t="s">
        <v>65</v>
      </c>
      <c r="D84" s="157">
        <v>0.6</v>
      </c>
      <c r="E84" s="161">
        <f t="shared" si="7"/>
        <v>943.19999999999993</v>
      </c>
      <c r="F84" s="160">
        <f t="shared" si="4"/>
        <v>0.81030927835051536</v>
      </c>
      <c r="G84" s="161">
        <f t="shared" si="6"/>
        <v>1131.8399999999999</v>
      </c>
      <c r="H84" s="160">
        <f t="shared" si="8"/>
        <v>0.97237113402061848</v>
      </c>
    </row>
    <row r="85" spans="1:8">
      <c r="A85" s="149" t="s">
        <v>211</v>
      </c>
      <c r="B85" s="149">
        <v>48</v>
      </c>
      <c r="C85" s="149" t="s">
        <v>65</v>
      </c>
      <c r="D85" s="157">
        <v>5.5</v>
      </c>
      <c r="E85" s="161">
        <f t="shared" si="7"/>
        <v>264</v>
      </c>
      <c r="F85" s="160">
        <f t="shared" si="4"/>
        <v>0.22680412371134021</v>
      </c>
      <c r="G85" s="161">
        <f t="shared" si="6"/>
        <v>316.8</v>
      </c>
      <c r="H85" s="160">
        <f t="shared" si="8"/>
        <v>0.27216494845360828</v>
      </c>
    </row>
    <row r="86" spans="1:8">
      <c r="A86" s="149" t="s">
        <v>156</v>
      </c>
      <c r="B86" s="149">
        <f>(B10-35-150-150-100)/9</f>
        <v>81</v>
      </c>
      <c r="C86" s="149" t="s">
        <v>157</v>
      </c>
      <c r="D86" s="157">
        <v>14</v>
      </c>
      <c r="E86" s="161">
        <f t="shared" si="7"/>
        <v>1134</v>
      </c>
      <c r="F86" s="160">
        <f t="shared" si="4"/>
        <v>0.97422680412371132</v>
      </c>
      <c r="G86" s="161">
        <f t="shared" si="6"/>
        <v>1360.8</v>
      </c>
      <c r="H86" s="160">
        <f t="shared" si="8"/>
        <v>1.1690721649484537</v>
      </c>
    </row>
    <row r="87" spans="1:8">
      <c r="A87" s="149" t="s">
        <v>158</v>
      </c>
      <c r="B87" s="149">
        <v>27</v>
      </c>
      <c r="C87" s="149" t="s">
        <v>63</v>
      </c>
      <c r="D87" s="157">
        <v>24</v>
      </c>
      <c r="E87" s="161">
        <f t="shared" si="7"/>
        <v>648</v>
      </c>
      <c r="F87" s="160">
        <f t="shared" si="4"/>
        <v>0.55670103092783507</v>
      </c>
      <c r="G87" s="161">
        <f t="shared" si="6"/>
        <v>777.6</v>
      </c>
      <c r="H87" s="160">
        <f t="shared" si="8"/>
        <v>0.66804123711340213</v>
      </c>
    </row>
    <row r="88" spans="1:8">
      <c r="A88" s="149" t="s">
        <v>159</v>
      </c>
      <c r="B88" s="149">
        <v>9</v>
      </c>
      <c r="C88" s="149" t="s">
        <v>63</v>
      </c>
      <c r="D88" s="157">
        <v>24</v>
      </c>
      <c r="E88" s="161">
        <f t="shared" si="7"/>
        <v>216</v>
      </c>
      <c r="F88" s="160">
        <f t="shared" si="4"/>
        <v>0.18556701030927836</v>
      </c>
      <c r="G88" s="161">
        <f t="shared" si="6"/>
        <v>259.2</v>
      </c>
      <c r="H88" s="160">
        <f t="shared" si="8"/>
        <v>0.22268041237113401</v>
      </c>
    </row>
    <row r="89" spans="1:8">
      <c r="A89" s="149" t="s">
        <v>160</v>
      </c>
      <c r="B89" s="149">
        <v>2</v>
      </c>
      <c r="C89" s="149" t="s">
        <v>161</v>
      </c>
      <c r="D89" s="157">
        <v>40</v>
      </c>
      <c r="E89" s="161">
        <f t="shared" si="7"/>
        <v>80</v>
      </c>
      <c r="F89" s="160">
        <f t="shared" si="4"/>
        <v>6.8728522336769765E-2</v>
      </c>
      <c r="G89" s="161">
        <f t="shared" si="6"/>
        <v>96</v>
      </c>
      <c r="H89" s="160">
        <f t="shared" si="8"/>
        <v>8.247422680412371E-2</v>
      </c>
    </row>
    <row r="90" spans="1:8">
      <c r="A90" s="149" t="s">
        <v>162</v>
      </c>
      <c r="B90" s="149">
        <v>0</v>
      </c>
      <c r="C90" s="149" t="s">
        <v>163</v>
      </c>
      <c r="D90" s="157">
        <v>750</v>
      </c>
      <c r="E90" s="161">
        <f t="shared" si="7"/>
        <v>0</v>
      </c>
      <c r="F90" s="160">
        <f t="shared" si="4"/>
        <v>0</v>
      </c>
      <c r="G90" s="161">
        <f t="shared" si="6"/>
        <v>0</v>
      </c>
      <c r="H90" s="160">
        <f t="shared" si="8"/>
        <v>0</v>
      </c>
    </row>
    <row r="91" spans="1:8">
      <c r="A91" s="149" t="s">
        <v>164</v>
      </c>
      <c r="B91" s="149">
        <v>1</v>
      </c>
      <c r="C91" s="149" t="s">
        <v>163</v>
      </c>
      <c r="D91" s="157">
        <v>300</v>
      </c>
      <c r="E91" s="161">
        <f t="shared" si="7"/>
        <v>300</v>
      </c>
      <c r="F91" s="160">
        <f t="shared" si="4"/>
        <v>0.25773195876288657</v>
      </c>
      <c r="G91" s="161">
        <f t="shared" si="6"/>
        <v>360</v>
      </c>
      <c r="H91" s="160">
        <f t="shared" si="8"/>
        <v>0.30927835051546393</v>
      </c>
    </row>
    <row r="92" spans="1:8">
      <c r="A92" s="149" t="s">
        <v>165</v>
      </c>
      <c r="B92" s="149">
        <f>+B71</f>
        <v>9</v>
      </c>
      <c r="C92" s="149" t="s">
        <v>166</v>
      </c>
      <c r="D92" s="157">
        <v>35</v>
      </c>
      <c r="E92" s="161">
        <f t="shared" si="7"/>
        <v>315</v>
      </c>
      <c r="F92" s="160">
        <f t="shared" si="4"/>
        <v>0.27061855670103091</v>
      </c>
      <c r="G92" s="161">
        <f t="shared" si="6"/>
        <v>378</v>
      </c>
      <c r="H92" s="160">
        <f t="shared" si="8"/>
        <v>0.32474226804123713</v>
      </c>
    </row>
    <row r="93" spans="1:8">
      <c r="A93" s="149" t="s">
        <v>167</v>
      </c>
      <c r="B93" s="149">
        <v>0</v>
      </c>
      <c r="C93" s="149" t="s">
        <v>57</v>
      </c>
      <c r="D93" s="157">
        <v>0</v>
      </c>
      <c r="E93" s="161">
        <f t="shared" si="7"/>
        <v>0</v>
      </c>
      <c r="F93" s="160">
        <f t="shared" si="4"/>
        <v>0</v>
      </c>
      <c r="G93" s="161">
        <f t="shared" si="6"/>
        <v>0</v>
      </c>
      <c r="H93" s="160">
        <f t="shared" si="8"/>
        <v>0</v>
      </c>
    </row>
    <row r="94" spans="1:8">
      <c r="A94" s="149"/>
      <c r="B94" s="149"/>
      <c r="C94" s="149"/>
      <c r="D94" s="157"/>
      <c r="E94" s="161"/>
      <c r="F94" s="160"/>
      <c r="G94" s="161"/>
      <c r="H94" s="160"/>
    </row>
    <row r="95" spans="1:8">
      <c r="A95" s="152" t="s">
        <v>168</v>
      </c>
      <c r="B95" s="149"/>
      <c r="C95" s="149"/>
      <c r="D95" s="157"/>
      <c r="E95" s="161"/>
      <c r="F95" s="160"/>
      <c r="G95" s="161"/>
      <c r="H95" s="160"/>
    </row>
    <row r="96" spans="1:8">
      <c r="A96" s="149" t="s">
        <v>4</v>
      </c>
      <c r="B96" s="149">
        <v>1</v>
      </c>
      <c r="C96" s="149" t="s">
        <v>57</v>
      </c>
      <c r="D96" s="157">
        <v>500</v>
      </c>
      <c r="E96" s="161">
        <f t="shared" si="7"/>
        <v>500</v>
      </c>
      <c r="F96" s="160">
        <f t="shared" si="4"/>
        <v>0.42955326460481097</v>
      </c>
      <c r="G96" s="161">
        <f>+E96*AdjRate</f>
        <v>600</v>
      </c>
      <c r="H96" s="160">
        <f t="shared" si="8"/>
        <v>0.51546391752577314</v>
      </c>
    </row>
    <row r="97" spans="1:8">
      <c r="A97" s="149" t="s">
        <v>169</v>
      </c>
      <c r="B97" s="149">
        <v>0</v>
      </c>
      <c r="C97" s="149" t="s">
        <v>66</v>
      </c>
      <c r="D97" s="157">
        <v>650</v>
      </c>
      <c r="E97" s="161">
        <f t="shared" si="7"/>
        <v>0</v>
      </c>
      <c r="F97" s="160">
        <f t="shared" si="4"/>
        <v>0</v>
      </c>
      <c r="G97" s="161">
        <f>+E97*AdjRate</f>
        <v>0</v>
      </c>
      <c r="H97" s="160">
        <f>+G97/B$10</f>
        <v>0</v>
      </c>
    </row>
    <row r="98" spans="1:8">
      <c r="A98" s="149" t="s">
        <v>170</v>
      </c>
      <c r="B98" s="149">
        <v>1</v>
      </c>
      <c r="C98" s="149" t="s">
        <v>171</v>
      </c>
      <c r="D98" s="157">
        <v>790</v>
      </c>
      <c r="E98" s="161">
        <f t="shared" si="7"/>
        <v>790</v>
      </c>
      <c r="F98" s="160">
        <f t="shared" si="4"/>
        <v>0.67869415807560141</v>
      </c>
      <c r="G98" s="161">
        <f>+E98*AdjRate</f>
        <v>948</v>
      </c>
      <c r="H98" s="160">
        <f t="shared" ref="H98:H111" si="9">+G98/B$10</f>
        <v>0.81443298969072164</v>
      </c>
    </row>
    <row r="99" spans="1:8">
      <c r="A99" s="149"/>
      <c r="B99" s="149"/>
      <c r="C99" s="149"/>
      <c r="D99" s="157"/>
      <c r="E99" s="161"/>
      <c r="F99" s="160"/>
      <c r="G99" s="161"/>
      <c r="H99" s="160"/>
    </row>
    <row r="100" spans="1:8">
      <c r="A100" s="152" t="s">
        <v>172</v>
      </c>
      <c r="B100" s="149"/>
      <c r="C100" s="149"/>
      <c r="D100" s="157"/>
      <c r="E100" s="161"/>
      <c r="F100" s="160"/>
      <c r="G100" s="161"/>
      <c r="H100" s="160"/>
    </row>
    <row r="101" spans="1:8">
      <c r="A101" s="149" t="s">
        <v>173</v>
      </c>
      <c r="B101" s="149">
        <f>B$16</f>
        <v>1572</v>
      </c>
      <c r="C101" s="149" t="s">
        <v>65</v>
      </c>
      <c r="D101" s="157">
        <v>2.25</v>
      </c>
      <c r="E101" s="161">
        <f t="shared" si="7"/>
        <v>3537</v>
      </c>
      <c r="F101" s="160">
        <f t="shared" si="4"/>
        <v>3.0386597938144329</v>
      </c>
      <c r="G101" s="161">
        <f>+E101*AdjRate</f>
        <v>4244.3999999999996</v>
      </c>
      <c r="H101" s="160">
        <f t="shared" si="9"/>
        <v>3.6463917525773191</v>
      </c>
    </row>
    <row r="102" spans="1:8">
      <c r="A102" s="149" t="s">
        <v>174</v>
      </c>
      <c r="B102" s="149">
        <v>1</v>
      </c>
      <c r="C102" s="149" t="s">
        <v>57</v>
      </c>
      <c r="D102" s="157">
        <v>750</v>
      </c>
      <c r="E102" s="161">
        <f t="shared" si="7"/>
        <v>750</v>
      </c>
      <c r="F102" s="160">
        <f t="shared" si="4"/>
        <v>0.64432989690721654</v>
      </c>
      <c r="G102" s="161">
        <f>+E102*AdjRate</f>
        <v>900</v>
      </c>
      <c r="H102" s="160">
        <f t="shared" si="9"/>
        <v>0.77319587628865982</v>
      </c>
    </row>
    <row r="103" spans="1:8">
      <c r="A103" s="149" t="s">
        <v>175</v>
      </c>
      <c r="B103" s="149">
        <v>1</v>
      </c>
      <c r="C103" s="149" t="s">
        <v>57</v>
      </c>
      <c r="D103" s="157">
        <v>200</v>
      </c>
      <c r="E103" s="161">
        <f t="shared" si="7"/>
        <v>200</v>
      </c>
      <c r="F103" s="160">
        <f t="shared" si="4"/>
        <v>0.1718213058419244</v>
      </c>
      <c r="G103" s="161">
        <f>+E103*AdjRate</f>
        <v>240</v>
      </c>
      <c r="H103" s="160">
        <f t="shared" si="9"/>
        <v>0.20618556701030927</v>
      </c>
    </row>
    <row r="104" spans="1:8">
      <c r="A104" s="149"/>
      <c r="B104" s="149"/>
      <c r="C104" s="149"/>
      <c r="D104" s="157"/>
      <c r="E104" s="161"/>
      <c r="F104" s="160"/>
      <c r="G104" s="161"/>
      <c r="H104" s="160"/>
    </row>
    <row r="105" spans="1:8">
      <c r="A105" s="152" t="s">
        <v>176</v>
      </c>
      <c r="B105" s="149"/>
      <c r="C105" s="149"/>
      <c r="D105" s="157"/>
      <c r="E105" s="161"/>
      <c r="F105" s="160"/>
      <c r="G105" s="161"/>
      <c r="H105" s="160"/>
    </row>
    <row r="106" spans="1:8">
      <c r="A106" s="149" t="s">
        <v>177</v>
      </c>
      <c r="B106" s="149">
        <v>1</v>
      </c>
      <c r="C106" s="149" t="s">
        <v>57</v>
      </c>
      <c r="D106" s="157">
        <v>4200</v>
      </c>
      <c r="E106" s="161">
        <f t="shared" si="7"/>
        <v>4200</v>
      </c>
      <c r="F106" s="160">
        <f t="shared" si="4"/>
        <v>3.6082474226804124</v>
      </c>
      <c r="G106" s="161">
        <f t="shared" ref="G106:G111" si="10">+E106*AdjRate</f>
        <v>5040</v>
      </c>
      <c r="H106" s="160">
        <f t="shared" si="9"/>
        <v>4.3298969072164946</v>
      </c>
    </row>
    <row r="107" spans="1:8">
      <c r="A107" s="149" t="s">
        <v>195</v>
      </c>
      <c r="B107" s="149">
        <v>25</v>
      </c>
      <c r="C107" s="149" t="s">
        <v>63</v>
      </c>
      <c r="D107" s="157">
        <v>15</v>
      </c>
      <c r="E107" s="161">
        <f>D107*B107</f>
        <v>375</v>
      </c>
      <c r="F107" s="160">
        <f t="shared" si="4"/>
        <v>0.32216494845360827</v>
      </c>
      <c r="G107" s="161">
        <f t="shared" si="10"/>
        <v>450</v>
      </c>
      <c r="H107" s="160">
        <f>+G107/B$10</f>
        <v>0.38659793814432991</v>
      </c>
    </row>
    <row r="108" spans="1:8">
      <c r="A108" s="149" t="s">
        <v>178</v>
      </c>
      <c r="B108" s="149">
        <v>1</v>
      </c>
      <c r="C108" s="149" t="s">
        <v>57</v>
      </c>
      <c r="D108" s="157">
        <v>2000</v>
      </c>
      <c r="E108" s="161">
        <f>D108*B108</f>
        <v>2000</v>
      </c>
      <c r="F108" s="160">
        <f t="shared" si="4"/>
        <v>1.7182130584192439</v>
      </c>
      <c r="G108" s="161">
        <f t="shared" si="10"/>
        <v>2400</v>
      </c>
      <c r="H108" s="160">
        <f>+G108/B$10</f>
        <v>2.0618556701030926</v>
      </c>
    </row>
    <row r="109" spans="1:8">
      <c r="A109" s="149" t="s">
        <v>197</v>
      </c>
      <c r="B109" s="149">
        <v>1</v>
      </c>
      <c r="C109" s="149" t="s">
        <v>57</v>
      </c>
      <c r="D109" s="157">
        <v>990</v>
      </c>
      <c r="E109" s="161">
        <f>D109*B109</f>
        <v>990</v>
      </c>
      <c r="F109" s="160">
        <f t="shared" si="4"/>
        <v>0.85051546391752575</v>
      </c>
      <c r="G109" s="161">
        <f t="shared" si="10"/>
        <v>1188</v>
      </c>
      <c r="H109" s="160">
        <f t="shared" si="9"/>
        <v>1.0206185567010309</v>
      </c>
    </row>
    <row r="110" spans="1:8">
      <c r="A110" s="149" t="s">
        <v>3</v>
      </c>
      <c r="B110" s="149">
        <f>B10</f>
        <v>1164</v>
      </c>
      <c r="C110" s="149" t="s">
        <v>57</v>
      </c>
      <c r="D110" s="157">
        <v>2.85</v>
      </c>
      <c r="E110" s="161">
        <f>D110*B110</f>
        <v>3317.4</v>
      </c>
      <c r="F110" s="160">
        <f t="shared" si="4"/>
        <v>2.85</v>
      </c>
      <c r="G110" s="161">
        <f t="shared" si="10"/>
        <v>3980.88</v>
      </c>
      <c r="H110" s="160">
        <f t="shared" si="9"/>
        <v>3.42</v>
      </c>
    </row>
    <row r="111" spans="1:8">
      <c r="A111" s="149" t="s">
        <v>9</v>
      </c>
      <c r="B111" s="149">
        <f>ConstTime</f>
        <v>6</v>
      </c>
      <c r="C111" s="149" t="s">
        <v>77</v>
      </c>
      <c r="D111" s="157">
        <f>((1000*52)/12+250+100)/4</f>
        <v>1170.8333333333333</v>
      </c>
      <c r="E111" s="161">
        <f>D111*B111</f>
        <v>7025</v>
      </c>
      <c r="F111" s="160">
        <f t="shared" si="4"/>
        <v>6.0352233676975944</v>
      </c>
      <c r="G111" s="161">
        <f t="shared" si="10"/>
        <v>8430</v>
      </c>
      <c r="H111" s="160">
        <f t="shared" si="9"/>
        <v>7.2422680412371134</v>
      </c>
    </row>
    <row r="112" spans="1:8" ht="13.5" thickBot="1">
      <c r="A112" s="156" t="s">
        <v>241</v>
      </c>
      <c r="B112" s="156"/>
      <c r="C112" s="156"/>
      <c r="D112" s="156"/>
      <c r="E112" s="158">
        <f>SUM(E19:E111)</f>
        <v>66026.263999999996</v>
      </c>
      <c r="F112" s="159">
        <f t="shared" si="4"/>
        <v>56.72359450171821</v>
      </c>
      <c r="G112" s="158">
        <f>SUM(G19:G111)</f>
        <v>79231.516800000012</v>
      </c>
      <c r="H112" s="159">
        <f>SUM(H19:H111)</f>
        <v>68.068313402061833</v>
      </c>
    </row>
    <row r="113" spans="1:8" ht="13.5" thickTop="1">
      <c r="A113" s="149"/>
      <c r="B113" s="149"/>
      <c r="C113" s="149"/>
      <c r="D113" s="149"/>
      <c r="E113" s="161">
        <f>+G112-E112</f>
        <v>13205.252800000017</v>
      </c>
      <c r="F113" s="161"/>
      <c r="G113" s="149"/>
      <c r="H113" s="149"/>
    </row>
    <row r="114" spans="1:8">
      <c r="B114" s="14"/>
      <c r="D114" s="5"/>
      <c r="E114" s="18"/>
      <c r="F114" s="18"/>
      <c r="G114" s="1"/>
      <c r="H114" s="5"/>
    </row>
    <row r="115" spans="1:8">
      <c r="D115" s="5"/>
      <c r="E115" s="5"/>
      <c r="F115" s="5"/>
    </row>
    <row r="116" spans="1:8">
      <c r="D116" s="5"/>
      <c r="E116" s="5"/>
      <c r="F116" s="5"/>
    </row>
    <row r="117" spans="1:8">
      <c r="D117" s="5"/>
      <c r="E117" s="5"/>
      <c r="F117" s="5"/>
    </row>
    <row r="118" spans="1:8">
      <c r="D118" s="5"/>
      <c r="E118" s="5"/>
      <c r="F118" s="5"/>
    </row>
    <row r="119" spans="1:8">
      <c r="D119" s="5"/>
      <c r="E119" s="5"/>
      <c r="F119" s="5"/>
    </row>
    <row r="120" spans="1:8">
      <c r="D120" s="5"/>
      <c r="E120" s="5"/>
      <c r="F120" s="5"/>
    </row>
    <row r="121" spans="1:8">
      <c r="D121" s="5"/>
      <c r="E121" s="5"/>
      <c r="F121" s="5"/>
    </row>
    <row r="122" spans="1:8">
      <c r="D122" s="5"/>
      <c r="E122" s="5"/>
      <c r="F122" s="5"/>
    </row>
    <row r="123" spans="1:8">
      <c r="D123" s="5"/>
      <c r="E123" s="5"/>
      <c r="F123" s="5"/>
    </row>
    <row r="124" spans="1:8">
      <c r="D124" s="5"/>
      <c r="E124" s="5"/>
      <c r="F124" s="5"/>
    </row>
    <row r="125" spans="1:8">
      <c r="D125" s="5"/>
      <c r="E125" s="5"/>
      <c r="F125" s="5"/>
    </row>
    <row r="126" spans="1:8">
      <c r="D126" s="5"/>
      <c r="E126" s="5"/>
      <c r="F126" s="5"/>
    </row>
    <row r="127" spans="1:8">
      <c r="D127" s="5"/>
      <c r="E127" s="5"/>
      <c r="F127" s="5"/>
    </row>
    <row r="128" spans="1:8">
      <c r="D128" s="5"/>
      <c r="E128" s="5"/>
      <c r="F128" s="5"/>
    </row>
    <row r="129" spans="4:6">
      <c r="D129" s="5"/>
      <c r="E129" s="5"/>
      <c r="F129" s="5"/>
    </row>
    <row r="130" spans="4:6">
      <c r="D130" s="5"/>
      <c r="E130" s="5"/>
      <c r="F130" s="5"/>
    </row>
    <row r="131" spans="4:6">
      <c r="D131" s="5"/>
      <c r="E131" s="5"/>
      <c r="F131" s="5"/>
    </row>
    <row r="132" spans="4:6">
      <c r="D132" s="5"/>
      <c r="E132" s="5"/>
      <c r="F132" s="5"/>
    </row>
    <row r="133" spans="4:6">
      <c r="D133" s="5"/>
      <c r="E133" s="5"/>
      <c r="F133" s="5"/>
    </row>
    <row r="134" spans="4:6">
      <c r="D134" s="5"/>
      <c r="E134" s="5"/>
      <c r="F134" s="5"/>
    </row>
    <row r="135" spans="4:6">
      <c r="D135" s="5"/>
      <c r="E135" s="5"/>
      <c r="F135" s="5"/>
    </row>
    <row r="136" spans="4:6">
      <c r="D136" s="5"/>
      <c r="E136" s="5"/>
      <c r="F136" s="5"/>
    </row>
    <row r="137" spans="4:6">
      <c r="D137" s="5"/>
      <c r="E137" s="5"/>
      <c r="F137" s="5"/>
    </row>
    <row r="138" spans="4:6">
      <c r="D138" s="5"/>
      <c r="E138" s="5"/>
      <c r="F138" s="5"/>
    </row>
    <row r="139" spans="4:6">
      <c r="D139" s="5"/>
      <c r="E139" s="5"/>
      <c r="F139" s="5"/>
    </row>
    <row r="140" spans="4:6">
      <c r="D140" s="5"/>
      <c r="E140" s="5"/>
      <c r="F140" s="5"/>
    </row>
    <row r="141" spans="4:6">
      <c r="D141" s="5"/>
      <c r="E141" s="5"/>
      <c r="F141" s="5"/>
    </row>
    <row r="142" spans="4:6">
      <c r="D142" s="5"/>
      <c r="E142" s="5"/>
      <c r="F142" s="5"/>
    </row>
    <row r="143" spans="4:6">
      <c r="D143" s="5"/>
      <c r="E143" s="5"/>
      <c r="F143" s="5"/>
    </row>
  </sheetData>
  <mergeCells count="1">
    <mergeCell ref="A1:H1"/>
  </mergeCells>
  <phoneticPr fontId="3" type="noConversion"/>
  <printOptions horizontalCentered="1"/>
  <pageMargins left="0.25" right="0.25" top="1" bottom="1" header="0.5" footer="0.5"/>
  <pageSetup scale="86" fitToHeight="2" orientation="portrait" horizontalDpi="300" verticalDpi="300" r:id="rId1"/>
  <headerFooter alignWithMargins="0">
    <oddHeader>&amp;C&amp;"Garamond,Bold"&amp;12WESTGATE &amp;&amp; CAMERON LOOP
96 CONDOMINIUMS</oddHeader>
    <oddFooter>&amp;L&amp;"Garamond,Regular"&amp;8&amp;F&amp;C&amp;"Garamond,Regular"&amp;8&amp;P Of &amp;N&amp;R&amp;"Garamond,Regular"&amp;8&amp;D</oddFooter>
  </headerFooter>
  <colBreaks count="1" manualBreakCount="1">
    <brk id="8"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L142"/>
  <sheetViews>
    <sheetView zoomScaleNormal="100" workbookViewId="0">
      <selection activeCell="F47" activeCellId="1" sqref="B36 F47:F50"/>
    </sheetView>
  </sheetViews>
  <sheetFormatPr defaultColWidth="10.5703125" defaultRowHeight="12.75"/>
  <cols>
    <col min="1" max="1" width="16.5703125" style="3" customWidth="1"/>
    <col min="2" max="2" width="6.140625" style="3" customWidth="1"/>
    <col min="3" max="3" width="5.85546875" style="3" customWidth="1"/>
    <col min="4" max="4" width="10.42578125" style="3" customWidth="1"/>
    <col min="5" max="5" width="8" style="3" bestFit="1" customWidth="1"/>
    <col min="6" max="6" width="8" style="3" customWidth="1"/>
    <col min="7" max="7" width="9.5703125" style="3" customWidth="1"/>
    <col min="8" max="8" width="10.42578125" style="3" customWidth="1"/>
    <col min="9" max="16384" width="10.5703125" style="3"/>
  </cols>
  <sheetData>
    <row r="1" spans="1:9" ht="13.5" customHeight="1" thickBot="1">
      <c r="A1" s="329" t="s">
        <v>373</v>
      </c>
      <c r="B1" s="330"/>
      <c r="C1" s="330"/>
      <c r="D1" s="330"/>
      <c r="E1" s="330"/>
      <c r="F1" s="330"/>
      <c r="G1" s="330"/>
      <c r="H1" s="330"/>
    </row>
    <row r="2" spans="1:9">
      <c r="A2" s="31"/>
      <c r="B2" s="32"/>
      <c r="C2" s="32"/>
      <c r="D2" s="32"/>
      <c r="E2" s="32"/>
      <c r="F2" s="32"/>
      <c r="G2" s="14"/>
      <c r="H2" s="14"/>
    </row>
    <row r="3" spans="1:9" ht="38.25">
      <c r="A3" s="151" t="s">
        <v>100</v>
      </c>
      <c r="B3" s="151" t="s">
        <v>84</v>
      </c>
      <c r="C3" s="151" t="s">
        <v>16</v>
      </c>
      <c r="D3" s="151" t="s">
        <v>82</v>
      </c>
      <c r="E3" s="151" t="s">
        <v>101</v>
      </c>
      <c r="F3" s="151" t="s">
        <v>13</v>
      </c>
      <c r="G3" s="151" t="s">
        <v>370</v>
      </c>
      <c r="H3" s="151" t="s">
        <v>13</v>
      </c>
      <c r="I3" s="151"/>
    </row>
    <row r="4" spans="1:9">
      <c r="E4" s="148"/>
      <c r="F4" s="148"/>
      <c r="H4" s="14"/>
    </row>
    <row r="5" spans="1:9">
      <c r="A5" s="152" t="s">
        <v>88</v>
      </c>
      <c r="B5" s="149"/>
      <c r="C5" s="149"/>
      <c r="E5" s="149" t="s">
        <v>98</v>
      </c>
      <c r="F5" s="149"/>
      <c r="G5" s="149">
        <f>35*9</f>
        <v>315</v>
      </c>
      <c r="H5" s="149" t="s">
        <v>65</v>
      </c>
    </row>
    <row r="6" spans="1:9">
      <c r="A6" s="152" t="s">
        <v>89</v>
      </c>
      <c r="B6" s="149"/>
      <c r="C6" s="149"/>
      <c r="E6" s="149" t="s">
        <v>8</v>
      </c>
      <c r="F6" s="149"/>
      <c r="G6" s="149">
        <f>B7+B14</f>
        <v>1274</v>
      </c>
      <c r="H6" s="149" t="s">
        <v>65</v>
      </c>
    </row>
    <row r="7" spans="1:9">
      <c r="A7" s="149" t="s">
        <v>90</v>
      </c>
      <c r="B7" s="149">
        <v>866</v>
      </c>
      <c r="C7" s="149" t="s">
        <v>65</v>
      </c>
      <c r="E7" s="152" t="s">
        <v>130</v>
      </c>
      <c r="F7" s="149"/>
      <c r="G7" s="149">
        <f>+G8+G9+G10</f>
        <v>178.5</v>
      </c>
      <c r="H7" s="149"/>
    </row>
    <row r="8" spans="1:9">
      <c r="A8" s="162" t="s">
        <v>91</v>
      </c>
      <c r="B8" s="162">
        <v>436</v>
      </c>
      <c r="C8" s="162" t="s">
        <v>65</v>
      </c>
      <c r="E8" s="155" t="s">
        <v>179</v>
      </c>
      <c r="F8" s="149"/>
      <c r="G8" s="149">
        <f>8*7</f>
        <v>56</v>
      </c>
      <c r="H8" s="149" t="s">
        <v>65</v>
      </c>
    </row>
    <row r="9" spans="1:9">
      <c r="A9" s="149" t="s">
        <v>92</v>
      </c>
      <c r="B9" s="149">
        <f>+B8+B7</f>
        <v>1302</v>
      </c>
      <c r="C9" s="149" t="s">
        <v>65</v>
      </c>
      <c r="E9" s="155" t="s">
        <v>360</v>
      </c>
      <c r="F9" s="149"/>
      <c r="G9" s="149">
        <v>0</v>
      </c>
      <c r="H9" s="149"/>
    </row>
    <row r="10" spans="1:9">
      <c r="A10" s="149"/>
      <c r="B10" s="149"/>
      <c r="C10" s="149"/>
      <c r="E10" s="155" t="s">
        <v>180</v>
      </c>
      <c r="F10" s="149"/>
      <c r="G10" s="149">
        <f>3.5*(25+10)</f>
        <v>122.5</v>
      </c>
      <c r="H10" s="149"/>
    </row>
    <row r="11" spans="1:9">
      <c r="A11" s="152" t="s">
        <v>93</v>
      </c>
      <c r="B11" s="149"/>
      <c r="C11" s="149"/>
      <c r="E11" s="149" t="s">
        <v>181</v>
      </c>
      <c r="F11" s="149"/>
      <c r="G11" s="149">
        <f>25*18</f>
        <v>450</v>
      </c>
      <c r="H11" s="149"/>
    </row>
    <row r="12" spans="1:9">
      <c r="A12" s="149" t="s">
        <v>94</v>
      </c>
      <c r="B12" s="149">
        <v>386</v>
      </c>
      <c r="C12" s="149" t="s">
        <v>65</v>
      </c>
      <c r="E12" s="149" t="s">
        <v>1</v>
      </c>
      <c r="F12" s="149"/>
      <c r="G12" s="149">
        <v>9</v>
      </c>
      <c r="H12" s="149"/>
    </row>
    <row r="13" spans="1:9">
      <c r="A13" s="149" t="s">
        <v>95</v>
      </c>
      <c r="B13" s="149">
        <v>22</v>
      </c>
      <c r="C13" s="149" t="s">
        <v>65</v>
      </c>
      <c r="E13" s="149" t="s">
        <v>361</v>
      </c>
      <c r="F13" s="149"/>
      <c r="G13" s="149">
        <v>1</v>
      </c>
      <c r="H13" s="149"/>
    </row>
    <row r="14" spans="1:9">
      <c r="A14" s="153" t="s">
        <v>96</v>
      </c>
      <c r="B14" s="153">
        <f>+B13+B12</f>
        <v>408</v>
      </c>
      <c r="C14" s="153" t="s">
        <v>65</v>
      </c>
      <c r="E14" s="149" t="s">
        <v>138</v>
      </c>
      <c r="F14" s="149"/>
      <c r="G14" s="149">
        <v>9</v>
      </c>
      <c r="H14" s="149"/>
    </row>
    <row r="15" spans="1:9">
      <c r="A15" s="154" t="s">
        <v>97</v>
      </c>
      <c r="B15" s="154">
        <f>+B14+B9</f>
        <v>1710</v>
      </c>
      <c r="C15" s="154" t="s">
        <v>65</v>
      </c>
      <c r="E15" s="149" t="s">
        <v>187</v>
      </c>
      <c r="F15" s="149"/>
      <c r="G15" s="149">
        <f>ConstTime</f>
        <v>6</v>
      </c>
      <c r="H15" s="149" t="s">
        <v>10</v>
      </c>
    </row>
    <row r="16" spans="1:9">
      <c r="A16" s="149"/>
      <c r="B16" s="149"/>
      <c r="C16" s="149"/>
      <c r="D16" s="149"/>
      <c r="E16" s="149"/>
      <c r="F16" s="149"/>
      <c r="G16" s="149"/>
      <c r="H16" s="149"/>
    </row>
    <row r="17" spans="1:12">
      <c r="A17" s="152" t="s">
        <v>59</v>
      </c>
      <c r="B17" s="149"/>
      <c r="C17" s="149"/>
      <c r="D17" s="149"/>
      <c r="E17" s="149"/>
      <c r="F17" s="149"/>
      <c r="G17" s="149"/>
      <c r="H17" s="149"/>
    </row>
    <row r="18" spans="1:12">
      <c r="A18" s="149" t="s">
        <v>104</v>
      </c>
      <c r="B18" s="149">
        <v>0</v>
      </c>
      <c r="C18" s="149" t="s">
        <v>57</v>
      </c>
      <c r="D18" s="157">
        <f>1000/4</f>
        <v>250</v>
      </c>
      <c r="E18" s="161">
        <f>D18*B18</f>
        <v>0</v>
      </c>
      <c r="F18" s="160">
        <f>+E18/$B$9</f>
        <v>0</v>
      </c>
      <c r="G18" s="161">
        <f>+E18*AdjRate</f>
        <v>0</v>
      </c>
      <c r="H18" s="160">
        <f t="shared" ref="H18:H81" si="0">+G18/B$9</f>
        <v>0</v>
      </c>
      <c r="I18" s="10" t="s">
        <v>190</v>
      </c>
      <c r="J18" s="27">
        <f>+K18*L18</f>
        <v>28.6875</v>
      </c>
      <c r="K18" s="27">
        <f>(2+1/8)*Assumptions!C5*0.5</f>
        <v>6.375</v>
      </c>
      <c r="L18" s="27">
        <f>6/8*Assumptions!C5</f>
        <v>4.5</v>
      </c>
    </row>
    <row r="19" spans="1:12">
      <c r="A19" s="149" t="s">
        <v>105</v>
      </c>
      <c r="B19" s="149">
        <f>+$G$6</f>
        <v>1274</v>
      </c>
      <c r="C19" s="149" t="s">
        <v>65</v>
      </c>
      <c r="D19" s="157">
        <v>0.15</v>
      </c>
      <c r="E19" s="161">
        <f>D19*B19</f>
        <v>191.1</v>
      </c>
      <c r="F19" s="160">
        <f>+E19/$B$9</f>
        <v>0.14677419354838708</v>
      </c>
      <c r="G19" s="161">
        <f>+E19*AdjRate</f>
        <v>229.32</v>
      </c>
      <c r="H19" s="160">
        <f t="shared" si="0"/>
        <v>0.17612903225806451</v>
      </c>
      <c r="I19" s="10" t="s">
        <v>188</v>
      </c>
      <c r="J19" s="27">
        <v>0</v>
      </c>
      <c r="K19" s="27">
        <f>(1+3.5/8)*Assumptions!C5</f>
        <v>8.625</v>
      </c>
      <c r="L19" s="27">
        <f>2*Assumptions!C5</f>
        <v>12</v>
      </c>
    </row>
    <row r="20" spans="1:12">
      <c r="A20" s="149" t="s">
        <v>106</v>
      </c>
      <c r="B20" s="149">
        <v>0</v>
      </c>
      <c r="C20" s="149" t="s">
        <v>57</v>
      </c>
      <c r="D20" s="157">
        <v>315</v>
      </c>
      <c r="E20" s="161">
        <f>D20*B20</f>
        <v>0</v>
      </c>
      <c r="F20" s="160">
        <f>+E20/$B$9</f>
        <v>0</v>
      </c>
      <c r="G20" s="161">
        <f>+E20*AdjRate</f>
        <v>0</v>
      </c>
      <c r="H20" s="160">
        <f t="shared" si="0"/>
        <v>0</v>
      </c>
      <c r="I20" s="10" t="s">
        <v>189</v>
      </c>
      <c r="J20" s="27">
        <f>+K20*L20</f>
        <v>116.375</v>
      </c>
      <c r="K20" s="27">
        <f>(Assumptions!C5*(1+3/8))+25</f>
        <v>33.25</v>
      </c>
      <c r="L20" s="27">
        <v>3.5</v>
      </c>
    </row>
    <row r="21" spans="1:12">
      <c r="A21" s="149" t="s">
        <v>107</v>
      </c>
      <c r="B21" s="149">
        <v>1</v>
      </c>
      <c r="C21" s="149" t="s">
        <v>57</v>
      </c>
      <c r="D21" s="157">
        <v>0</v>
      </c>
      <c r="E21" s="161">
        <f>D21*B21</f>
        <v>0</v>
      </c>
      <c r="F21" s="160">
        <f>+E21/$B$9</f>
        <v>0</v>
      </c>
      <c r="G21" s="161">
        <f>+E21*AdjRate</f>
        <v>0</v>
      </c>
      <c r="H21" s="160">
        <f t="shared" si="0"/>
        <v>0</v>
      </c>
    </row>
    <row r="22" spans="1:12">
      <c r="A22" s="149"/>
      <c r="B22" s="149"/>
      <c r="C22" s="149"/>
      <c r="D22" s="157"/>
      <c r="E22" s="161"/>
      <c r="F22" s="160"/>
      <c r="G22" s="161"/>
      <c r="H22" s="160"/>
    </row>
    <row r="23" spans="1:12">
      <c r="A23" s="152" t="s">
        <v>108</v>
      </c>
      <c r="B23" s="149"/>
      <c r="C23" s="149"/>
      <c r="D23" s="157"/>
      <c r="E23" s="161"/>
      <c r="F23" s="160"/>
      <c r="G23" s="161"/>
      <c r="H23" s="160"/>
    </row>
    <row r="24" spans="1:12">
      <c r="A24" s="149" t="s">
        <v>109</v>
      </c>
      <c r="B24" s="149">
        <v>1</v>
      </c>
      <c r="C24" s="149" t="s">
        <v>57</v>
      </c>
      <c r="D24" s="157">
        <v>150</v>
      </c>
      <c r="E24" s="161">
        <f>D24*B24</f>
        <v>150</v>
      </c>
      <c r="F24" s="160">
        <f>+E24/$B$9</f>
        <v>0.1152073732718894</v>
      </c>
      <c r="G24" s="161">
        <f>+D24*B24*AdjRate</f>
        <v>180</v>
      </c>
      <c r="H24" s="160">
        <f t="shared" si="0"/>
        <v>0.13824884792626729</v>
      </c>
    </row>
    <row r="25" spans="1:12">
      <c r="A25" s="149" t="s">
        <v>110</v>
      </c>
      <c r="B25" s="149">
        <v>1</v>
      </c>
      <c r="C25" s="149" t="s">
        <v>57</v>
      </c>
      <c r="D25" s="157">
        <v>100</v>
      </c>
      <c r="E25" s="161">
        <f>D25*B25</f>
        <v>100</v>
      </c>
      <c r="F25" s="160">
        <f>+E25/$B$9</f>
        <v>7.6804915514592939E-2</v>
      </c>
      <c r="G25" s="161">
        <f>+D25*B25*AdjRate</f>
        <v>120</v>
      </c>
      <c r="H25" s="160">
        <f t="shared" si="0"/>
        <v>9.2165898617511524E-2</v>
      </c>
    </row>
    <row r="26" spans="1:12">
      <c r="A26" s="149" t="s">
        <v>111</v>
      </c>
      <c r="B26" s="149">
        <v>1</v>
      </c>
      <c r="C26" s="149" t="s">
        <v>57</v>
      </c>
      <c r="D26" s="157">
        <v>0</v>
      </c>
      <c r="E26" s="161">
        <f>D26*B26</f>
        <v>0</v>
      </c>
      <c r="F26" s="160">
        <f>+E26/$B$9</f>
        <v>0</v>
      </c>
      <c r="G26" s="161">
        <f>+E26*AdjRate</f>
        <v>0</v>
      </c>
      <c r="H26" s="160">
        <f t="shared" si="0"/>
        <v>0</v>
      </c>
    </row>
    <row r="27" spans="1:12">
      <c r="A27" s="149"/>
      <c r="B27" s="149"/>
      <c r="C27" s="149"/>
      <c r="D27" s="157"/>
      <c r="E27" s="161"/>
      <c r="F27" s="160"/>
      <c r="G27" s="161"/>
      <c r="H27" s="160"/>
    </row>
    <row r="28" spans="1:12">
      <c r="A28" s="152" t="s">
        <v>113</v>
      </c>
      <c r="B28" s="149"/>
      <c r="C28" s="149"/>
      <c r="D28" s="157"/>
      <c r="E28" s="161"/>
      <c r="F28" s="160"/>
      <c r="G28" s="161"/>
      <c r="H28" s="160"/>
    </row>
    <row r="29" spans="1:12">
      <c r="A29" s="149" t="s">
        <v>6</v>
      </c>
      <c r="B29" s="149">
        <f>ConstTime</f>
        <v>6</v>
      </c>
      <c r="C29" s="149" t="s">
        <v>77</v>
      </c>
      <c r="D29" s="157">
        <f>56</f>
        <v>56</v>
      </c>
      <c r="E29" s="161">
        <f>D29*B29</f>
        <v>336</v>
      </c>
      <c r="F29" s="160">
        <f>+E29/$B$9</f>
        <v>0.25806451612903225</v>
      </c>
      <c r="G29" s="161">
        <f>+D29*B29*AdjRate</f>
        <v>403.2</v>
      </c>
      <c r="H29" s="160">
        <f t="shared" si="0"/>
        <v>0.30967741935483872</v>
      </c>
    </row>
    <row r="30" spans="1:12">
      <c r="A30" s="149" t="s">
        <v>114</v>
      </c>
      <c r="B30" s="149">
        <v>1</v>
      </c>
      <c r="C30" s="149" t="s">
        <v>57</v>
      </c>
      <c r="D30" s="157">
        <v>500</v>
      </c>
      <c r="E30" s="161">
        <f>D30*B30</f>
        <v>500</v>
      </c>
      <c r="F30" s="160">
        <f>+E30/$B$9</f>
        <v>0.38402457757296465</v>
      </c>
      <c r="G30" s="161">
        <f>+E30*AdjRate</f>
        <v>600</v>
      </c>
      <c r="H30" s="160">
        <f t="shared" si="0"/>
        <v>0.46082949308755761</v>
      </c>
    </row>
    <row r="31" spans="1:12">
      <c r="A31" s="149"/>
      <c r="B31" s="149"/>
      <c r="C31" s="149"/>
      <c r="D31" s="157"/>
      <c r="E31" s="161"/>
      <c r="F31" s="160"/>
      <c r="G31" s="161"/>
      <c r="H31" s="160"/>
    </row>
    <row r="32" spans="1:12">
      <c r="A32" s="152" t="s">
        <v>115</v>
      </c>
      <c r="B32" s="149"/>
      <c r="C32" s="149"/>
      <c r="D32" s="157"/>
      <c r="E32" s="161"/>
      <c r="F32" s="160"/>
      <c r="G32" s="161"/>
      <c r="H32" s="160"/>
    </row>
    <row r="33" spans="1:8">
      <c r="A33" s="149" t="s">
        <v>116</v>
      </c>
      <c r="B33" s="149">
        <f>ConstTime</f>
        <v>6</v>
      </c>
      <c r="C33" s="149" t="s">
        <v>77</v>
      </c>
      <c r="D33" s="157">
        <v>30</v>
      </c>
      <c r="E33" s="161">
        <f>D33*B33</f>
        <v>180</v>
      </c>
      <c r="F33" s="160">
        <f>+E33/$B$9</f>
        <v>0.13824884792626729</v>
      </c>
      <c r="G33" s="161">
        <f>+D33*B33*AdjRate</f>
        <v>216</v>
      </c>
      <c r="H33" s="160">
        <f t="shared" si="0"/>
        <v>0.16589861751152074</v>
      </c>
    </row>
    <row r="34" spans="1:8">
      <c r="A34" s="149" t="s">
        <v>117</v>
      </c>
      <c r="B34" s="149">
        <f>ConstTime</f>
        <v>6</v>
      </c>
      <c r="C34" s="149" t="s">
        <v>77</v>
      </c>
      <c r="D34" s="157">
        <v>30</v>
      </c>
      <c r="E34" s="161">
        <f>D34*B34</f>
        <v>180</v>
      </c>
      <c r="F34" s="160">
        <f>+E34/$B$9</f>
        <v>0.13824884792626729</v>
      </c>
      <c r="G34" s="161">
        <f>+D34*B34*AdjRate</f>
        <v>216</v>
      </c>
      <c r="H34" s="160">
        <f t="shared" si="0"/>
        <v>0.16589861751152074</v>
      </c>
    </row>
    <row r="35" spans="1:8">
      <c r="A35" s="149" t="s">
        <v>118</v>
      </c>
      <c r="B35" s="149">
        <f>ConstTime</f>
        <v>6</v>
      </c>
      <c r="C35" s="149" t="s">
        <v>77</v>
      </c>
      <c r="D35" s="157">
        <v>10</v>
      </c>
      <c r="E35" s="161">
        <f>D35*B35</f>
        <v>60</v>
      </c>
      <c r="F35" s="160">
        <f>+E35/$B$9</f>
        <v>4.6082949308755762E-2</v>
      </c>
      <c r="G35" s="161">
        <f>+E35*AdjRate</f>
        <v>72</v>
      </c>
      <c r="H35" s="160">
        <f t="shared" si="0"/>
        <v>5.5299539170506916E-2</v>
      </c>
    </row>
    <row r="36" spans="1:8">
      <c r="A36" s="149"/>
      <c r="B36" s="149"/>
      <c r="C36" s="149"/>
      <c r="D36" s="157"/>
      <c r="E36" s="161"/>
      <c r="F36" s="160"/>
      <c r="G36" s="161"/>
      <c r="H36" s="160"/>
    </row>
    <row r="37" spans="1:8">
      <c r="A37" s="152" t="s">
        <v>119</v>
      </c>
      <c r="B37" s="149"/>
      <c r="C37" s="149"/>
      <c r="D37" s="157"/>
      <c r="E37" s="161"/>
      <c r="F37" s="160"/>
      <c r="G37" s="161"/>
      <c r="H37" s="160"/>
    </row>
    <row r="38" spans="1:8">
      <c r="A38" s="149" t="s">
        <v>120</v>
      </c>
      <c r="B38" s="149">
        <v>1</v>
      </c>
      <c r="C38" s="149" t="s">
        <v>57</v>
      </c>
      <c r="D38" s="157">
        <v>750</v>
      </c>
      <c r="E38" s="161">
        <f>D38*B38</f>
        <v>750</v>
      </c>
      <c r="F38" s="160">
        <f>+E38/$B$9</f>
        <v>0.57603686635944695</v>
      </c>
      <c r="G38" s="161">
        <f>+D38*B38*AdjRate</f>
        <v>900</v>
      </c>
      <c r="H38" s="160">
        <f t="shared" si="0"/>
        <v>0.69124423963133641</v>
      </c>
    </row>
    <row r="39" spans="1:8">
      <c r="A39" s="149" t="s">
        <v>121</v>
      </c>
      <c r="B39" s="149">
        <f>+B$9</f>
        <v>1302</v>
      </c>
      <c r="C39" s="149" t="s">
        <v>65</v>
      </c>
      <c r="D39" s="157">
        <v>0.1</v>
      </c>
      <c r="E39" s="161">
        <f>D39*B39</f>
        <v>130.20000000000002</v>
      </c>
      <c r="F39" s="160">
        <f>+E39/$B$9</f>
        <v>0.10000000000000002</v>
      </c>
      <c r="G39" s="161">
        <f t="shared" ref="G39:G45" si="1">+E39*AdjRate</f>
        <v>156.24</v>
      </c>
      <c r="H39" s="160">
        <f t="shared" si="0"/>
        <v>0.12000000000000001</v>
      </c>
    </row>
    <row r="40" spans="1:8">
      <c r="A40" s="149"/>
      <c r="B40" s="149"/>
      <c r="C40" s="149"/>
      <c r="D40" s="157"/>
      <c r="E40" s="161"/>
      <c r="F40" s="160"/>
      <c r="G40" s="161"/>
      <c r="H40" s="160"/>
    </row>
    <row r="41" spans="1:8">
      <c r="A41" s="152" t="s">
        <v>7</v>
      </c>
      <c r="B41" s="149"/>
      <c r="C41" s="149"/>
      <c r="D41" s="157"/>
      <c r="E41" s="161"/>
      <c r="F41" s="160"/>
      <c r="G41" s="161"/>
      <c r="H41" s="160"/>
    </row>
    <row r="42" spans="1:8">
      <c r="A42" s="149" t="s">
        <v>62</v>
      </c>
      <c r="B42" s="149">
        <v>0</v>
      </c>
      <c r="C42" s="149" t="s">
        <v>57</v>
      </c>
      <c r="D42" s="157">
        <v>0</v>
      </c>
      <c r="E42" s="161">
        <f t="shared" ref="E42:E48" si="2">D42*B42</f>
        <v>0</v>
      </c>
      <c r="F42" s="160">
        <f t="shared" ref="F42:F48" si="3">+E42/$B$9</f>
        <v>0</v>
      </c>
      <c r="G42" s="161">
        <f t="shared" si="1"/>
        <v>0</v>
      </c>
      <c r="H42" s="160">
        <f t="shared" si="0"/>
        <v>0</v>
      </c>
    </row>
    <row r="43" spans="1:8">
      <c r="A43" s="149" t="s">
        <v>122</v>
      </c>
      <c r="B43" s="149">
        <v>1</v>
      </c>
      <c r="C43" s="149" t="s">
        <v>196</v>
      </c>
      <c r="D43" s="157">
        <v>150</v>
      </c>
      <c r="E43" s="161">
        <f t="shared" si="2"/>
        <v>150</v>
      </c>
      <c r="F43" s="160">
        <f t="shared" si="3"/>
        <v>0.1152073732718894</v>
      </c>
      <c r="G43" s="161">
        <f t="shared" si="1"/>
        <v>180</v>
      </c>
      <c r="H43" s="160">
        <f t="shared" si="0"/>
        <v>0.13824884792626729</v>
      </c>
    </row>
    <row r="44" spans="1:8">
      <c r="A44" s="149" t="s">
        <v>124</v>
      </c>
      <c r="B44" s="149">
        <v>1</v>
      </c>
      <c r="C44" s="149" t="s">
        <v>57</v>
      </c>
      <c r="D44" s="157">
        <v>150</v>
      </c>
      <c r="E44" s="161">
        <f t="shared" si="2"/>
        <v>150</v>
      </c>
      <c r="F44" s="160">
        <f t="shared" si="3"/>
        <v>0.1152073732718894</v>
      </c>
      <c r="G44" s="161">
        <f t="shared" si="1"/>
        <v>180</v>
      </c>
      <c r="H44" s="160">
        <f t="shared" si="0"/>
        <v>0.13824884792626729</v>
      </c>
    </row>
    <row r="45" spans="1:8">
      <c r="A45" s="149" t="s">
        <v>125</v>
      </c>
      <c r="B45" s="149">
        <v>1</v>
      </c>
      <c r="C45" s="149" t="s">
        <v>57</v>
      </c>
      <c r="D45" s="157">
        <v>0</v>
      </c>
      <c r="E45" s="161">
        <f t="shared" si="2"/>
        <v>0</v>
      </c>
      <c r="F45" s="160">
        <f t="shared" si="3"/>
        <v>0</v>
      </c>
      <c r="G45" s="161">
        <f t="shared" si="1"/>
        <v>0</v>
      </c>
      <c r="H45" s="160">
        <f t="shared" si="0"/>
        <v>0</v>
      </c>
    </row>
    <row r="46" spans="1:8">
      <c r="A46" s="149" t="s">
        <v>73</v>
      </c>
      <c r="B46" s="149">
        <v>1</v>
      </c>
      <c r="C46" s="149" t="s">
        <v>57</v>
      </c>
      <c r="D46" s="157">
        <v>0</v>
      </c>
      <c r="E46" s="161">
        <f t="shared" si="2"/>
        <v>0</v>
      </c>
      <c r="F46" s="160">
        <f t="shared" si="3"/>
        <v>0</v>
      </c>
      <c r="G46" s="161">
        <f>+D46*B46*AdjRate</f>
        <v>0</v>
      </c>
      <c r="H46" s="160">
        <f t="shared" si="0"/>
        <v>0</v>
      </c>
    </row>
    <row r="47" spans="1:8">
      <c r="A47" s="149" t="s">
        <v>126</v>
      </c>
      <c r="B47" s="149">
        <v>0</v>
      </c>
      <c r="C47" s="149" t="s">
        <v>63</v>
      </c>
      <c r="D47" s="157">
        <v>15</v>
      </c>
      <c r="E47" s="161">
        <f t="shared" si="2"/>
        <v>0</v>
      </c>
      <c r="F47" s="160">
        <f t="shared" si="3"/>
        <v>0</v>
      </c>
      <c r="G47" s="161">
        <f>+D47*B47*AdjRate</f>
        <v>0</v>
      </c>
      <c r="H47" s="160">
        <f t="shared" si="0"/>
        <v>0</v>
      </c>
    </row>
    <row r="48" spans="1:8">
      <c r="A48" s="149" t="s">
        <v>127</v>
      </c>
      <c r="B48" s="149">
        <v>0</v>
      </c>
      <c r="C48" s="149" t="s">
        <v>57</v>
      </c>
      <c r="D48" s="157">
        <v>100</v>
      </c>
      <c r="E48" s="161">
        <f t="shared" si="2"/>
        <v>0</v>
      </c>
      <c r="F48" s="160">
        <f t="shared" si="3"/>
        <v>0</v>
      </c>
      <c r="G48" s="161">
        <f>+E48*AdjRate</f>
        <v>0</v>
      </c>
      <c r="H48" s="160">
        <f t="shared" si="0"/>
        <v>0</v>
      </c>
    </row>
    <row r="49" spans="1:8">
      <c r="A49" s="149"/>
      <c r="B49" s="149"/>
      <c r="C49" s="149"/>
      <c r="D49" s="157"/>
      <c r="E49" s="161"/>
      <c r="F49" s="160"/>
      <c r="G49" s="161"/>
      <c r="H49" s="160"/>
    </row>
    <row r="50" spans="1:8">
      <c r="A50" s="152" t="s">
        <v>128</v>
      </c>
      <c r="B50" s="149"/>
      <c r="C50" s="149"/>
      <c r="D50" s="157"/>
      <c r="E50" s="161"/>
      <c r="F50" s="160"/>
      <c r="G50" s="161"/>
      <c r="H50" s="160"/>
    </row>
    <row r="51" spans="1:8">
      <c r="A51" s="149" t="s">
        <v>8</v>
      </c>
      <c r="B51" s="149">
        <f>G$6</f>
        <v>1274</v>
      </c>
      <c r="C51" s="149" t="s">
        <v>65</v>
      </c>
      <c r="D51" s="157">
        <v>5.75</v>
      </c>
      <c r="E51" s="161">
        <f>D51*B51</f>
        <v>7325.5</v>
      </c>
      <c r="F51" s="160">
        <f t="shared" ref="F51:F111" si="4">+E51/$B$9</f>
        <v>5.626344086021505</v>
      </c>
      <c r="G51" s="161">
        <f>+E51*AdjRate</f>
        <v>8790.6</v>
      </c>
      <c r="H51" s="160">
        <f t="shared" si="0"/>
        <v>6.7516129032258068</v>
      </c>
    </row>
    <row r="52" spans="1:8">
      <c r="A52" s="149" t="s">
        <v>129</v>
      </c>
      <c r="B52" s="149">
        <v>1</v>
      </c>
      <c r="C52" s="149" t="s">
        <v>57</v>
      </c>
      <c r="D52" s="157">
        <v>100</v>
      </c>
      <c r="E52" s="161">
        <f>D52*B52</f>
        <v>100</v>
      </c>
      <c r="F52" s="160">
        <f t="shared" si="4"/>
        <v>7.6804915514592939E-2</v>
      </c>
      <c r="G52" s="161">
        <f>+D52*B52*AdjRate</f>
        <v>120</v>
      </c>
      <c r="H52" s="160">
        <f t="shared" si="0"/>
        <v>9.2165898617511524E-2</v>
      </c>
    </row>
    <row r="53" spans="1:8">
      <c r="A53" s="149" t="s">
        <v>130</v>
      </c>
      <c r="B53" s="149">
        <f>G$7</f>
        <v>178.5</v>
      </c>
      <c r="C53" s="149" t="s">
        <v>65</v>
      </c>
      <c r="D53" s="157">
        <v>2</v>
      </c>
      <c r="E53" s="161">
        <f>D53*B53</f>
        <v>357</v>
      </c>
      <c r="F53" s="160">
        <f t="shared" si="4"/>
        <v>0.27419354838709675</v>
      </c>
      <c r="G53" s="161">
        <f>+D53*B53*AdjRate</f>
        <v>428.4</v>
      </c>
      <c r="H53" s="160">
        <f t="shared" si="0"/>
        <v>0.32903225806451614</v>
      </c>
    </row>
    <row r="54" spans="1:8">
      <c r="A54" s="149" t="s">
        <v>181</v>
      </c>
      <c r="B54" s="149">
        <f>G11</f>
        <v>450</v>
      </c>
      <c r="C54" s="149" t="s">
        <v>65</v>
      </c>
      <c r="D54" s="157">
        <v>2.25</v>
      </c>
      <c r="E54" s="161">
        <f>D54*B54</f>
        <v>1012.5</v>
      </c>
      <c r="F54" s="160">
        <f t="shared" si="4"/>
        <v>0.77764976958525345</v>
      </c>
      <c r="G54" s="161">
        <f t="shared" ref="G54:G64" si="5">+E54*AdjRate</f>
        <v>1215</v>
      </c>
      <c r="H54" s="160">
        <f t="shared" si="0"/>
        <v>0.93317972350230416</v>
      </c>
    </row>
    <row r="55" spans="1:8">
      <c r="A55" s="149"/>
      <c r="B55" s="149"/>
      <c r="C55" s="149"/>
      <c r="D55" s="157"/>
      <c r="E55" s="161"/>
      <c r="F55" s="160"/>
      <c r="G55" s="161"/>
      <c r="H55" s="160"/>
    </row>
    <row r="56" spans="1:8">
      <c r="A56" s="152" t="s">
        <v>131</v>
      </c>
      <c r="B56" s="149"/>
      <c r="C56" s="149"/>
      <c r="D56" s="157"/>
      <c r="E56" s="161"/>
      <c r="F56" s="160"/>
      <c r="G56" s="161"/>
      <c r="H56" s="160"/>
    </row>
    <row r="57" spans="1:8">
      <c r="A57" s="149" t="s">
        <v>132</v>
      </c>
      <c r="B57" s="149">
        <f>B$15</f>
        <v>1710</v>
      </c>
      <c r="C57" s="149" t="s">
        <v>65</v>
      </c>
      <c r="D57" s="157">
        <v>2.5</v>
      </c>
      <c r="E57" s="161">
        <f t="shared" ref="E57:E67" si="6">D57*B57</f>
        <v>4275</v>
      </c>
      <c r="F57" s="160">
        <f t="shared" si="4"/>
        <v>3.2834101382488479</v>
      </c>
      <c r="G57" s="161">
        <f t="shared" si="5"/>
        <v>5130</v>
      </c>
      <c r="H57" s="160">
        <f t="shared" si="0"/>
        <v>3.9400921658986174</v>
      </c>
    </row>
    <row r="58" spans="1:8">
      <c r="A58" s="149" t="s">
        <v>133</v>
      </c>
      <c r="B58" s="149">
        <f>+B8</f>
        <v>436</v>
      </c>
      <c r="C58" s="149" t="s">
        <v>65</v>
      </c>
      <c r="D58" s="157">
        <v>1.9</v>
      </c>
      <c r="E58" s="161">
        <f t="shared" si="6"/>
        <v>828.4</v>
      </c>
      <c r="F58" s="160">
        <f t="shared" si="4"/>
        <v>0.63625192012288789</v>
      </c>
      <c r="G58" s="161">
        <f t="shared" si="5"/>
        <v>994.07999999999993</v>
      </c>
      <c r="H58" s="160">
        <f t="shared" si="0"/>
        <v>0.76350230414746534</v>
      </c>
    </row>
    <row r="59" spans="1:8">
      <c r="A59" s="149" t="s">
        <v>134</v>
      </c>
      <c r="B59" s="149">
        <f>G$6</f>
        <v>1274</v>
      </c>
      <c r="C59" s="149" t="s">
        <v>65</v>
      </c>
      <c r="D59" s="157">
        <v>1.2</v>
      </c>
      <c r="E59" s="161">
        <f t="shared" si="6"/>
        <v>1528.8</v>
      </c>
      <c r="F59" s="160">
        <f t="shared" si="4"/>
        <v>1.1741935483870967</v>
      </c>
      <c r="G59" s="161">
        <f t="shared" si="5"/>
        <v>1834.56</v>
      </c>
      <c r="H59" s="160">
        <f t="shared" si="0"/>
        <v>1.409032258064516</v>
      </c>
    </row>
    <row r="60" spans="1:8">
      <c r="A60" s="149" t="s">
        <v>11</v>
      </c>
      <c r="B60" s="149">
        <f>B$15</f>
        <v>1710</v>
      </c>
      <c r="C60" s="149" t="s">
        <v>65</v>
      </c>
      <c r="D60" s="157">
        <v>3.5</v>
      </c>
      <c r="E60" s="161">
        <f t="shared" si="6"/>
        <v>5985</v>
      </c>
      <c r="F60" s="160">
        <f t="shared" si="4"/>
        <v>4.596774193548387</v>
      </c>
      <c r="G60" s="161">
        <f t="shared" si="5"/>
        <v>7182</v>
      </c>
      <c r="H60" s="160">
        <f t="shared" si="0"/>
        <v>5.5161290322580649</v>
      </c>
    </row>
    <row r="61" spans="1:8">
      <c r="A61" s="149" t="s">
        <v>135</v>
      </c>
      <c r="B61" s="149">
        <v>1</v>
      </c>
      <c r="C61" s="149" t="s">
        <v>57</v>
      </c>
      <c r="D61" s="157">
        <v>285</v>
      </c>
      <c r="E61" s="161">
        <f t="shared" si="6"/>
        <v>285</v>
      </c>
      <c r="F61" s="160">
        <f t="shared" si="4"/>
        <v>0.21889400921658986</v>
      </c>
      <c r="G61" s="161">
        <f t="shared" si="5"/>
        <v>342</v>
      </c>
      <c r="H61" s="160">
        <f t="shared" si="0"/>
        <v>0.26267281105990781</v>
      </c>
    </row>
    <row r="62" spans="1:8">
      <c r="A62" s="149" t="s">
        <v>2</v>
      </c>
      <c r="B62" s="149">
        <f>G13</f>
        <v>1</v>
      </c>
      <c r="C62" s="149" t="s">
        <v>136</v>
      </c>
      <c r="D62" s="157">
        <v>285</v>
      </c>
      <c r="E62" s="161">
        <f t="shared" si="6"/>
        <v>285</v>
      </c>
      <c r="F62" s="160">
        <f t="shared" si="4"/>
        <v>0.21889400921658986</v>
      </c>
      <c r="G62" s="161">
        <f t="shared" si="5"/>
        <v>342</v>
      </c>
      <c r="H62" s="160">
        <f t="shared" si="0"/>
        <v>0.26267281105990781</v>
      </c>
    </row>
    <row r="63" spans="1:8">
      <c r="A63" s="149" t="s">
        <v>137</v>
      </c>
      <c r="B63" s="149">
        <f>B$9</f>
        <v>1302</v>
      </c>
      <c r="C63" s="149" t="s">
        <v>65</v>
      </c>
      <c r="D63" s="157">
        <v>0.6</v>
      </c>
      <c r="E63" s="161">
        <f t="shared" si="6"/>
        <v>781.19999999999993</v>
      </c>
      <c r="F63" s="160">
        <f t="shared" si="4"/>
        <v>0.6</v>
      </c>
      <c r="G63" s="161">
        <f t="shared" si="5"/>
        <v>937.43999999999983</v>
      </c>
      <c r="H63" s="160">
        <f t="shared" si="0"/>
        <v>0.71999999999999986</v>
      </c>
    </row>
    <row r="64" spans="1:8">
      <c r="A64" s="149" t="s">
        <v>138</v>
      </c>
      <c r="B64" s="149">
        <f>G14</f>
        <v>9</v>
      </c>
      <c r="C64" s="149" t="s">
        <v>139</v>
      </c>
      <c r="D64" s="157">
        <v>85</v>
      </c>
      <c r="E64" s="161">
        <f t="shared" si="6"/>
        <v>765</v>
      </c>
      <c r="F64" s="160">
        <f t="shared" si="4"/>
        <v>0.5875576036866359</v>
      </c>
      <c r="G64" s="161">
        <f t="shared" si="5"/>
        <v>918</v>
      </c>
      <c r="H64" s="160">
        <f t="shared" si="0"/>
        <v>0.70506912442396308</v>
      </c>
    </row>
    <row r="65" spans="1:8">
      <c r="A65" s="149" t="s">
        <v>140</v>
      </c>
      <c r="B65" s="149">
        <f>B$9</f>
        <v>1302</v>
      </c>
      <c r="C65" s="149" t="s">
        <v>65</v>
      </c>
      <c r="D65" s="157">
        <v>0.6</v>
      </c>
      <c r="E65" s="161">
        <f t="shared" si="6"/>
        <v>781.19999999999993</v>
      </c>
      <c r="F65" s="160">
        <f t="shared" si="4"/>
        <v>0.6</v>
      </c>
      <c r="G65" s="161">
        <f>+D65*B65*AdjRate</f>
        <v>937.43999999999983</v>
      </c>
      <c r="H65" s="160">
        <f t="shared" si="0"/>
        <v>0.71999999999999986</v>
      </c>
    </row>
    <row r="66" spans="1:8">
      <c r="A66" s="149" t="s">
        <v>141</v>
      </c>
      <c r="B66" s="149">
        <v>33</v>
      </c>
      <c r="C66" s="149" t="s">
        <v>63</v>
      </c>
      <c r="D66" s="157">
        <v>60</v>
      </c>
      <c r="E66" s="161">
        <f t="shared" si="6"/>
        <v>1980</v>
      </c>
      <c r="F66" s="160">
        <f t="shared" si="4"/>
        <v>1.5207373271889402</v>
      </c>
      <c r="G66" s="161">
        <f>+D66*B66*AdjRate</f>
        <v>2376</v>
      </c>
      <c r="H66" s="160">
        <f t="shared" si="0"/>
        <v>1.8248847926267282</v>
      </c>
    </row>
    <row r="67" spans="1:8">
      <c r="A67" s="149" t="s">
        <v>142</v>
      </c>
      <c r="B67" s="149">
        <v>16</v>
      </c>
      <c r="C67" s="149" t="s">
        <v>63</v>
      </c>
      <c r="D67" s="157">
        <v>30</v>
      </c>
      <c r="E67" s="161">
        <f t="shared" si="6"/>
        <v>480</v>
      </c>
      <c r="F67" s="160">
        <f t="shared" si="4"/>
        <v>0.3686635944700461</v>
      </c>
      <c r="G67" s="161">
        <f>+E67*AdjRate</f>
        <v>576</v>
      </c>
      <c r="H67" s="160">
        <f t="shared" si="0"/>
        <v>0.44239631336405533</v>
      </c>
    </row>
    <row r="68" spans="1:8">
      <c r="A68" s="149"/>
      <c r="B68" s="149"/>
      <c r="C68" s="149"/>
      <c r="D68" s="157"/>
      <c r="E68" s="161"/>
      <c r="F68" s="160"/>
      <c r="G68" s="161"/>
      <c r="H68" s="160"/>
    </row>
    <row r="69" spans="1:8">
      <c r="A69" s="152" t="s">
        <v>143</v>
      </c>
      <c r="B69" s="149"/>
      <c r="C69" s="149"/>
      <c r="D69" s="157"/>
      <c r="E69" s="161"/>
      <c r="F69" s="160"/>
      <c r="G69" s="161"/>
      <c r="H69" s="160"/>
    </row>
    <row r="70" spans="1:8">
      <c r="A70" s="149" t="s">
        <v>1</v>
      </c>
      <c r="B70" s="149">
        <f>G12</f>
        <v>9</v>
      </c>
      <c r="C70" s="149" t="s">
        <v>144</v>
      </c>
      <c r="D70" s="157">
        <v>85</v>
      </c>
      <c r="E70" s="161">
        <f>D70*B70</f>
        <v>765</v>
      </c>
      <c r="F70" s="160">
        <f t="shared" si="4"/>
        <v>0.5875576036866359</v>
      </c>
      <c r="G70" s="161">
        <f>+D70*B70*AdjRate</f>
        <v>918</v>
      </c>
      <c r="H70" s="160">
        <f t="shared" si="0"/>
        <v>0.70506912442396308</v>
      </c>
    </row>
    <row r="71" spans="1:8">
      <c r="A71" s="149" t="s">
        <v>145</v>
      </c>
      <c r="B71" s="149">
        <v>0</v>
      </c>
      <c r="C71" s="149" t="s">
        <v>57</v>
      </c>
      <c r="D71" s="157">
        <v>0</v>
      </c>
      <c r="E71" s="161">
        <f>D71*B71</f>
        <v>0</v>
      </c>
      <c r="F71" s="160">
        <f t="shared" si="4"/>
        <v>0</v>
      </c>
      <c r="G71" s="161">
        <f>+D71*B71*AdjRate</f>
        <v>0</v>
      </c>
      <c r="H71" s="160">
        <f t="shared" si="0"/>
        <v>0</v>
      </c>
    </row>
    <row r="72" spans="1:8">
      <c r="A72" s="149" t="s">
        <v>146</v>
      </c>
      <c r="B72" s="149">
        <v>36</v>
      </c>
      <c r="C72" s="149" t="s">
        <v>65</v>
      </c>
      <c r="D72" s="157">
        <v>5</v>
      </c>
      <c r="E72" s="161">
        <f>D72*B72</f>
        <v>180</v>
      </c>
      <c r="F72" s="160">
        <f t="shared" si="4"/>
        <v>0.13824884792626729</v>
      </c>
      <c r="G72" s="161">
        <f>+E72*AdjRate</f>
        <v>216</v>
      </c>
      <c r="H72" s="160">
        <f t="shared" si="0"/>
        <v>0.16589861751152074</v>
      </c>
    </row>
    <row r="73" spans="1:8">
      <c r="A73" s="149"/>
      <c r="B73" s="149"/>
      <c r="C73" s="149"/>
      <c r="D73" s="157"/>
      <c r="E73" s="161"/>
      <c r="F73" s="160"/>
      <c r="G73" s="161"/>
      <c r="H73" s="160"/>
    </row>
    <row r="74" spans="1:8">
      <c r="A74" s="152" t="s">
        <v>147</v>
      </c>
      <c r="B74" s="149"/>
      <c r="C74" s="149"/>
      <c r="D74" s="157"/>
      <c r="E74" s="161"/>
      <c r="F74" s="160"/>
      <c r="G74" s="161"/>
      <c r="H74" s="160"/>
    </row>
    <row r="75" spans="1:8">
      <c r="A75" s="149" t="s">
        <v>148</v>
      </c>
      <c r="B75" s="149">
        <f>1.3*B9/100</f>
        <v>16.926000000000002</v>
      </c>
      <c r="C75" s="149" t="s">
        <v>149</v>
      </c>
      <c r="D75" s="157">
        <v>52</v>
      </c>
      <c r="E75" s="161">
        <f>D75*B75</f>
        <v>880.15200000000004</v>
      </c>
      <c r="F75" s="160">
        <f t="shared" si="4"/>
        <v>0.67600000000000005</v>
      </c>
      <c r="G75" s="161">
        <f>+E75*AdjRate</f>
        <v>1056.1823999999999</v>
      </c>
      <c r="H75" s="160">
        <f t="shared" si="0"/>
        <v>0.81119999999999992</v>
      </c>
    </row>
    <row r="76" spans="1:8">
      <c r="A76" s="149" t="s">
        <v>150</v>
      </c>
      <c r="B76" s="149">
        <v>1</v>
      </c>
      <c r="C76" s="149" t="s">
        <v>57</v>
      </c>
      <c r="D76" s="157">
        <v>200</v>
      </c>
      <c r="E76" s="161">
        <f>D76*B76</f>
        <v>200</v>
      </c>
      <c r="F76" s="160">
        <f t="shared" si="4"/>
        <v>0.15360983102918588</v>
      </c>
      <c r="G76" s="161">
        <f>+D76*B76*AdjRate</f>
        <v>240</v>
      </c>
      <c r="H76" s="160">
        <f t="shared" si="0"/>
        <v>0.18433179723502305</v>
      </c>
    </row>
    <row r="77" spans="1:8">
      <c r="A77" s="149" t="s">
        <v>151</v>
      </c>
      <c r="B77" s="149">
        <f>B$9</f>
        <v>1302</v>
      </c>
      <c r="C77" s="149" t="s">
        <v>65</v>
      </c>
      <c r="D77" s="157">
        <v>0.75</v>
      </c>
      <c r="E77" s="161">
        <f t="shared" ref="E77:E105" si="7">D77*B77</f>
        <v>976.5</v>
      </c>
      <c r="F77" s="160">
        <f t="shared" si="4"/>
        <v>0.75</v>
      </c>
      <c r="G77" s="161">
        <f>+D77*B77*AdjRate</f>
        <v>1171.8</v>
      </c>
      <c r="H77" s="160">
        <f t="shared" si="0"/>
        <v>0.89999999999999991</v>
      </c>
    </row>
    <row r="78" spans="1:8">
      <c r="A78" s="149" t="s">
        <v>15</v>
      </c>
      <c r="B78" s="149">
        <f>B$9</f>
        <v>1302</v>
      </c>
      <c r="C78" s="149" t="s">
        <v>65</v>
      </c>
      <c r="D78" s="157">
        <v>3</v>
      </c>
      <c r="E78" s="161">
        <f>D78*B78</f>
        <v>3906</v>
      </c>
      <c r="F78" s="160">
        <f t="shared" si="4"/>
        <v>3</v>
      </c>
      <c r="G78" s="161">
        <f t="shared" ref="G78:G89" si="8">+E78*AdjRate</f>
        <v>4687.2</v>
      </c>
      <c r="H78" s="160">
        <f t="shared" si="0"/>
        <v>3.5999999999999996</v>
      </c>
    </row>
    <row r="79" spans="1:8">
      <c r="A79" s="149"/>
      <c r="B79" s="149"/>
      <c r="C79" s="149"/>
      <c r="D79" s="157"/>
      <c r="E79" s="161"/>
      <c r="F79" s="160"/>
      <c r="G79" s="161"/>
      <c r="H79" s="160"/>
    </row>
    <row r="80" spans="1:8">
      <c r="A80" s="152" t="s">
        <v>98</v>
      </c>
      <c r="B80" s="149"/>
      <c r="C80" s="149"/>
      <c r="D80" s="157"/>
      <c r="E80" s="161"/>
      <c r="F80" s="160"/>
      <c r="G80" s="161"/>
      <c r="H80" s="160"/>
    </row>
    <row r="81" spans="1:8">
      <c r="A81" s="149" t="s">
        <v>152</v>
      </c>
      <c r="B81" s="149">
        <f>+G5</f>
        <v>315</v>
      </c>
      <c r="C81" s="149" t="s">
        <v>65</v>
      </c>
      <c r="D81" s="157">
        <v>5.5</v>
      </c>
      <c r="E81" s="161">
        <f t="shared" si="7"/>
        <v>1732.5</v>
      </c>
      <c r="F81" s="160">
        <f t="shared" si="4"/>
        <v>1.3306451612903225</v>
      </c>
      <c r="G81" s="161">
        <f t="shared" si="8"/>
        <v>2079</v>
      </c>
      <c r="H81" s="160">
        <f t="shared" si="0"/>
        <v>1.596774193548387</v>
      </c>
    </row>
    <row r="82" spans="1:8">
      <c r="A82" s="149" t="s">
        <v>153</v>
      </c>
      <c r="B82" s="149">
        <f>B$9</f>
        <v>1302</v>
      </c>
      <c r="C82" s="149" t="s">
        <v>65</v>
      </c>
      <c r="D82" s="157">
        <v>2</v>
      </c>
      <c r="E82" s="161">
        <f t="shared" si="7"/>
        <v>2604</v>
      </c>
      <c r="F82" s="160">
        <f t="shared" si="4"/>
        <v>2</v>
      </c>
      <c r="G82" s="161">
        <f t="shared" si="8"/>
        <v>3124.7999999999997</v>
      </c>
      <c r="H82" s="160">
        <f t="shared" ref="H82:H95" si="9">+G82/B$9</f>
        <v>2.4</v>
      </c>
    </row>
    <row r="83" spans="1:8">
      <c r="A83" s="149" t="s">
        <v>154</v>
      </c>
      <c r="B83" s="149">
        <f>B$15</f>
        <v>1710</v>
      </c>
      <c r="C83" s="149" t="s">
        <v>65</v>
      </c>
      <c r="D83" s="157">
        <v>0.6</v>
      </c>
      <c r="E83" s="161">
        <f t="shared" si="7"/>
        <v>1026</v>
      </c>
      <c r="F83" s="160">
        <f t="shared" si="4"/>
        <v>0.78801843317972353</v>
      </c>
      <c r="G83" s="161">
        <f t="shared" si="8"/>
        <v>1231.2</v>
      </c>
      <c r="H83" s="160">
        <f t="shared" si="9"/>
        <v>0.94562211981566824</v>
      </c>
    </row>
    <row r="84" spans="1:8">
      <c r="A84" s="149" t="s">
        <v>155</v>
      </c>
      <c r="B84" s="149">
        <v>48</v>
      </c>
      <c r="C84" s="149" t="s">
        <v>65</v>
      </c>
      <c r="D84" s="157">
        <v>5.5</v>
      </c>
      <c r="E84" s="161">
        <f t="shared" si="7"/>
        <v>264</v>
      </c>
      <c r="F84" s="160">
        <f t="shared" si="4"/>
        <v>0.20276497695852536</v>
      </c>
      <c r="G84" s="161">
        <f t="shared" si="8"/>
        <v>316.8</v>
      </c>
      <c r="H84" s="160">
        <f t="shared" si="9"/>
        <v>0.24331797235023042</v>
      </c>
    </row>
    <row r="85" spans="1:8">
      <c r="A85" s="149" t="s">
        <v>156</v>
      </c>
      <c r="B85" s="149">
        <f>(B9-35-150-150-100)/9</f>
        <v>96.333333333333329</v>
      </c>
      <c r="C85" s="149" t="s">
        <v>157</v>
      </c>
      <c r="D85" s="157">
        <v>15</v>
      </c>
      <c r="E85" s="161">
        <f t="shared" si="7"/>
        <v>1445</v>
      </c>
      <c r="F85" s="160">
        <f t="shared" si="4"/>
        <v>1.109831029185868</v>
      </c>
      <c r="G85" s="161">
        <f t="shared" si="8"/>
        <v>1734</v>
      </c>
      <c r="H85" s="160">
        <f t="shared" si="9"/>
        <v>1.3317972350230414</v>
      </c>
    </row>
    <row r="86" spans="1:8">
      <c r="A86" s="149" t="s">
        <v>158</v>
      </c>
      <c r="B86" s="149">
        <v>27</v>
      </c>
      <c r="C86" s="149" t="s">
        <v>63</v>
      </c>
      <c r="D86" s="157">
        <v>24</v>
      </c>
      <c r="E86" s="161">
        <f t="shared" si="7"/>
        <v>648</v>
      </c>
      <c r="F86" s="160">
        <f t="shared" si="4"/>
        <v>0.49769585253456222</v>
      </c>
      <c r="G86" s="161">
        <f t="shared" si="8"/>
        <v>777.6</v>
      </c>
      <c r="H86" s="160">
        <f t="shared" si="9"/>
        <v>0.59723502304147469</v>
      </c>
    </row>
    <row r="87" spans="1:8">
      <c r="A87" s="149" t="s">
        <v>159</v>
      </c>
      <c r="B87" s="149">
        <v>9</v>
      </c>
      <c r="C87" s="149" t="s">
        <v>63</v>
      </c>
      <c r="D87" s="157">
        <v>24</v>
      </c>
      <c r="E87" s="161">
        <f t="shared" si="7"/>
        <v>216</v>
      </c>
      <c r="F87" s="160">
        <f t="shared" si="4"/>
        <v>0.16589861751152074</v>
      </c>
      <c r="G87" s="161">
        <f t="shared" si="8"/>
        <v>259.2</v>
      </c>
      <c r="H87" s="160">
        <f t="shared" si="9"/>
        <v>0.19907834101382488</v>
      </c>
    </row>
    <row r="88" spans="1:8">
      <c r="A88" s="149" t="s">
        <v>160</v>
      </c>
      <c r="B88" s="149">
        <v>2</v>
      </c>
      <c r="C88" s="149" t="s">
        <v>161</v>
      </c>
      <c r="D88" s="157">
        <v>40</v>
      </c>
      <c r="E88" s="161">
        <f t="shared" si="7"/>
        <v>80</v>
      </c>
      <c r="F88" s="160">
        <f t="shared" si="4"/>
        <v>6.1443932411674347E-2</v>
      </c>
      <c r="G88" s="161">
        <f t="shared" si="8"/>
        <v>96</v>
      </c>
      <c r="H88" s="160">
        <f t="shared" si="9"/>
        <v>7.3732718894009217E-2</v>
      </c>
    </row>
    <row r="89" spans="1:8">
      <c r="A89" s="149" t="s">
        <v>162</v>
      </c>
      <c r="B89" s="149">
        <v>0</v>
      </c>
      <c r="C89" s="149" t="s">
        <v>163</v>
      </c>
      <c r="D89" s="157">
        <v>750</v>
      </c>
      <c r="E89" s="161">
        <f t="shared" si="7"/>
        <v>0</v>
      </c>
      <c r="F89" s="160">
        <f t="shared" si="4"/>
        <v>0</v>
      </c>
      <c r="G89" s="161">
        <f t="shared" si="8"/>
        <v>0</v>
      </c>
      <c r="H89" s="160">
        <f t="shared" si="9"/>
        <v>0</v>
      </c>
    </row>
    <row r="90" spans="1:8">
      <c r="A90" s="149" t="s">
        <v>164</v>
      </c>
      <c r="B90" s="149">
        <v>1</v>
      </c>
      <c r="C90" s="149" t="s">
        <v>163</v>
      </c>
      <c r="D90" s="157">
        <v>300</v>
      </c>
      <c r="E90" s="161">
        <f t="shared" si="7"/>
        <v>300</v>
      </c>
      <c r="F90" s="160">
        <f t="shared" si="4"/>
        <v>0.2304147465437788</v>
      </c>
      <c r="G90" s="161">
        <f>+D90*B90*AdjRate</f>
        <v>360</v>
      </c>
      <c r="H90" s="160">
        <f t="shared" si="9"/>
        <v>0.27649769585253459</v>
      </c>
    </row>
    <row r="91" spans="1:8">
      <c r="A91" s="149" t="s">
        <v>165</v>
      </c>
      <c r="B91" s="149">
        <f>+B70</f>
        <v>9</v>
      </c>
      <c r="C91" s="149" t="s">
        <v>166</v>
      </c>
      <c r="D91" s="157">
        <v>35</v>
      </c>
      <c r="E91" s="161">
        <f t="shared" si="7"/>
        <v>315</v>
      </c>
      <c r="F91" s="160">
        <f t="shared" si="4"/>
        <v>0.24193548387096775</v>
      </c>
      <c r="G91" s="161">
        <f>+D91*B91*AdjRate</f>
        <v>378</v>
      </c>
      <c r="H91" s="160">
        <f t="shared" si="9"/>
        <v>0.29032258064516131</v>
      </c>
    </row>
    <row r="92" spans="1:8">
      <c r="A92" s="149" t="s">
        <v>167</v>
      </c>
      <c r="B92" s="149">
        <v>0</v>
      </c>
      <c r="C92" s="149" t="s">
        <v>57</v>
      </c>
      <c r="D92" s="157">
        <v>0</v>
      </c>
      <c r="E92" s="161">
        <f t="shared" si="7"/>
        <v>0</v>
      </c>
      <c r="F92" s="160">
        <f t="shared" si="4"/>
        <v>0</v>
      </c>
      <c r="G92" s="161">
        <f>+E92*AdjRate</f>
        <v>0</v>
      </c>
      <c r="H92" s="160">
        <f t="shared" si="9"/>
        <v>0</v>
      </c>
    </row>
    <row r="93" spans="1:8">
      <c r="A93" s="149"/>
      <c r="B93" s="149"/>
      <c r="C93" s="149"/>
      <c r="D93" s="157"/>
      <c r="E93" s="161"/>
      <c r="F93" s="160"/>
      <c r="G93" s="161"/>
      <c r="H93" s="160"/>
    </row>
    <row r="94" spans="1:8">
      <c r="A94" s="152" t="s">
        <v>168</v>
      </c>
      <c r="B94" s="149"/>
      <c r="C94" s="149"/>
      <c r="D94" s="157"/>
      <c r="E94" s="161"/>
      <c r="F94" s="160"/>
      <c r="G94" s="161"/>
      <c r="H94" s="160"/>
    </row>
    <row r="95" spans="1:8">
      <c r="A95" s="149" t="s">
        <v>4</v>
      </c>
      <c r="B95" s="149">
        <v>1</v>
      </c>
      <c r="C95" s="149" t="s">
        <v>57</v>
      </c>
      <c r="D95" s="157">
        <v>500</v>
      </c>
      <c r="E95" s="161">
        <f t="shared" si="7"/>
        <v>500</v>
      </c>
      <c r="F95" s="160">
        <f t="shared" si="4"/>
        <v>0.38402457757296465</v>
      </c>
      <c r="G95" s="161">
        <f>+D95*B95*AdjRate</f>
        <v>600</v>
      </c>
      <c r="H95" s="160">
        <f t="shared" si="9"/>
        <v>0.46082949308755761</v>
      </c>
    </row>
    <row r="96" spans="1:8">
      <c r="A96" s="149" t="s">
        <v>169</v>
      </c>
      <c r="B96" s="149">
        <v>0</v>
      </c>
      <c r="C96" s="149" t="s">
        <v>66</v>
      </c>
      <c r="D96" s="157">
        <v>650</v>
      </c>
      <c r="E96" s="161">
        <f t="shared" si="7"/>
        <v>0</v>
      </c>
      <c r="F96" s="160">
        <f t="shared" si="4"/>
        <v>0</v>
      </c>
      <c r="G96" s="161">
        <f>+D96*B96*AdjRate</f>
        <v>0</v>
      </c>
      <c r="H96" s="160">
        <f>+G96/B$9</f>
        <v>0</v>
      </c>
    </row>
    <row r="97" spans="1:8">
      <c r="A97" s="149" t="s">
        <v>170</v>
      </c>
      <c r="B97" s="149">
        <v>1</v>
      </c>
      <c r="C97" s="149" t="s">
        <v>171</v>
      </c>
      <c r="D97" s="157">
        <v>700</v>
      </c>
      <c r="E97" s="161">
        <f t="shared" si="7"/>
        <v>700</v>
      </c>
      <c r="F97" s="160">
        <f t="shared" si="4"/>
        <v>0.5376344086021505</v>
      </c>
      <c r="G97" s="161">
        <f>+E97*AdjRate</f>
        <v>840</v>
      </c>
      <c r="H97" s="160">
        <f t="shared" ref="H97:H110" si="10">+G97/B$9</f>
        <v>0.64516129032258063</v>
      </c>
    </row>
    <row r="98" spans="1:8">
      <c r="A98" s="149"/>
      <c r="B98" s="149"/>
      <c r="C98" s="149"/>
      <c r="D98" s="157"/>
      <c r="E98" s="161"/>
      <c r="F98" s="160"/>
      <c r="G98" s="161"/>
      <c r="H98" s="160"/>
    </row>
    <row r="99" spans="1:8">
      <c r="A99" s="152" t="s">
        <v>172</v>
      </c>
      <c r="B99" s="149"/>
      <c r="C99" s="149"/>
      <c r="D99" s="157"/>
      <c r="E99" s="161"/>
      <c r="F99" s="160"/>
      <c r="G99" s="161"/>
      <c r="H99" s="160"/>
    </row>
    <row r="100" spans="1:8">
      <c r="A100" s="149" t="s">
        <v>173</v>
      </c>
      <c r="B100" s="149">
        <f>B$15</f>
        <v>1710</v>
      </c>
      <c r="C100" s="149" t="s">
        <v>65</v>
      </c>
      <c r="D100" s="157">
        <v>2.25</v>
      </c>
      <c r="E100" s="161">
        <f t="shared" si="7"/>
        <v>3847.5</v>
      </c>
      <c r="F100" s="160">
        <f t="shared" si="4"/>
        <v>2.9550691244239631</v>
      </c>
      <c r="G100" s="161">
        <f>+D100*B100*AdjRate</f>
        <v>4617</v>
      </c>
      <c r="H100" s="160">
        <f t="shared" si="10"/>
        <v>3.5460829493087558</v>
      </c>
    </row>
    <row r="101" spans="1:8">
      <c r="A101" s="149" t="s">
        <v>174</v>
      </c>
      <c r="B101" s="149">
        <v>1</v>
      </c>
      <c r="C101" s="149" t="s">
        <v>57</v>
      </c>
      <c r="D101" s="157">
        <v>750</v>
      </c>
      <c r="E101" s="161">
        <f t="shared" si="7"/>
        <v>750</v>
      </c>
      <c r="F101" s="160">
        <f t="shared" si="4"/>
        <v>0.57603686635944695</v>
      </c>
      <c r="G101" s="161">
        <f>+D101*B101*AdjRate</f>
        <v>900</v>
      </c>
      <c r="H101" s="160">
        <f t="shared" si="10"/>
        <v>0.69124423963133641</v>
      </c>
    </row>
    <row r="102" spans="1:8">
      <c r="A102" s="149" t="s">
        <v>175</v>
      </c>
      <c r="B102" s="149">
        <v>1</v>
      </c>
      <c r="C102" s="149" t="s">
        <v>57</v>
      </c>
      <c r="D102" s="157">
        <v>150</v>
      </c>
      <c r="E102" s="161">
        <f t="shared" si="7"/>
        <v>150</v>
      </c>
      <c r="F102" s="160">
        <f t="shared" si="4"/>
        <v>0.1152073732718894</v>
      </c>
      <c r="G102" s="161">
        <f t="shared" ref="G102:G107" si="11">+E102*AdjRate</f>
        <v>180</v>
      </c>
      <c r="H102" s="160">
        <f t="shared" si="10"/>
        <v>0.13824884792626729</v>
      </c>
    </row>
    <row r="103" spans="1:8">
      <c r="A103" s="149"/>
      <c r="B103" s="149"/>
      <c r="C103" s="149"/>
      <c r="D103" s="157"/>
      <c r="E103" s="161"/>
      <c r="F103" s="160"/>
      <c r="G103" s="161"/>
      <c r="H103" s="160"/>
    </row>
    <row r="104" spans="1:8">
      <c r="A104" s="152" t="s">
        <v>176</v>
      </c>
      <c r="B104" s="149"/>
      <c r="C104" s="149"/>
      <c r="D104" s="157"/>
      <c r="E104" s="161"/>
      <c r="F104" s="160"/>
      <c r="G104" s="161"/>
      <c r="H104" s="160"/>
    </row>
    <row r="105" spans="1:8">
      <c r="A105" s="149" t="s">
        <v>177</v>
      </c>
      <c r="B105" s="149">
        <v>1</v>
      </c>
      <c r="C105" s="149" t="s">
        <v>57</v>
      </c>
      <c r="D105" s="157">
        <v>4200</v>
      </c>
      <c r="E105" s="161">
        <f t="shared" si="7"/>
        <v>4200</v>
      </c>
      <c r="F105" s="160">
        <f t="shared" si="4"/>
        <v>3.225806451612903</v>
      </c>
      <c r="G105" s="161">
        <f t="shared" si="11"/>
        <v>5040</v>
      </c>
      <c r="H105" s="160">
        <f t="shared" si="10"/>
        <v>3.870967741935484</v>
      </c>
    </row>
    <row r="106" spans="1:8">
      <c r="A106" s="149" t="s">
        <v>195</v>
      </c>
      <c r="B106" s="149">
        <v>25</v>
      </c>
      <c r="C106" s="149" t="s">
        <v>63</v>
      </c>
      <c r="D106" s="157">
        <v>15</v>
      </c>
      <c r="E106" s="161">
        <f>D106*B106</f>
        <v>375</v>
      </c>
      <c r="F106" s="160">
        <f t="shared" si="4"/>
        <v>0.28801843317972348</v>
      </c>
      <c r="G106" s="161">
        <f t="shared" si="11"/>
        <v>450</v>
      </c>
      <c r="H106" s="160">
        <f>+G106/B$9</f>
        <v>0.34562211981566821</v>
      </c>
    </row>
    <row r="107" spans="1:8">
      <c r="A107" s="149" t="s">
        <v>178</v>
      </c>
      <c r="B107" s="149">
        <v>1</v>
      </c>
      <c r="C107" s="149" t="s">
        <v>57</v>
      </c>
      <c r="D107" s="157">
        <v>2000</v>
      </c>
      <c r="E107" s="161">
        <f>D107*B107</f>
        <v>2000</v>
      </c>
      <c r="F107" s="160">
        <f t="shared" si="4"/>
        <v>1.5360983102918586</v>
      </c>
      <c r="G107" s="161">
        <f t="shared" si="11"/>
        <v>2400</v>
      </c>
      <c r="H107" s="160">
        <f>+G107/B$9</f>
        <v>1.8433179723502304</v>
      </c>
    </row>
    <row r="108" spans="1:8">
      <c r="A108" s="149" t="s">
        <v>197</v>
      </c>
      <c r="B108" s="149">
        <v>1</v>
      </c>
      <c r="C108" s="149" t="s">
        <v>57</v>
      </c>
      <c r="D108" s="157">
        <v>990</v>
      </c>
      <c r="E108" s="161">
        <f>D108*B108</f>
        <v>990</v>
      </c>
      <c r="F108" s="160">
        <f t="shared" si="4"/>
        <v>0.76036866359447008</v>
      </c>
      <c r="G108" s="161">
        <f>+D108*B108*AdjRate</f>
        <v>1188</v>
      </c>
      <c r="H108" s="160">
        <f t="shared" si="10"/>
        <v>0.9124423963133641</v>
      </c>
    </row>
    <row r="109" spans="1:8">
      <c r="A109" s="149" t="s">
        <v>3</v>
      </c>
      <c r="B109" s="149">
        <f>B9</f>
        <v>1302</v>
      </c>
      <c r="C109" s="149" t="s">
        <v>57</v>
      </c>
      <c r="D109" s="157">
        <v>2.85</v>
      </c>
      <c r="E109" s="161">
        <f>D109*B109</f>
        <v>3710.7000000000003</v>
      </c>
      <c r="F109" s="160">
        <f t="shared" si="4"/>
        <v>2.85</v>
      </c>
      <c r="G109" s="161">
        <f>+D109*B109*AdjRate</f>
        <v>4452.84</v>
      </c>
      <c r="H109" s="160">
        <f t="shared" si="10"/>
        <v>3.42</v>
      </c>
    </row>
    <row r="110" spans="1:8">
      <c r="A110" s="149" t="s">
        <v>9</v>
      </c>
      <c r="B110" s="149">
        <f>ConstTime</f>
        <v>6</v>
      </c>
      <c r="C110" s="149" t="s">
        <v>77</v>
      </c>
      <c r="D110" s="157">
        <f>((1000*52)/12+250+100)/4</f>
        <v>1170.8333333333333</v>
      </c>
      <c r="E110" s="161">
        <f>D110*B110</f>
        <v>7025</v>
      </c>
      <c r="F110" s="160">
        <f t="shared" si="4"/>
        <v>5.3955453149001533</v>
      </c>
      <c r="G110" s="161">
        <f>+(D110*B110)*AdjRate</f>
        <v>8430</v>
      </c>
      <c r="H110" s="160">
        <f t="shared" si="10"/>
        <v>6.4746543778801842</v>
      </c>
    </row>
    <row r="111" spans="1:8" ht="13.5" thickBot="1">
      <c r="A111" s="156" t="s">
        <v>241</v>
      </c>
      <c r="B111" s="156"/>
      <c r="C111" s="156"/>
      <c r="D111" s="156"/>
      <c r="E111" s="158">
        <f>SUM(E18:E110)</f>
        <v>69433.252000000008</v>
      </c>
      <c r="F111" s="159">
        <f t="shared" si="4"/>
        <v>53.328150537634414</v>
      </c>
      <c r="G111" s="158">
        <f>SUM(G18:G110)</f>
        <v>83319.902399999992</v>
      </c>
      <c r="H111" s="159">
        <f>SUM(H18:H110)</f>
        <v>63.99378064516128</v>
      </c>
    </row>
    <row r="112" spans="1:8" ht="13.5" thickTop="1">
      <c r="A112" s="149"/>
      <c r="B112" s="149"/>
      <c r="C112" s="149"/>
      <c r="D112" s="149"/>
      <c r="E112" s="161">
        <f>+G111-E111</f>
        <v>13886.650399999984</v>
      </c>
      <c r="F112" s="161"/>
      <c r="G112" s="149"/>
      <c r="H112" s="149"/>
    </row>
    <row r="113" spans="4:6">
      <c r="D113" s="5"/>
      <c r="E113" s="5"/>
      <c r="F113" s="5"/>
    </row>
    <row r="114" spans="4:6">
      <c r="D114" s="5"/>
      <c r="E114" s="5"/>
      <c r="F114" s="5"/>
    </row>
    <row r="115" spans="4:6">
      <c r="D115" s="5"/>
      <c r="E115" s="5"/>
      <c r="F115" s="5"/>
    </row>
    <row r="116" spans="4:6">
      <c r="D116" s="5"/>
      <c r="E116" s="5"/>
      <c r="F116" s="5"/>
    </row>
    <row r="117" spans="4:6">
      <c r="D117" s="5"/>
      <c r="E117" s="5"/>
      <c r="F117" s="5"/>
    </row>
    <row r="118" spans="4:6">
      <c r="D118" s="5"/>
      <c r="E118" s="5"/>
      <c r="F118" s="5"/>
    </row>
    <row r="119" spans="4:6">
      <c r="D119" s="5"/>
      <c r="E119" s="5"/>
      <c r="F119" s="5"/>
    </row>
    <row r="120" spans="4:6">
      <c r="D120" s="5"/>
      <c r="E120" s="5"/>
      <c r="F120" s="5"/>
    </row>
    <row r="121" spans="4:6">
      <c r="D121" s="5"/>
      <c r="E121" s="5"/>
      <c r="F121" s="5"/>
    </row>
    <row r="122" spans="4:6">
      <c r="D122" s="5"/>
      <c r="E122" s="5"/>
      <c r="F122" s="5"/>
    </row>
    <row r="123" spans="4:6">
      <c r="D123" s="5"/>
      <c r="E123" s="5"/>
      <c r="F123" s="5"/>
    </row>
    <row r="124" spans="4:6">
      <c r="D124" s="5"/>
      <c r="E124" s="5"/>
      <c r="F124" s="5"/>
    </row>
    <row r="125" spans="4:6">
      <c r="D125" s="5"/>
      <c r="E125" s="5"/>
      <c r="F125" s="5"/>
    </row>
    <row r="126" spans="4:6">
      <c r="D126" s="5"/>
      <c r="E126" s="5"/>
      <c r="F126" s="5"/>
    </row>
    <row r="127" spans="4:6">
      <c r="D127" s="5"/>
      <c r="E127" s="5"/>
      <c r="F127" s="5"/>
    </row>
    <row r="128" spans="4:6">
      <c r="D128" s="5"/>
      <c r="E128" s="5"/>
      <c r="F128" s="5"/>
    </row>
    <row r="129" spans="4:6">
      <c r="D129" s="5"/>
      <c r="E129" s="5"/>
      <c r="F129" s="5"/>
    </row>
    <row r="130" spans="4:6">
      <c r="D130" s="5"/>
      <c r="E130" s="5"/>
      <c r="F130" s="5"/>
    </row>
    <row r="131" spans="4:6">
      <c r="D131" s="5"/>
      <c r="E131" s="5"/>
      <c r="F131" s="5"/>
    </row>
    <row r="132" spans="4:6">
      <c r="D132" s="5"/>
      <c r="E132" s="5"/>
      <c r="F132" s="5"/>
    </row>
    <row r="133" spans="4:6">
      <c r="D133" s="5"/>
      <c r="E133" s="5"/>
      <c r="F133" s="5"/>
    </row>
    <row r="134" spans="4:6">
      <c r="D134" s="5"/>
      <c r="E134" s="5"/>
      <c r="F134" s="5"/>
    </row>
    <row r="135" spans="4:6">
      <c r="D135" s="5"/>
      <c r="E135" s="5"/>
      <c r="F135" s="5"/>
    </row>
    <row r="136" spans="4:6">
      <c r="D136" s="5"/>
      <c r="E136" s="5"/>
      <c r="F136" s="5"/>
    </row>
    <row r="137" spans="4:6">
      <c r="D137" s="5"/>
      <c r="E137" s="5"/>
      <c r="F137" s="5"/>
    </row>
    <row r="138" spans="4:6">
      <c r="D138" s="5"/>
      <c r="E138" s="5"/>
      <c r="F138" s="5"/>
    </row>
    <row r="139" spans="4:6">
      <c r="D139" s="5"/>
      <c r="E139" s="5"/>
      <c r="F139" s="5"/>
    </row>
    <row r="140" spans="4:6">
      <c r="D140" s="5"/>
      <c r="E140" s="5"/>
      <c r="F140" s="5"/>
    </row>
    <row r="141" spans="4:6">
      <c r="D141" s="5"/>
      <c r="E141" s="5"/>
      <c r="F141" s="5"/>
    </row>
    <row r="142" spans="4:6">
      <c r="D142" s="5"/>
      <c r="E142" s="5"/>
      <c r="F142" s="5"/>
    </row>
  </sheetData>
  <mergeCells count="1">
    <mergeCell ref="A1:H1"/>
  </mergeCells>
  <phoneticPr fontId="3" type="noConversion"/>
  <printOptions horizontalCentered="1"/>
  <pageMargins left="0.25" right="0.25" top="1.17" bottom="1" header="0.5" footer="0.5"/>
  <pageSetup scale="78" fitToHeight="2" orientation="portrait" horizontalDpi="300" verticalDpi="300" r:id="rId1"/>
  <headerFooter alignWithMargins="0">
    <oddHeader>&amp;C&amp;"Garamond,Bold"&amp;12WESTGATE &amp;&amp; CAMERON LOOP
96 CONDOMINIUMS</oddHeader>
    <oddFooter>&amp;L&amp;"Garamond,Regular"&amp;8&amp;F&amp;C&amp;"Garamond,Regular"&amp;8&amp;P OF &amp;N&amp;R&amp;"Garamond,Regular"&amp;8&amp;D</oddFooter>
  </headerFooter>
  <colBreaks count="1" manualBreakCount="1">
    <brk id="8"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I142"/>
  <sheetViews>
    <sheetView zoomScaleNormal="100" workbookViewId="0">
      <selection activeCell="F47" activeCellId="1" sqref="B36 F47:F50"/>
    </sheetView>
  </sheetViews>
  <sheetFormatPr defaultColWidth="10.5703125" defaultRowHeight="12.75"/>
  <cols>
    <col min="1" max="1" width="16.5703125" style="3" customWidth="1"/>
    <col min="2" max="2" width="10.42578125" style="3" customWidth="1"/>
    <col min="3" max="3" width="5.85546875" style="3" customWidth="1"/>
    <col min="4" max="4" width="5.140625" style="3" customWidth="1"/>
    <col min="5" max="6" width="8" style="3" customWidth="1"/>
    <col min="7" max="7" width="10.42578125" style="3" customWidth="1"/>
    <col min="8" max="8" width="8.140625" style="3" customWidth="1"/>
    <col min="9" max="16384" width="10.5703125" style="3"/>
  </cols>
  <sheetData>
    <row r="1" spans="1:9" ht="13.5" customHeight="1" thickBot="1">
      <c r="A1" s="329" t="s">
        <v>374</v>
      </c>
      <c r="B1" s="330"/>
      <c r="C1" s="330"/>
      <c r="D1" s="330"/>
      <c r="E1" s="330"/>
      <c r="F1" s="330"/>
      <c r="G1" s="330"/>
      <c r="H1" s="330"/>
    </row>
    <row r="2" spans="1:9">
      <c r="A2" s="31"/>
      <c r="B2" s="32"/>
      <c r="C2" s="32"/>
      <c r="D2" s="32"/>
      <c r="E2" s="32"/>
      <c r="F2" s="32"/>
      <c r="G2" s="14"/>
      <c r="H2" s="14"/>
    </row>
    <row r="3" spans="1:9" ht="25.5">
      <c r="A3" s="151" t="s">
        <v>100</v>
      </c>
      <c r="B3" s="151" t="s">
        <v>84</v>
      </c>
      <c r="C3" s="151" t="s">
        <v>16</v>
      </c>
      <c r="D3" s="151" t="s">
        <v>82</v>
      </c>
      <c r="E3" s="151" t="s">
        <v>101</v>
      </c>
      <c r="F3" s="151" t="s">
        <v>13</v>
      </c>
      <c r="G3" s="151" t="s">
        <v>370</v>
      </c>
      <c r="H3" s="151" t="s">
        <v>13</v>
      </c>
      <c r="I3" s="151"/>
    </row>
    <row r="4" spans="1:9">
      <c r="E4" s="148"/>
      <c r="F4" s="148"/>
      <c r="H4" s="14"/>
    </row>
    <row r="5" spans="1:9">
      <c r="A5" s="152" t="s">
        <v>88</v>
      </c>
      <c r="B5" s="149"/>
      <c r="C5" s="149"/>
      <c r="E5" s="149" t="s">
        <v>98</v>
      </c>
      <c r="F5" s="149"/>
      <c r="G5" s="149">
        <f>35*9</f>
        <v>315</v>
      </c>
      <c r="H5" s="149" t="s">
        <v>65</v>
      </c>
    </row>
    <row r="6" spans="1:9">
      <c r="A6" s="152" t="s">
        <v>89</v>
      </c>
      <c r="B6" s="149"/>
      <c r="C6" s="149"/>
      <c r="E6" s="149" t="s">
        <v>8</v>
      </c>
      <c r="F6" s="149"/>
      <c r="G6" s="149">
        <f>B7+B14</f>
        <v>872.65250000000003</v>
      </c>
      <c r="H6" s="149" t="s">
        <v>65</v>
      </c>
    </row>
    <row r="7" spans="1:9">
      <c r="A7" s="149" t="s">
        <v>90</v>
      </c>
      <c r="B7" s="163">
        <f>22.67*(24+11/12)-(6*15.33)</f>
        <v>472.88083333333338</v>
      </c>
      <c r="C7" s="149" t="s">
        <v>65</v>
      </c>
      <c r="E7" s="152" t="s">
        <v>130</v>
      </c>
      <c r="F7" s="149"/>
      <c r="G7" s="149">
        <f>+G8+G9+G10</f>
        <v>178.5</v>
      </c>
      <c r="H7" s="149"/>
    </row>
    <row r="8" spans="1:9">
      <c r="A8" s="162" t="s">
        <v>91</v>
      </c>
      <c r="B8" s="164">
        <f>1358-B7</f>
        <v>885.11916666666662</v>
      </c>
      <c r="C8" s="162" t="s">
        <v>65</v>
      </c>
      <c r="E8" s="155" t="s">
        <v>179</v>
      </c>
      <c r="F8" s="149"/>
      <c r="G8" s="149">
        <f>8*7</f>
        <v>56</v>
      </c>
      <c r="H8" s="149" t="s">
        <v>65</v>
      </c>
    </row>
    <row r="9" spans="1:9">
      <c r="A9" s="149" t="s">
        <v>92</v>
      </c>
      <c r="B9" s="163">
        <f>+B8+B7</f>
        <v>1358</v>
      </c>
      <c r="C9" s="149" t="s">
        <v>65</v>
      </c>
      <c r="E9" s="155" t="s">
        <v>360</v>
      </c>
      <c r="F9" s="149"/>
      <c r="G9" s="149">
        <v>0</v>
      </c>
      <c r="H9" s="149"/>
    </row>
    <row r="10" spans="1:9">
      <c r="A10" s="149"/>
      <c r="B10" s="163"/>
      <c r="C10" s="149"/>
      <c r="E10" s="155" t="s">
        <v>180</v>
      </c>
      <c r="F10" s="149"/>
      <c r="G10" s="149">
        <f>3.5*(25+10)</f>
        <v>122.5</v>
      </c>
      <c r="H10" s="149"/>
    </row>
    <row r="11" spans="1:9">
      <c r="A11" s="152" t="s">
        <v>93</v>
      </c>
      <c r="B11" s="163"/>
      <c r="C11" s="149"/>
      <c r="E11" s="149" t="s">
        <v>181</v>
      </c>
      <c r="F11" s="149"/>
      <c r="G11" s="149">
        <f>25*18</f>
        <v>450</v>
      </c>
      <c r="H11" s="149"/>
    </row>
    <row r="12" spans="1:9">
      <c r="A12" s="149" t="s">
        <v>94</v>
      </c>
      <c r="B12" s="163">
        <f>18.5*20.33</f>
        <v>376.10499999999996</v>
      </c>
      <c r="C12" s="149" t="s">
        <v>65</v>
      </c>
      <c r="E12" s="149" t="s">
        <v>1</v>
      </c>
      <c r="F12" s="149"/>
      <c r="G12" s="149">
        <v>9</v>
      </c>
      <c r="H12" s="149"/>
    </row>
    <row r="13" spans="1:9">
      <c r="A13" s="149" t="s">
        <v>95</v>
      </c>
      <c r="B13" s="163">
        <f>4*(5+11/12)</f>
        <v>23.666666666666668</v>
      </c>
      <c r="C13" s="149" t="s">
        <v>65</v>
      </c>
      <c r="E13" s="149" t="s">
        <v>361</v>
      </c>
      <c r="F13" s="149"/>
      <c r="G13" s="149">
        <v>1</v>
      </c>
      <c r="H13" s="149"/>
    </row>
    <row r="14" spans="1:9">
      <c r="A14" s="153" t="s">
        <v>96</v>
      </c>
      <c r="B14" s="165">
        <f>+B13+B12</f>
        <v>399.77166666666665</v>
      </c>
      <c r="C14" s="153" t="s">
        <v>65</v>
      </c>
      <c r="E14" s="149" t="s">
        <v>138</v>
      </c>
      <c r="F14" s="149"/>
      <c r="G14" s="149">
        <v>9</v>
      </c>
      <c r="H14" s="149"/>
    </row>
    <row r="15" spans="1:9">
      <c r="A15" s="154" t="s">
        <v>97</v>
      </c>
      <c r="B15" s="166">
        <f>+B14+B9</f>
        <v>1757.7716666666665</v>
      </c>
      <c r="C15" s="154" t="s">
        <v>65</v>
      </c>
      <c r="E15" s="149" t="s">
        <v>187</v>
      </c>
      <c r="F15" s="149"/>
      <c r="G15" s="149">
        <f>ConstTime</f>
        <v>6</v>
      </c>
      <c r="H15" s="149" t="s">
        <v>10</v>
      </c>
    </row>
    <row r="16" spans="1:9">
      <c r="A16" s="149"/>
      <c r="B16" s="149"/>
      <c r="C16" s="149"/>
      <c r="D16" s="149"/>
      <c r="E16" s="149"/>
      <c r="F16" s="149"/>
      <c r="G16" s="149"/>
      <c r="H16" s="149"/>
    </row>
    <row r="17" spans="1:8">
      <c r="A17" s="152" t="s">
        <v>59</v>
      </c>
      <c r="B17" s="149"/>
      <c r="C17" s="149"/>
      <c r="D17" s="149"/>
      <c r="E17" s="149"/>
      <c r="F17" s="149"/>
      <c r="G17" s="149"/>
      <c r="H17" s="149"/>
    </row>
    <row r="18" spans="1:8">
      <c r="A18" s="149" t="s">
        <v>104</v>
      </c>
      <c r="B18" s="149">
        <v>0</v>
      </c>
      <c r="C18" s="149" t="s">
        <v>57</v>
      </c>
      <c r="D18" s="157">
        <f>1000/4</f>
        <v>250</v>
      </c>
      <c r="E18" s="161">
        <f>D18*B18</f>
        <v>0</v>
      </c>
      <c r="F18" s="160">
        <f>+E18/$B$9</f>
        <v>0</v>
      </c>
      <c r="G18" s="161">
        <f>+E18*AdjRate</f>
        <v>0</v>
      </c>
      <c r="H18" s="160">
        <f t="shared" ref="H18:H81" si="0">+G18/B$9</f>
        <v>0</v>
      </c>
    </row>
    <row r="19" spans="1:8">
      <c r="A19" s="149" t="s">
        <v>105</v>
      </c>
      <c r="B19" s="167">
        <f>+$G$6</f>
        <v>872.65250000000003</v>
      </c>
      <c r="C19" s="149" t="s">
        <v>65</v>
      </c>
      <c r="D19" s="157">
        <v>0.15</v>
      </c>
      <c r="E19" s="161">
        <f t="shared" ref="E19:E78" si="1">D19*B19</f>
        <v>130.897875</v>
      </c>
      <c r="F19" s="160">
        <f>+E19/$B$9</f>
        <v>9.6390187776141389E-2</v>
      </c>
      <c r="G19" s="161">
        <f>+E19*AdjRate</f>
        <v>157.07745</v>
      </c>
      <c r="H19" s="160">
        <f t="shared" si="0"/>
        <v>0.11566822533136967</v>
      </c>
    </row>
    <row r="20" spans="1:8">
      <c r="A20" s="149" t="s">
        <v>106</v>
      </c>
      <c r="B20" s="149">
        <v>0</v>
      </c>
      <c r="C20" s="149" t="s">
        <v>57</v>
      </c>
      <c r="D20" s="157">
        <v>315</v>
      </c>
      <c r="E20" s="161">
        <f>D20*B20</f>
        <v>0</v>
      </c>
      <c r="F20" s="160">
        <f>+E20/$B$9</f>
        <v>0</v>
      </c>
      <c r="G20" s="161">
        <f>+E20*AdjRate</f>
        <v>0</v>
      </c>
      <c r="H20" s="160">
        <f t="shared" si="0"/>
        <v>0</v>
      </c>
    </row>
    <row r="21" spans="1:8">
      <c r="A21" s="149" t="s">
        <v>107</v>
      </c>
      <c r="B21" s="149">
        <v>1</v>
      </c>
      <c r="C21" s="149" t="s">
        <v>57</v>
      </c>
      <c r="D21" s="157">
        <v>0</v>
      </c>
      <c r="E21" s="161">
        <f t="shared" si="1"/>
        <v>0</v>
      </c>
      <c r="F21" s="160">
        <f>+E21/$B$9</f>
        <v>0</v>
      </c>
      <c r="G21" s="161">
        <f>+E21*AdjRate</f>
        <v>0</v>
      </c>
      <c r="H21" s="160">
        <f t="shared" si="0"/>
        <v>0</v>
      </c>
    </row>
    <row r="22" spans="1:8">
      <c r="A22" s="149"/>
      <c r="B22" s="149"/>
      <c r="C22" s="149"/>
      <c r="D22" s="157"/>
      <c r="E22" s="161"/>
      <c r="F22" s="160"/>
      <c r="G22" s="161"/>
      <c r="H22" s="160"/>
    </row>
    <row r="23" spans="1:8">
      <c r="A23" s="152" t="s">
        <v>108</v>
      </c>
      <c r="B23" s="149"/>
      <c r="C23" s="149"/>
      <c r="D23" s="157"/>
      <c r="E23" s="161"/>
      <c r="F23" s="160"/>
      <c r="G23" s="161"/>
      <c r="H23" s="160"/>
    </row>
    <row r="24" spans="1:8">
      <c r="A24" s="149" t="s">
        <v>109</v>
      </c>
      <c r="B24" s="149">
        <v>1</v>
      </c>
      <c r="C24" s="149" t="s">
        <v>57</v>
      </c>
      <c r="D24" s="157">
        <v>150</v>
      </c>
      <c r="E24" s="161">
        <f t="shared" si="1"/>
        <v>150</v>
      </c>
      <c r="F24" s="160">
        <f>+E24/$B$9</f>
        <v>0.11045655375552282</v>
      </c>
      <c r="G24" s="161">
        <f>+D24*B24*AdjRate</f>
        <v>180</v>
      </c>
      <c r="H24" s="160">
        <f t="shared" si="0"/>
        <v>0.13254786450662739</v>
      </c>
    </row>
    <row r="25" spans="1:8">
      <c r="A25" s="149" t="s">
        <v>110</v>
      </c>
      <c r="B25" s="149">
        <v>1</v>
      </c>
      <c r="C25" s="149" t="s">
        <v>57</v>
      </c>
      <c r="D25" s="157">
        <v>100</v>
      </c>
      <c r="E25" s="161">
        <f t="shared" si="1"/>
        <v>100</v>
      </c>
      <c r="F25" s="160">
        <f>+E25/$B$9</f>
        <v>7.3637702503681887E-2</v>
      </c>
      <c r="G25" s="161">
        <f>+D25*B25*AdjRate</f>
        <v>120</v>
      </c>
      <c r="H25" s="160">
        <f t="shared" si="0"/>
        <v>8.8365243004418267E-2</v>
      </c>
    </row>
    <row r="26" spans="1:8">
      <c r="A26" s="149" t="s">
        <v>111</v>
      </c>
      <c r="B26" s="149">
        <v>1</v>
      </c>
      <c r="C26" s="149" t="s">
        <v>57</v>
      </c>
      <c r="D26" s="157">
        <v>0</v>
      </c>
      <c r="E26" s="161">
        <f t="shared" si="1"/>
        <v>0</v>
      </c>
      <c r="F26" s="160">
        <f>+E26/$B$9</f>
        <v>0</v>
      </c>
      <c r="G26" s="161">
        <f>+E26*AdjRate</f>
        <v>0</v>
      </c>
      <c r="H26" s="160">
        <f t="shared" si="0"/>
        <v>0</v>
      </c>
    </row>
    <row r="27" spans="1:8">
      <c r="A27" s="149"/>
      <c r="B27" s="149"/>
      <c r="C27" s="149"/>
      <c r="D27" s="157"/>
      <c r="E27" s="161"/>
      <c r="F27" s="160"/>
      <c r="G27" s="161"/>
      <c r="H27" s="160"/>
    </row>
    <row r="28" spans="1:8">
      <c r="A28" s="152" t="s">
        <v>113</v>
      </c>
      <c r="B28" s="149"/>
      <c r="C28" s="149"/>
      <c r="D28" s="157"/>
      <c r="E28" s="161"/>
      <c r="F28" s="160"/>
      <c r="G28" s="161"/>
      <c r="H28" s="160"/>
    </row>
    <row r="29" spans="1:8">
      <c r="A29" s="149" t="s">
        <v>6</v>
      </c>
      <c r="B29" s="149">
        <f>ConstTime</f>
        <v>6</v>
      </c>
      <c r="C29" s="149" t="s">
        <v>77</v>
      </c>
      <c r="D29" s="157">
        <f>56</f>
        <v>56</v>
      </c>
      <c r="E29" s="161">
        <f t="shared" si="1"/>
        <v>336</v>
      </c>
      <c r="F29" s="160">
        <f>+E29/$B$9</f>
        <v>0.24742268041237114</v>
      </c>
      <c r="G29" s="161">
        <f>+D29*B29*AdjRate</f>
        <v>403.2</v>
      </c>
      <c r="H29" s="160">
        <f t="shared" si="0"/>
        <v>0.29690721649484536</v>
      </c>
    </row>
    <row r="30" spans="1:8">
      <c r="A30" s="149" t="s">
        <v>114</v>
      </c>
      <c r="B30" s="149">
        <v>1</v>
      </c>
      <c r="C30" s="149" t="s">
        <v>57</v>
      </c>
      <c r="D30" s="157">
        <v>500</v>
      </c>
      <c r="E30" s="161">
        <f t="shared" si="1"/>
        <v>500</v>
      </c>
      <c r="F30" s="160">
        <f>+E30/$B$9</f>
        <v>0.36818851251840945</v>
      </c>
      <c r="G30" s="161">
        <f>+E30*AdjRate</f>
        <v>600</v>
      </c>
      <c r="H30" s="160">
        <f t="shared" si="0"/>
        <v>0.4418262150220913</v>
      </c>
    </row>
    <row r="31" spans="1:8">
      <c r="A31" s="149"/>
      <c r="B31" s="149"/>
      <c r="C31" s="149"/>
      <c r="D31" s="157"/>
      <c r="E31" s="161"/>
      <c r="F31" s="160"/>
      <c r="G31" s="161"/>
      <c r="H31" s="160"/>
    </row>
    <row r="32" spans="1:8">
      <c r="A32" s="152" t="s">
        <v>115</v>
      </c>
      <c r="B32" s="149"/>
      <c r="C32" s="149"/>
      <c r="D32" s="157"/>
      <c r="E32" s="161"/>
      <c r="F32" s="160"/>
      <c r="G32" s="161"/>
      <c r="H32" s="160"/>
    </row>
    <row r="33" spans="1:8">
      <c r="A33" s="149" t="s">
        <v>116</v>
      </c>
      <c r="B33" s="149">
        <f>ConstTime</f>
        <v>6</v>
      </c>
      <c r="C33" s="149" t="s">
        <v>77</v>
      </c>
      <c r="D33" s="157">
        <v>30</v>
      </c>
      <c r="E33" s="161">
        <f t="shared" si="1"/>
        <v>180</v>
      </c>
      <c r="F33" s="160">
        <f>+E33/$B$9</f>
        <v>0.13254786450662739</v>
      </c>
      <c r="G33" s="161">
        <f>+D33*B33*AdjRate</f>
        <v>216</v>
      </c>
      <c r="H33" s="160">
        <f t="shared" si="0"/>
        <v>0.15905743740795286</v>
      </c>
    </row>
    <row r="34" spans="1:8">
      <c r="A34" s="149" t="s">
        <v>117</v>
      </c>
      <c r="B34" s="149">
        <f>ConstTime</f>
        <v>6</v>
      </c>
      <c r="C34" s="149" t="s">
        <v>77</v>
      </c>
      <c r="D34" s="157">
        <v>30</v>
      </c>
      <c r="E34" s="161">
        <f t="shared" si="1"/>
        <v>180</v>
      </c>
      <c r="F34" s="160">
        <f>+E34/$B$9</f>
        <v>0.13254786450662739</v>
      </c>
      <c r="G34" s="161">
        <f>+D34*B34*AdjRate</f>
        <v>216</v>
      </c>
      <c r="H34" s="160">
        <f t="shared" si="0"/>
        <v>0.15905743740795286</v>
      </c>
    </row>
    <row r="35" spans="1:8">
      <c r="A35" s="149" t="s">
        <v>118</v>
      </c>
      <c r="B35" s="149">
        <f>ConstTime</f>
        <v>6</v>
      </c>
      <c r="C35" s="149" t="s">
        <v>77</v>
      </c>
      <c r="D35" s="157">
        <v>10</v>
      </c>
      <c r="E35" s="161">
        <f t="shared" si="1"/>
        <v>60</v>
      </c>
      <c r="F35" s="160">
        <f>+E35/$B$9</f>
        <v>4.4182621502209134E-2</v>
      </c>
      <c r="G35" s="161">
        <f>+E35*AdjRate</f>
        <v>72</v>
      </c>
      <c r="H35" s="160">
        <f t="shared" si="0"/>
        <v>5.3019145802650956E-2</v>
      </c>
    </row>
    <row r="36" spans="1:8">
      <c r="A36" s="149"/>
      <c r="B36" s="149"/>
      <c r="C36" s="149"/>
      <c r="D36" s="157"/>
      <c r="E36" s="161"/>
      <c r="F36" s="160"/>
      <c r="G36" s="161"/>
      <c r="H36" s="160"/>
    </row>
    <row r="37" spans="1:8">
      <c r="A37" s="152" t="s">
        <v>119</v>
      </c>
      <c r="B37" s="149"/>
      <c r="C37" s="149"/>
      <c r="D37" s="157"/>
      <c r="E37" s="161"/>
      <c r="F37" s="160"/>
      <c r="G37" s="161"/>
      <c r="H37" s="160"/>
    </row>
    <row r="38" spans="1:8">
      <c r="A38" s="149" t="s">
        <v>120</v>
      </c>
      <c r="B38" s="149">
        <v>1</v>
      </c>
      <c r="C38" s="149" t="s">
        <v>57</v>
      </c>
      <c r="D38" s="157">
        <v>750</v>
      </c>
      <c r="E38" s="161">
        <f t="shared" si="1"/>
        <v>750</v>
      </c>
      <c r="F38" s="160">
        <f>+E38/$B$9</f>
        <v>0.55228276877761417</v>
      </c>
      <c r="G38" s="161">
        <f>+D38*B38*AdjRate</f>
        <v>900</v>
      </c>
      <c r="H38" s="160">
        <f t="shared" si="0"/>
        <v>0.66273932253313694</v>
      </c>
    </row>
    <row r="39" spans="1:8">
      <c r="A39" s="149" t="s">
        <v>121</v>
      </c>
      <c r="B39" s="149">
        <f>+B$9</f>
        <v>1358</v>
      </c>
      <c r="C39" s="149" t="s">
        <v>65</v>
      </c>
      <c r="D39" s="157">
        <v>0.1</v>
      </c>
      <c r="E39" s="161">
        <f t="shared" si="1"/>
        <v>135.80000000000001</v>
      </c>
      <c r="F39" s="160">
        <f>+E39/$B$9</f>
        <v>0.1</v>
      </c>
      <c r="G39" s="161">
        <f t="shared" ref="G39:G45" si="2">+E39*AdjRate</f>
        <v>162.96</v>
      </c>
      <c r="H39" s="160">
        <f t="shared" si="0"/>
        <v>0.12000000000000001</v>
      </c>
    </row>
    <row r="40" spans="1:8">
      <c r="A40" s="149"/>
      <c r="B40" s="149"/>
      <c r="C40" s="149"/>
      <c r="D40" s="157"/>
      <c r="E40" s="161"/>
      <c r="F40" s="160"/>
      <c r="G40" s="161"/>
      <c r="H40" s="160"/>
    </row>
    <row r="41" spans="1:8">
      <c r="A41" s="152" t="s">
        <v>7</v>
      </c>
      <c r="B41" s="149"/>
      <c r="C41" s="149"/>
      <c r="D41" s="157"/>
      <c r="E41" s="161"/>
      <c r="F41" s="160"/>
      <c r="G41" s="161"/>
      <c r="H41" s="160"/>
    </row>
    <row r="42" spans="1:8">
      <c r="A42" s="149" t="s">
        <v>62</v>
      </c>
      <c r="B42" s="149">
        <v>0</v>
      </c>
      <c r="C42" s="149" t="s">
        <v>57</v>
      </c>
      <c r="D42" s="157">
        <v>0</v>
      </c>
      <c r="E42" s="161">
        <f t="shared" si="1"/>
        <v>0</v>
      </c>
      <c r="F42" s="160">
        <f t="shared" ref="F42:F48" si="3">+E42/$B$9</f>
        <v>0</v>
      </c>
      <c r="G42" s="161">
        <f t="shared" si="2"/>
        <v>0</v>
      </c>
      <c r="H42" s="160">
        <f t="shared" si="0"/>
        <v>0</v>
      </c>
    </row>
    <row r="43" spans="1:8">
      <c r="A43" s="149" t="s">
        <v>122</v>
      </c>
      <c r="B43" s="149">
        <v>1</v>
      </c>
      <c r="C43" s="149" t="s">
        <v>196</v>
      </c>
      <c r="D43" s="157">
        <v>150</v>
      </c>
      <c r="E43" s="161">
        <f t="shared" si="1"/>
        <v>150</v>
      </c>
      <c r="F43" s="160">
        <f t="shared" si="3"/>
        <v>0.11045655375552282</v>
      </c>
      <c r="G43" s="161">
        <f t="shared" si="2"/>
        <v>180</v>
      </c>
      <c r="H43" s="160">
        <f t="shared" si="0"/>
        <v>0.13254786450662739</v>
      </c>
    </row>
    <row r="44" spans="1:8">
      <c r="A44" s="149" t="s">
        <v>124</v>
      </c>
      <c r="B44" s="149">
        <v>1</v>
      </c>
      <c r="C44" s="149" t="s">
        <v>57</v>
      </c>
      <c r="D44" s="157">
        <v>150</v>
      </c>
      <c r="E44" s="161">
        <f t="shared" si="1"/>
        <v>150</v>
      </c>
      <c r="F44" s="160">
        <f t="shared" si="3"/>
        <v>0.11045655375552282</v>
      </c>
      <c r="G44" s="161">
        <f t="shared" si="2"/>
        <v>180</v>
      </c>
      <c r="H44" s="160">
        <f t="shared" si="0"/>
        <v>0.13254786450662739</v>
      </c>
    </row>
    <row r="45" spans="1:8">
      <c r="A45" s="149" t="s">
        <v>125</v>
      </c>
      <c r="B45" s="149">
        <v>1</v>
      </c>
      <c r="C45" s="149" t="s">
        <v>57</v>
      </c>
      <c r="D45" s="157">
        <v>0</v>
      </c>
      <c r="E45" s="161">
        <f t="shared" si="1"/>
        <v>0</v>
      </c>
      <c r="F45" s="160">
        <f t="shared" si="3"/>
        <v>0</v>
      </c>
      <c r="G45" s="161">
        <f t="shared" si="2"/>
        <v>0</v>
      </c>
      <c r="H45" s="160">
        <f t="shared" si="0"/>
        <v>0</v>
      </c>
    </row>
    <row r="46" spans="1:8">
      <c r="A46" s="149" t="s">
        <v>73</v>
      </c>
      <c r="B46" s="149">
        <v>1</v>
      </c>
      <c r="C46" s="149" t="s">
        <v>57</v>
      </c>
      <c r="D46" s="157">
        <v>0</v>
      </c>
      <c r="E46" s="161">
        <f t="shared" si="1"/>
        <v>0</v>
      </c>
      <c r="F46" s="160">
        <f t="shared" si="3"/>
        <v>0</v>
      </c>
      <c r="G46" s="161">
        <f>+D46*B46*AdjRate</f>
        <v>0</v>
      </c>
      <c r="H46" s="160">
        <f t="shared" si="0"/>
        <v>0</v>
      </c>
    </row>
    <row r="47" spans="1:8">
      <c r="A47" s="149" t="s">
        <v>126</v>
      </c>
      <c r="B47" s="149">
        <v>0</v>
      </c>
      <c r="C47" s="149" t="s">
        <v>63</v>
      </c>
      <c r="D47" s="157">
        <v>15</v>
      </c>
      <c r="E47" s="161">
        <f t="shared" si="1"/>
        <v>0</v>
      </c>
      <c r="F47" s="160">
        <f t="shared" si="3"/>
        <v>0</v>
      </c>
      <c r="G47" s="161">
        <f>+D47*B47*AdjRate</f>
        <v>0</v>
      </c>
      <c r="H47" s="160">
        <f t="shared" si="0"/>
        <v>0</v>
      </c>
    </row>
    <row r="48" spans="1:8">
      <c r="A48" s="149" t="s">
        <v>127</v>
      </c>
      <c r="B48" s="149">
        <v>0</v>
      </c>
      <c r="C48" s="149" t="s">
        <v>57</v>
      </c>
      <c r="D48" s="157">
        <v>100</v>
      </c>
      <c r="E48" s="161">
        <f t="shared" si="1"/>
        <v>0</v>
      </c>
      <c r="F48" s="160">
        <f t="shared" si="3"/>
        <v>0</v>
      </c>
      <c r="G48" s="161">
        <f>+E48*AdjRate</f>
        <v>0</v>
      </c>
      <c r="H48" s="160">
        <f t="shared" si="0"/>
        <v>0</v>
      </c>
    </row>
    <row r="49" spans="1:8">
      <c r="A49" s="149"/>
      <c r="B49" s="149"/>
      <c r="C49" s="149"/>
      <c r="D49" s="157"/>
      <c r="E49" s="161"/>
      <c r="F49" s="160"/>
      <c r="G49" s="161"/>
      <c r="H49" s="160"/>
    </row>
    <row r="50" spans="1:8">
      <c r="A50" s="152" t="s">
        <v>128</v>
      </c>
      <c r="B50" s="149"/>
      <c r="C50" s="149"/>
      <c r="D50" s="157"/>
      <c r="E50" s="161"/>
      <c r="F50" s="160"/>
      <c r="G50" s="161"/>
      <c r="H50" s="160"/>
    </row>
    <row r="51" spans="1:8">
      <c r="A51" s="149" t="s">
        <v>8</v>
      </c>
      <c r="B51" s="163">
        <f>G$6</f>
        <v>872.65250000000003</v>
      </c>
      <c r="C51" s="149" t="s">
        <v>65</v>
      </c>
      <c r="D51" s="157">
        <v>5.75</v>
      </c>
      <c r="E51" s="161">
        <f t="shared" si="1"/>
        <v>5017.7518749999999</v>
      </c>
      <c r="F51" s="160">
        <f t="shared" ref="F51:F111" si="4">+E51/$B$9</f>
        <v>3.6949571980854197</v>
      </c>
      <c r="G51" s="161">
        <f>+E51*AdjRate</f>
        <v>6021.3022499999997</v>
      </c>
      <c r="H51" s="160">
        <f t="shared" si="0"/>
        <v>4.4339486377025032</v>
      </c>
    </row>
    <row r="52" spans="1:8">
      <c r="A52" s="149" t="s">
        <v>129</v>
      </c>
      <c r="B52" s="149">
        <v>1</v>
      </c>
      <c r="C52" s="149" t="s">
        <v>57</v>
      </c>
      <c r="D52" s="157">
        <v>100</v>
      </c>
      <c r="E52" s="161">
        <f t="shared" si="1"/>
        <v>100</v>
      </c>
      <c r="F52" s="160">
        <f t="shared" si="4"/>
        <v>7.3637702503681887E-2</v>
      </c>
      <c r="G52" s="161">
        <f>+D52*B52*AdjRate</f>
        <v>120</v>
      </c>
      <c r="H52" s="160">
        <f t="shared" si="0"/>
        <v>8.8365243004418267E-2</v>
      </c>
    </row>
    <row r="53" spans="1:8">
      <c r="A53" s="149" t="s">
        <v>130</v>
      </c>
      <c r="B53" s="149">
        <f>G$7</f>
        <v>178.5</v>
      </c>
      <c r="C53" s="149" t="s">
        <v>65</v>
      </c>
      <c r="D53" s="157">
        <v>2</v>
      </c>
      <c r="E53" s="161">
        <f t="shared" si="1"/>
        <v>357</v>
      </c>
      <c r="F53" s="160">
        <f t="shared" si="4"/>
        <v>0.26288659793814434</v>
      </c>
      <c r="G53" s="161">
        <f>+D53*B53*AdjRate</f>
        <v>428.4</v>
      </c>
      <c r="H53" s="160">
        <f t="shared" si="0"/>
        <v>0.31546391752577319</v>
      </c>
    </row>
    <row r="54" spans="1:8">
      <c r="A54" s="149" t="s">
        <v>181</v>
      </c>
      <c r="B54" s="149">
        <f>G$11</f>
        <v>450</v>
      </c>
      <c r="C54" s="149" t="s">
        <v>65</v>
      </c>
      <c r="D54" s="157">
        <v>2.25</v>
      </c>
      <c r="E54" s="161">
        <f t="shared" si="1"/>
        <v>1012.5</v>
      </c>
      <c r="F54" s="160">
        <f t="shared" si="4"/>
        <v>0.7455817378497791</v>
      </c>
      <c r="G54" s="161">
        <f t="shared" ref="G54:G64" si="5">+E54*AdjRate</f>
        <v>1215</v>
      </c>
      <c r="H54" s="160">
        <f t="shared" si="0"/>
        <v>0.89469808541973495</v>
      </c>
    </row>
    <row r="55" spans="1:8">
      <c r="A55" s="149"/>
      <c r="B55" s="149"/>
      <c r="C55" s="149"/>
      <c r="D55" s="157"/>
      <c r="E55" s="161"/>
      <c r="F55" s="160"/>
      <c r="G55" s="161"/>
      <c r="H55" s="160"/>
    </row>
    <row r="56" spans="1:8">
      <c r="A56" s="152" t="s">
        <v>131</v>
      </c>
      <c r="B56" s="149"/>
      <c r="C56" s="149"/>
      <c r="D56" s="157"/>
      <c r="E56" s="161"/>
      <c r="F56" s="160"/>
      <c r="G56" s="161"/>
      <c r="H56" s="160"/>
    </row>
    <row r="57" spans="1:8">
      <c r="A57" s="149" t="s">
        <v>132</v>
      </c>
      <c r="B57" s="163">
        <f>B$15</f>
        <v>1757.7716666666665</v>
      </c>
      <c r="C57" s="149" t="s">
        <v>65</v>
      </c>
      <c r="D57" s="157">
        <v>2.5</v>
      </c>
      <c r="E57" s="161">
        <f t="shared" si="1"/>
        <v>4394.4291666666668</v>
      </c>
      <c r="F57" s="160">
        <f t="shared" si="4"/>
        <v>3.2359566764850269</v>
      </c>
      <c r="G57" s="161">
        <f t="shared" si="5"/>
        <v>5273.3149999999996</v>
      </c>
      <c r="H57" s="160">
        <f t="shared" si="0"/>
        <v>3.8831480117820321</v>
      </c>
    </row>
    <row r="58" spans="1:8">
      <c r="A58" s="149" t="s">
        <v>133</v>
      </c>
      <c r="B58" s="163">
        <f>+B8</f>
        <v>885.11916666666662</v>
      </c>
      <c r="C58" s="149" t="s">
        <v>65</v>
      </c>
      <c r="D58" s="157">
        <v>1.9</v>
      </c>
      <c r="E58" s="161">
        <f t="shared" si="1"/>
        <v>1681.7264166666664</v>
      </c>
      <c r="F58" s="160">
        <f t="shared" si="4"/>
        <v>1.2383846956308295</v>
      </c>
      <c r="G58" s="161">
        <f t="shared" si="5"/>
        <v>2018.0716999999995</v>
      </c>
      <c r="H58" s="160">
        <f t="shared" si="0"/>
        <v>1.4860616347569953</v>
      </c>
    </row>
    <row r="59" spans="1:8">
      <c r="A59" s="149" t="s">
        <v>134</v>
      </c>
      <c r="B59" s="163">
        <f>G$6</f>
        <v>872.65250000000003</v>
      </c>
      <c r="C59" s="149" t="s">
        <v>65</v>
      </c>
      <c r="D59" s="157">
        <v>1.2</v>
      </c>
      <c r="E59" s="161">
        <f t="shared" si="1"/>
        <v>1047.183</v>
      </c>
      <c r="F59" s="160">
        <f t="shared" si="4"/>
        <v>0.77112150220913112</v>
      </c>
      <c r="G59" s="161">
        <f t="shared" si="5"/>
        <v>1256.6196</v>
      </c>
      <c r="H59" s="160">
        <f t="shared" si="0"/>
        <v>0.92534580265095734</v>
      </c>
    </row>
    <row r="60" spans="1:8">
      <c r="A60" s="149" t="s">
        <v>11</v>
      </c>
      <c r="B60" s="163">
        <f>B$15</f>
        <v>1757.7716666666665</v>
      </c>
      <c r="C60" s="149" t="s">
        <v>65</v>
      </c>
      <c r="D60" s="157">
        <v>3.5</v>
      </c>
      <c r="E60" s="161">
        <f t="shared" si="1"/>
        <v>6152.2008333333324</v>
      </c>
      <c r="F60" s="160">
        <f t="shared" si="4"/>
        <v>4.5303393470790372</v>
      </c>
      <c r="G60" s="161">
        <f t="shared" si="5"/>
        <v>7382.6409999999987</v>
      </c>
      <c r="H60" s="160">
        <f t="shared" si="0"/>
        <v>5.4364072164948443</v>
      </c>
    </row>
    <row r="61" spans="1:8">
      <c r="A61" s="149" t="s">
        <v>135</v>
      </c>
      <c r="B61" s="149">
        <v>1</v>
      </c>
      <c r="C61" s="149" t="s">
        <v>57</v>
      </c>
      <c r="D61" s="157">
        <v>285</v>
      </c>
      <c r="E61" s="161">
        <f t="shared" si="1"/>
        <v>285</v>
      </c>
      <c r="F61" s="160">
        <f t="shared" si="4"/>
        <v>0.20986745213549338</v>
      </c>
      <c r="G61" s="161">
        <f t="shared" si="5"/>
        <v>342</v>
      </c>
      <c r="H61" s="160">
        <f t="shared" si="0"/>
        <v>0.25184094256259204</v>
      </c>
    </row>
    <row r="62" spans="1:8">
      <c r="A62" s="149" t="s">
        <v>2</v>
      </c>
      <c r="B62" s="149">
        <f>G13</f>
        <v>1</v>
      </c>
      <c r="C62" s="149" t="s">
        <v>136</v>
      </c>
      <c r="D62" s="157">
        <v>285</v>
      </c>
      <c r="E62" s="161">
        <f t="shared" si="1"/>
        <v>285</v>
      </c>
      <c r="F62" s="160">
        <f t="shared" si="4"/>
        <v>0.20986745213549338</v>
      </c>
      <c r="G62" s="161">
        <f t="shared" si="5"/>
        <v>342</v>
      </c>
      <c r="H62" s="160">
        <f t="shared" si="0"/>
        <v>0.25184094256259204</v>
      </c>
    </row>
    <row r="63" spans="1:8">
      <c r="A63" s="149" t="s">
        <v>137</v>
      </c>
      <c r="B63" s="149">
        <f>B$9</f>
        <v>1358</v>
      </c>
      <c r="C63" s="149" t="s">
        <v>65</v>
      </c>
      <c r="D63" s="157">
        <v>0.6</v>
      </c>
      <c r="E63" s="161">
        <f t="shared" si="1"/>
        <v>814.8</v>
      </c>
      <c r="F63" s="160">
        <f t="shared" si="4"/>
        <v>0.6</v>
      </c>
      <c r="G63" s="161">
        <f t="shared" si="5"/>
        <v>977.75999999999988</v>
      </c>
      <c r="H63" s="160">
        <f t="shared" si="0"/>
        <v>0.71999999999999986</v>
      </c>
    </row>
    <row r="64" spans="1:8">
      <c r="A64" s="149" t="s">
        <v>138</v>
      </c>
      <c r="B64" s="149">
        <f>G14</f>
        <v>9</v>
      </c>
      <c r="C64" s="149" t="s">
        <v>139</v>
      </c>
      <c r="D64" s="157">
        <v>85</v>
      </c>
      <c r="E64" s="161">
        <f t="shared" si="1"/>
        <v>765</v>
      </c>
      <c r="F64" s="160">
        <f t="shared" si="4"/>
        <v>0.56332842415316642</v>
      </c>
      <c r="G64" s="161">
        <f t="shared" si="5"/>
        <v>918</v>
      </c>
      <c r="H64" s="160">
        <f t="shared" si="0"/>
        <v>0.67599410898379975</v>
      </c>
    </row>
    <row r="65" spans="1:8">
      <c r="A65" s="149" t="s">
        <v>140</v>
      </c>
      <c r="B65" s="149">
        <f>B$9</f>
        <v>1358</v>
      </c>
      <c r="C65" s="149" t="s">
        <v>65</v>
      </c>
      <c r="D65" s="157">
        <v>0.6</v>
      </c>
      <c r="E65" s="161">
        <f t="shared" si="1"/>
        <v>814.8</v>
      </c>
      <c r="F65" s="160">
        <f t="shared" si="4"/>
        <v>0.6</v>
      </c>
      <c r="G65" s="161">
        <f>+D65*B65*AdjRate</f>
        <v>977.75999999999988</v>
      </c>
      <c r="H65" s="160">
        <f t="shared" si="0"/>
        <v>0.71999999999999986</v>
      </c>
    </row>
    <row r="66" spans="1:8">
      <c r="A66" s="149" t="s">
        <v>141</v>
      </c>
      <c r="B66" s="149">
        <v>33</v>
      </c>
      <c r="C66" s="149" t="s">
        <v>63</v>
      </c>
      <c r="D66" s="157">
        <v>60</v>
      </c>
      <c r="E66" s="161">
        <f t="shared" si="1"/>
        <v>1980</v>
      </c>
      <c r="F66" s="160">
        <f t="shared" si="4"/>
        <v>1.4580265095729013</v>
      </c>
      <c r="G66" s="161">
        <f>+D66*B66*AdjRate</f>
        <v>2376</v>
      </c>
      <c r="H66" s="160">
        <f t="shared" si="0"/>
        <v>1.7496318114874816</v>
      </c>
    </row>
    <row r="67" spans="1:8">
      <c r="A67" s="149" t="s">
        <v>142</v>
      </c>
      <c r="B67" s="149">
        <v>16</v>
      </c>
      <c r="C67" s="149" t="s">
        <v>63</v>
      </c>
      <c r="D67" s="157">
        <v>30</v>
      </c>
      <c r="E67" s="161">
        <f t="shared" si="1"/>
        <v>480</v>
      </c>
      <c r="F67" s="160">
        <f t="shared" si="4"/>
        <v>0.35346097201767307</v>
      </c>
      <c r="G67" s="161">
        <f>+E67*AdjRate</f>
        <v>576</v>
      </c>
      <c r="H67" s="160">
        <f t="shared" si="0"/>
        <v>0.42415316642120765</v>
      </c>
    </row>
    <row r="68" spans="1:8">
      <c r="A68" s="149"/>
      <c r="B68" s="149"/>
      <c r="C68" s="149"/>
      <c r="D68" s="157"/>
      <c r="E68" s="161"/>
      <c r="F68" s="160"/>
      <c r="G68" s="161"/>
      <c r="H68" s="160"/>
    </row>
    <row r="69" spans="1:8">
      <c r="A69" s="152" t="s">
        <v>143</v>
      </c>
      <c r="B69" s="149"/>
      <c r="C69" s="149"/>
      <c r="D69" s="157"/>
      <c r="E69" s="161"/>
      <c r="F69" s="160"/>
      <c r="G69" s="161"/>
      <c r="H69" s="160"/>
    </row>
    <row r="70" spans="1:8">
      <c r="A70" s="149" t="s">
        <v>1</v>
      </c>
      <c r="B70" s="149">
        <f>G12</f>
        <v>9</v>
      </c>
      <c r="C70" s="149" t="s">
        <v>144</v>
      </c>
      <c r="D70" s="157">
        <v>85</v>
      </c>
      <c r="E70" s="161">
        <f t="shared" si="1"/>
        <v>765</v>
      </c>
      <c r="F70" s="160">
        <f t="shared" si="4"/>
        <v>0.56332842415316642</v>
      </c>
      <c r="G70" s="161">
        <f>+D70*B70*AdjRate</f>
        <v>918</v>
      </c>
      <c r="H70" s="160">
        <f t="shared" si="0"/>
        <v>0.67599410898379975</v>
      </c>
    </row>
    <row r="71" spans="1:8">
      <c r="A71" s="149" t="s">
        <v>145</v>
      </c>
      <c r="B71" s="149">
        <v>0</v>
      </c>
      <c r="C71" s="149" t="s">
        <v>57</v>
      </c>
      <c r="D71" s="157">
        <v>0</v>
      </c>
      <c r="E71" s="161">
        <f t="shared" si="1"/>
        <v>0</v>
      </c>
      <c r="F71" s="160">
        <f t="shared" si="4"/>
        <v>0</v>
      </c>
      <c r="G71" s="161">
        <f>+D71*B71*AdjRate</f>
        <v>0</v>
      </c>
      <c r="H71" s="160">
        <f t="shared" si="0"/>
        <v>0</v>
      </c>
    </row>
    <row r="72" spans="1:8">
      <c r="A72" s="149" t="s">
        <v>146</v>
      </c>
      <c r="B72" s="149">
        <v>36</v>
      </c>
      <c r="C72" s="149" t="s">
        <v>65</v>
      </c>
      <c r="D72" s="157">
        <v>5</v>
      </c>
      <c r="E72" s="161">
        <f t="shared" si="1"/>
        <v>180</v>
      </c>
      <c r="F72" s="160">
        <f t="shared" si="4"/>
        <v>0.13254786450662739</v>
      </c>
      <c r="G72" s="161">
        <f>+E72*AdjRate</f>
        <v>216</v>
      </c>
      <c r="H72" s="160">
        <f t="shared" si="0"/>
        <v>0.15905743740795286</v>
      </c>
    </row>
    <row r="73" spans="1:8">
      <c r="A73" s="149"/>
      <c r="B73" s="149"/>
      <c r="C73" s="149"/>
      <c r="D73" s="157"/>
      <c r="E73" s="161"/>
      <c r="F73" s="160"/>
      <c r="G73" s="161"/>
      <c r="H73" s="160"/>
    </row>
    <row r="74" spans="1:8">
      <c r="A74" s="152" t="s">
        <v>147</v>
      </c>
      <c r="B74" s="149"/>
      <c r="C74" s="149"/>
      <c r="D74" s="157"/>
      <c r="E74" s="161"/>
      <c r="F74" s="160"/>
      <c r="G74" s="161"/>
      <c r="H74" s="160"/>
    </row>
    <row r="75" spans="1:8">
      <c r="A75" s="149" t="s">
        <v>148</v>
      </c>
      <c r="B75" s="149">
        <f>B9*1.3/100</f>
        <v>17.654</v>
      </c>
      <c r="C75" s="149" t="s">
        <v>149</v>
      </c>
      <c r="D75" s="157">
        <v>52</v>
      </c>
      <c r="E75" s="161">
        <f t="shared" si="1"/>
        <v>918.00800000000004</v>
      </c>
      <c r="F75" s="160">
        <f t="shared" si="4"/>
        <v>0.67600000000000005</v>
      </c>
      <c r="G75" s="161">
        <f>+E75*AdjRate</f>
        <v>1101.6096</v>
      </c>
      <c r="H75" s="160">
        <f t="shared" si="0"/>
        <v>0.81120000000000003</v>
      </c>
    </row>
    <row r="76" spans="1:8">
      <c r="A76" s="149" t="s">
        <v>150</v>
      </c>
      <c r="B76" s="149">
        <v>1</v>
      </c>
      <c r="C76" s="149" t="s">
        <v>57</v>
      </c>
      <c r="D76" s="157">
        <v>200</v>
      </c>
      <c r="E76" s="161">
        <f t="shared" si="1"/>
        <v>200</v>
      </c>
      <c r="F76" s="160">
        <f t="shared" si="4"/>
        <v>0.14727540500736377</v>
      </c>
      <c r="G76" s="161">
        <f>+D76*B76*AdjRate</f>
        <v>240</v>
      </c>
      <c r="H76" s="160">
        <f t="shared" si="0"/>
        <v>0.17673048600883653</v>
      </c>
    </row>
    <row r="77" spans="1:8">
      <c r="A77" s="149" t="s">
        <v>151</v>
      </c>
      <c r="B77" s="149">
        <f>B$9</f>
        <v>1358</v>
      </c>
      <c r="C77" s="149" t="s">
        <v>65</v>
      </c>
      <c r="D77" s="157">
        <v>0.75</v>
      </c>
      <c r="E77" s="161">
        <f t="shared" si="1"/>
        <v>1018.5</v>
      </c>
      <c r="F77" s="160">
        <f t="shared" si="4"/>
        <v>0.75</v>
      </c>
      <c r="G77" s="161">
        <f>+D77*B77*AdjRate</f>
        <v>1222.2</v>
      </c>
      <c r="H77" s="160">
        <f t="shared" si="0"/>
        <v>0.9</v>
      </c>
    </row>
    <row r="78" spans="1:8">
      <c r="A78" s="149" t="s">
        <v>15</v>
      </c>
      <c r="B78" s="149">
        <f>B$9</f>
        <v>1358</v>
      </c>
      <c r="C78" s="149" t="s">
        <v>65</v>
      </c>
      <c r="D78" s="157">
        <v>3</v>
      </c>
      <c r="E78" s="161">
        <f t="shared" si="1"/>
        <v>4074</v>
      </c>
      <c r="F78" s="160">
        <f t="shared" si="4"/>
        <v>3</v>
      </c>
      <c r="G78" s="161">
        <f t="shared" ref="G78:G89" si="6">+E78*AdjRate</f>
        <v>4888.8</v>
      </c>
      <c r="H78" s="160">
        <f t="shared" si="0"/>
        <v>3.6</v>
      </c>
    </row>
    <row r="79" spans="1:8">
      <c r="A79" s="149"/>
      <c r="B79" s="149"/>
      <c r="C79" s="149"/>
      <c r="D79" s="157"/>
      <c r="E79" s="161"/>
      <c r="F79" s="160"/>
      <c r="G79" s="161"/>
      <c r="H79" s="160"/>
    </row>
    <row r="80" spans="1:8">
      <c r="A80" s="152" t="s">
        <v>98</v>
      </c>
      <c r="B80" s="149"/>
      <c r="C80" s="149"/>
      <c r="D80" s="157"/>
      <c r="E80" s="161"/>
      <c r="F80" s="160"/>
      <c r="G80" s="161"/>
      <c r="H80" s="160"/>
    </row>
    <row r="81" spans="1:8">
      <c r="A81" s="149" t="s">
        <v>152</v>
      </c>
      <c r="B81" s="149">
        <f>+G5</f>
        <v>315</v>
      </c>
      <c r="C81" s="149"/>
      <c r="D81" s="157">
        <v>5.5</v>
      </c>
      <c r="E81" s="161">
        <f t="shared" ref="E81:E105" si="7">D81*B81</f>
        <v>1732.5</v>
      </c>
      <c r="F81" s="160">
        <f t="shared" si="4"/>
        <v>1.2757731958762886</v>
      </c>
      <c r="G81" s="161">
        <f t="shared" si="6"/>
        <v>2079</v>
      </c>
      <c r="H81" s="160">
        <f t="shared" si="0"/>
        <v>1.5309278350515463</v>
      </c>
    </row>
    <row r="82" spans="1:8">
      <c r="A82" s="149" t="s">
        <v>153</v>
      </c>
      <c r="B82" s="149">
        <f>B$9</f>
        <v>1358</v>
      </c>
      <c r="C82" s="149"/>
      <c r="D82" s="157">
        <v>2</v>
      </c>
      <c r="E82" s="161">
        <f t="shared" si="7"/>
        <v>2716</v>
      </c>
      <c r="F82" s="160">
        <f t="shared" si="4"/>
        <v>2</v>
      </c>
      <c r="G82" s="161">
        <f t="shared" si="6"/>
        <v>3259.2</v>
      </c>
      <c r="H82" s="160">
        <f t="shared" ref="H82:H95" si="8">+G82/B$9</f>
        <v>2.4</v>
      </c>
    </row>
    <row r="83" spans="1:8">
      <c r="A83" s="149" t="s">
        <v>154</v>
      </c>
      <c r="B83" s="168">
        <f>B$15</f>
        <v>1757.7716666666665</v>
      </c>
      <c r="C83" s="149"/>
      <c r="D83" s="157">
        <v>0.6</v>
      </c>
      <c r="E83" s="161">
        <f t="shared" si="7"/>
        <v>1054.6629999999998</v>
      </c>
      <c r="F83" s="160">
        <f t="shared" si="4"/>
        <v>0.77662960235640632</v>
      </c>
      <c r="G83" s="161">
        <f t="shared" si="6"/>
        <v>1265.5955999999996</v>
      </c>
      <c r="H83" s="160">
        <f t="shared" si="8"/>
        <v>0.93195552282768757</v>
      </c>
    </row>
    <row r="84" spans="1:8">
      <c r="A84" s="149" t="s">
        <v>155</v>
      </c>
      <c r="B84" s="168">
        <v>48</v>
      </c>
      <c r="C84" s="149" t="s">
        <v>65</v>
      </c>
      <c r="D84" s="157">
        <v>5.5</v>
      </c>
      <c r="E84" s="161">
        <f t="shared" si="7"/>
        <v>264</v>
      </c>
      <c r="F84" s="160">
        <f t="shared" si="4"/>
        <v>0.19440353460972018</v>
      </c>
      <c r="G84" s="161">
        <f t="shared" si="6"/>
        <v>316.8</v>
      </c>
      <c r="H84" s="160">
        <f t="shared" si="8"/>
        <v>0.23328424153166422</v>
      </c>
    </row>
    <row r="85" spans="1:8">
      <c r="A85" s="149" t="s">
        <v>156</v>
      </c>
      <c r="B85" s="168">
        <f>(B9-35-150-150-100)/9</f>
        <v>102.55555555555556</v>
      </c>
      <c r="C85" s="149" t="s">
        <v>157</v>
      </c>
      <c r="D85" s="157">
        <v>15</v>
      </c>
      <c r="E85" s="161">
        <f t="shared" si="7"/>
        <v>1538.3333333333333</v>
      </c>
      <c r="F85" s="160">
        <f t="shared" si="4"/>
        <v>1.132793323514973</v>
      </c>
      <c r="G85" s="161">
        <f t="shared" si="6"/>
        <v>1845.9999999999998</v>
      </c>
      <c r="H85" s="160">
        <f t="shared" si="8"/>
        <v>1.3593519882179674</v>
      </c>
    </row>
    <row r="86" spans="1:8">
      <c r="A86" s="149" t="s">
        <v>158</v>
      </c>
      <c r="B86" s="168">
        <v>27</v>
      </c>
      <c r="C86" s="149" t="s">
        <v>63</v>
      </c>
      <c r="D86" s="157">
        <v>24</v>
      </c>
      <c r="E86" s="161">
        <f t="shared" si="7"/>
        <v>648</v>
      </c>
      <c r="F86" s="160">
        <f t="shared" si="4"/>
        <v>0.47717231222385864</v>
      </c>
      <c r="G86" s="161">
        <f t="shared" si="6"/>
        <v>777.6</v>
      </c>
      <c r="H86" s="160">
        <f t="shared" si="8"/>
        <v>0.5726067746686303</v>
      </c>
    </row>
    <row r="87" spans="1:8">
      <c r="A87" s="149" t="s">
        <v>159</v>
      </c>
      <c r="B87" s="168">
        <v>9</v>
      </c>
      <c r="C87" s="149" t="s">
        <v>63</v>
      </c>
      <c r="D87" s="157">
        <v>24</v>
      </c>
      <c r="E87" s="161">
        <f t="shared" si="7"/>
        <v>216</v>
      </c>
      <c r="F87" s="160">
        <f t="shared" si="4"/>
        <v>0.15905743740795286</v>
      </c>
      <c r="G87" s="161">
        <f t="shared" si="6"/>
        <v>259.2</v>
      </c>
      <c r="H87" s="160">
        <f t="shared" si="8"/>
        <v>0.19086892488954343</v>
      </c>
    </row>
    <row r="88" spans="1:8">
      <c r="A88" s="149" t="s">
        <v>160</v>
      </c>
      <c r="B88" s="168">
        <v>2</v>
      </c>
      <c r="C88" s="149" t="s">
        <v>161</v>
      </c>
      <c r="D88" s="157">
        <v>40</v>
      </c>
      <c r="E88" s="161">
        <f t="shared" si="7"/>
        <v>80</v>
      </c>
      <c r="F88" s="160">
        <f t="shared" si="4"/>
        <v>5.8910162002945507E-2</v>
      </c>
      <c r="G88" s="161">
        <f t="shared" si="6"/>
        <v>96</v>
      </c>
      <c r="H88" s="160">
        <f t="shared" si="8"/>
        <v>7.0692194403534608E-2</v>
      </c>
    </row>
    <row r="89" spans="1:8">
      <c r="A89" s="149" t="s">
        <v>162</v>
      </c>
      <c r="B89" s="168">
        <v>0</v>
      </c>
      <c r="C89" s="149" t="s">
        <v>163</v>
      </c>
      <c r="D89" s="157">
        <v>750</v>
      </c>
      <c r="E89" s="161">
        <f t="shared" si="7"/>
        <v>0</v>
      </c>
      <c r="F89" s="160">
        <f t="shared" si="4"/>
        <v>0</v>
      </c>
      <c r="G89" s="161">
        <f t="shared" si="6"/>
        <v>0</v>
      </c>
      <c r="H89" s="160">
        <f t="shared" si="8"/>
        <v>0</v>
      </c>
    </row>
    <row r="90" spans="1:8">
      <c r="A90" s="149" t="s">
        <v>164</v>
      </c>
      <c r="B90" s="168">
        <v>1</v>
      </c>
      <c r="C90" s="149" t="s">
        <v>163</v>
      </c>
      <c r="D90" s="157">
        <v>300</v>
      </c>
      <c r="E90" s="161">
        <f t="shared" si="7"/>
        <v>300</v>
      </c>
      <c r="F90" s="160">
        <f t="shared" si="4"/>
        <v>0.22091310751104565</v>
      </c>
      <c r="G90" s="161">
        <f>+D90*B90*AdjRate</f>
        <v>360</v>
      </c>
      <c r="H90" s="160">
        <f t="shared" si="8"/>
        <v>0.26509572901325479</v>
      </c>
    </row>
    <row r="91" spans="1:8">
      <c r="A91" s="149" t="s">
        <v>165</v>
      </c>
      <c r="B91" s="168">
        <f>G12</f>
        <v>9</v>
      </c>
      <c r="C91" s="149" t="s">
        <v>166</v>
      </c>
      <c r="D91" s="157">
        <v>35</v>
      </c>
      <c r="E91" s="161">
        <f t="shared" si="7"/>
        <v>315</v>
      </c>
      <c r="F91" s="160">
        <f t="shared" si="4"/>
        <v>0.23195876288659795</v>
      </c>
      <c r="G91" s="161">
        <f>+D91*B91*AdjRate</f>
        <v>378</v>
      </c>
      <c r="H91" s="160">
        <f t="shared" si="8"/>
        <v>0.27835051546391754</v>
      </c>
    </row>
    <row r="92" spans="1:8">
      <c r="A92" s="149" t="s">
        <v>167</v>
      </c>
      <c r="B92" s="168">
        <v>0</v>
      </c>
      <c r="C92" s="149" t="s">
        <v>57</v>
      </c>
      <c r="D92" s="157">
        <v>0</v>
      </c>
      <c r="E92" s="161">
        <f t="shared" si="7"/>
        <v>0</v>
      </c>
      <c r="F92" s="160">
        <f t="shared" si="4"/>
        <v>0</v>
      </c>
      <c r="G92" s="161">
        <f>+E92*AdjRate</f>
        <v>0</v>
      </c>
      <c r="H92" s="160">
        <f t="shared" si="8"/>
        <v>0</v>
      </c>
    </row>
    <row r="93" spans="1:8">
      <c r="A93" s="149"/>
      <c r="B93" s="168"/>
      <c r="C93" s="149"/>
      <c r="D93" s="157"/>
      <c r="E93" s="161"/>
      <c r="F93" s="160"/>
      <c r="G93" s="161"/>
      <c r="H93" s="160"/>
    </row>
    <row r="94" spans="1:8">
      <c r="A94" s="152" t="s">
        <v>168</v>
      </c>
      <c r="B94" s="168"/>
      <c r="C94" s="149"/>
      <c r="D94" s="157"/>
      <c r="E94" s="161"/>
      <c r="F94" s="160"/>
      <c r="G94" s="161"/>
      <c r="H94" s="160"/>
    </row>
    <row r="95" spans="1:8">
      <c r="A95" s="149" t="s">
        <v>4</v>
      </c>
      <c r="B95" s="168">
        <v>1</v>
      </c>
      <c r="C95" s="149" t="s">
        <v>57</v>
      </c>
      <c r="D95" s="157">
        <v>500</v>
      </c>
      <c r="E95" s="161">
        <f t="shared" si="7"/>
        <v>500</v>
      </c>
      <c r="F95" s="160">
        <f t="shared" si="4"/>
        <v>0.36818851251840945</v>
      </c>
      <c r="G95" s="161">
        <f>+D95*B95*AdjRate</f>
        <v>600</v>
      </c>
      <c r="H95" s="160">
        <f t="shared" si="8"/>
        <v>0.4418262150220913</v>
      </c>
    </row>
    <row r="96" spans="1:8">
      <c r="A96" s="149" t="s">
        <v>169</v>
      </c>
      <c r="B96" s="168">
        <v>0</v>
      </c>
      <c r="C96" s="149" t="s">
        <v>66</v>
      </c>
      <c r="D96" s="157">
        <v>650</v>
      </c>
      <c r="E96" s="161">
        <f t="shared" si="7"/>
        <v>0</v>
      </c>
      <c r="F96" s="160">
        <f t="shared" si="4"/>
        <v>0</v>
      </c>
      <c r="G96" s="161">
        <f>+D96*B96*AdjRate</f>
        <v>0</v>
      </c>
      <c r="H96" s="160">
        <f>+G96/B$9</f>
        <v>0</v>
      </c>
    </row>
    <row r="97" spans="1:8">
      <c r="A97" s="149" t="s">
        <v>170</v>
      </c>
      <c r="B97" s="168">
        <v>1</v>
      </c>
      <c r="C97" s="149" t="s">
        <v>171</v>
      </c>
      <c r="D97" s="157">
        <v>700</v>
      </c>
      <c r="E97" s="161">
        <f t="shared" si="7"/>
        <v>700</v>
      </c>
      <c r="F97" s="160">
        <f t="shared" si="4"/>
        <v>0.51546391752577314</v>
      </c>
      <c r="G97" s="161">
        <f>+E97*AdjRate</f>
        <v>840</v>
      </c>
      <c r="H97" s="160">
        <f t="shared" ref="H97:H110" si="9">+G97/B$9</f>
        <v>0.61855670103092786</v>
      </c>
    </row>
    <row r="98" spans="1:8">
      <c r="A98" s="149"/>
      <c r="B98" s="168"/>
      <c r="C98" s="149"/>
      <c r="D98" s="157"/>
      <c r="E98" s="161"/>
      <c r="F98" s="160"/>
      <c r="G98" s="161"/>
      <c r="H98" s="160"/>
    </row>
    <row r="99" spans="1:8">
      <c r="A99" s="152" t="s">
        <v>172</v>
      </c>
      <c r="B99" s="168"/>
      <c r="C99" s="149"/>
      <c r="D99" s="157"/>
      <c r="E99" s="161"/>
      <c r="F99" s="160"/>
      <c r="G99" s="161"/>
      <c r="H99" s="160"/>
    </row>
    <row r="100" spans="1:8">
      <c r="A100" s="149" t="s">
        <v>173</v>
      </c>
      <c r="B100" s="168">
        <f>B$15</f>
        <v>1757.7716666666665</v>
      </c>
      <c r="C100" s="149" t="s">
        <v>65</v>
      </c>
      <c r="D100" s="157">
        <v>2.25</v>
      </c>
      <c r="E100" s="161">
        <f t="shared" si="7"/>
        <v>3954.9862499999999</v>
      </c>
      <c r="F100" s="160">
        <f t="shared" si="4"/>
        <v>2.9123610088365242</v>
      </c>
      <c r="G100" s="161">
        <f>+D100*B100*AdjRate</f>
        <v>4745.9834999999994</v>
      </c>
      <c r="H100" s="160">
        <f t="shared" si="9"/>
        <v>3.4948332106038289</v>
      </c>
    </row>
    <row r="101" spans="1:8">
      <c r="A101" s="149" t="s">
        <v>174</v>
      </c>
      <c r="B101" s="149">
        <v>1</v>
      </c>
      <c r="C101" s="149" t="s">
        <v>57</v>
      </c>
      <c r="D101" s="157">
        <v>750</v>
      </c>
      <c r="E101" s="161">
        <f t="shared" si="7"/>
        <v>750</v>
      </c>
      <c r="F101" s="160">
        <f t="shared" si="4"/>
        <v>0.55228276877761417</v>
      </c>
      <c r="G101" s="161">
        <f>+D101*B101*AdjRate</f>
        <v>900</v>
      </c>
      <c r="H101" s="160">
        <f t="shared" si="9"/>
        <v>0.66273932253313694</v>
      </c>
    </row>
    <row r="102" spans="1:8">
      <c r="A102" s="149" t="s">
        <v>175</v>
      </c>
      <c r="B102" s="149">
        <v>1</v>
      </c>
      <c r="C102" s="149" t="s">
        <v>57</v>
      </c>
      <c r="D102" s="157">
        <v>150</v>
      </c>
      <c r="E102" s="161">
        <f t="shared" si="7"/>
        <v>150</v>
      </c>
      <c r="F102" s="160">
        <f t="shared" si="4"/>
        <v>0.11045655375552282</v>
      </c>
      <c r="G102" s="161">
        <f t="shared" ref="G102:G107" si="10">+E102*AdjRate</f>
        <v>180</v>
      </c>
      <c r="H102" s="160">
        <f t="shared" si="9"/>
        <v>0.13254786450662739</v>
      </c>
    </row>
    <row r="103" spans="1:8">
      <c r="A103" s="149"/>
      <c r="B103" s="149"/>
      <c r="C103" s="149"/>
      <c r="D103" s="157"/>
      <c r="E103" s="161"/>
      <c r="F103" s="160"/>
      <c r="G103" s="161"/>
      <c r="H103" s="160"/>
    </row>
    <row r="104" spans="1:8">
      <c r="A104" s="152" t="s">
        <v>176</v>
      </c>
      <c r="B104" s="149"/>
      <c r="C104" s="149"/>
      <c r="D104" s="157"/>
      <c r="E104" s="161"/>
      <c r="F104" s="160"/>
      <c r="G104" s="161"/>
      <c r="H104" s="160"/>
    </row>
    <row r="105" spans="1:8">
      <c r="A105" s="149" t="s">
        <v>177</v>
      </c>
      <c r="B105" s="149">
        <v>1</v>
      </c>
      <c r="C105" s="149" t="s">
        <v>57</v>
      </c>
      <c r="D105" s="157">
        <v>4200</v>
      </c>
      <c r="E105" s="161">
        <f t="shared" si="7"/>
        <v>4200</v>
      </c>
      <c r="F105" s="160">
        <f t="shared" si="4"/>
        <v>3.0927835051546393</v>
      </c>
      <c r="G105" s="161">
        <f t="shared" si="10"/>
        <v>5040</v>
      </c>
      <c r="H105" s="160">
        <f t="shared" si="9"/>
        <v>3.7113402061855671</v>
      </c>
    </row>
    <row r="106" spans="1:8">
      <c r="A106" s="149" t="s">
        <v>195</v>
      </c>
      <c r="B106" s="149">
        <v>25</v>
      </c>
      <c r="C106" s="149" t="s">
        <v>63</v>
      </c>
      <c r="D106" s="157">
        <v>15</v>
      </c>
      <c r="E106" s="161">
        <f>D106*B106</f>
        <v>375</v>
      </c>
      <c r="F106" s="160">
        <f t="shared" si="4"/>
        <v>0.27614138438880709</v>
      </c>
      <c r="G106" s="161">
        <f t="shared" si="10"/>
        <v>450</v>
      </c>
      <c r="H106" s="160">
        <f>+G106/B$9</f>
        <v>0.33136966126656847</v>
      </c>
    </row>
    <row r="107" spans="1:8">
      <c r="A107" s="149" t="s">
        <v>178</v>
      </c>
      <c r="B107" s="149">
        <v>1</v>
      </c>
      <c r="C107" s="149" t="s">
        <v>57</v>
      </c>
      <c r="D107" s="157">
        <v>2000</v>
      </c>
      <c r="E107" s="161">
        <f>D107*B107</f>
        <v>2000</v>
      </c>
      <c r="F107" s="160">
        <f t="shared" si="4"/>
        <v>1.4727540500736378</v>
      </c>
      <c r="G107" s="161">
        <f t="shared" si="10"/>
        <v>2400</v>
      </c>
      <c r="H107" s="160">
        <f>+G107/B$9</f>
        <v>1.7673048600883652</v>
      </c>
    </row>
    <row r="108" spans="1:8">
      <c r="A108" s="149" t="s">
        <v>197</v>
      </c>
      <c r="B108" s="149">
        <v>1</v>
      </c>
      <c r="C108" s="149" t="s">
        <v>57</v>
      </c>
      <c r="D108" s="157">
        <v>990</v>
      </c>
      <c r="E108" s="161">
        <f>D108*B108</f>
        <v>990</v>
      </c>
      <c r="F108" s="160">
        <f t="shared" si="4"/>
        <v>0.72901325478645063</v>
      </c>
      <c r="G108" s="161">
        <f>+D108*B108*AdjRate</f>
        <v>1188</v>
      </c>
      <c r="H108" s="160">
        <f t="shared" si="9"/>
        <v>0.8748159057437408</v>
      </c>
    </row>
    <row r="109" spans="1:8">
      <c r="A109" s="149" t="s">
        <v>3</v>
      </c>
      <c r="B109" s="149">
        <f>B$9</f>
        <v>1358</v>
      </c>
      <c r="C109" s="149" t="s">
        <v>57</v>
      </c>
      <c r="D109" s="157">
        <v>2.85</v>
      </c>
      <c r="E109" s="161">
        <f>D109*B109</f>
        <v>3870.3</v>
      </c>
      <c r="F109" s="160">
        <f t="shared" si="4"/>
        <v>2.85</v>
      </c>
      <c r="G109" s="161">
        <f>+D109*B109*AdjRate</f>
        <v>4644.3599999999997</v>
      </c>
      <c r="H109" s="160">
        <f t="shared" si="9"/>
        <v>3.42</v>
      </c>
    </row>
    <row r="110" spans="1:8">
      <c r="A110" s="149" t="s">
        <v>9</v>
      </c>
      <c r="B110" s="149">
        <f>ConstTime</f>
        <v>6</v>
      </c>
      <c r="C110" s="149" t="s">
        <v>77</v>
      </c>
      <c r="D110" s="157">
        <f>((1000*52)/12+250+100)/4</f>
        <v>1170.8333333333333</v>
      </c>
      <c r="E110" s="161">
        <f>D110*B110</f>
        <v>7025</v>
      </c>
      <c r="F110" s="160">
        <f t="shared" si="4"/>
        <v>5.1730486008836527</v>
      </c>
      <c r="G110" s="161">
        <f>+(D110*B110)*AdjRate</f>
        <v>8430</v>
      </c>
      <c r="H110" s="160">
        <f t="shared" si="9"/>
        <v>6.2076583210603831</v>
      </c>
    </row>
    <row r="111" spans="1:8" ht="13.5" thickBot="1">
      <c r="A111" s="156" t="s">
        <v>241</v>
      </c>
      <c r="B111" s="156"/>
      <c r="C111" s="156"/>
      <c r="D111" s="156"/>
      <c r="E111" s="158">
        <f>SUM(E18:E110)</f>
        <v>68545.379750000007</v>
      </c>
      <c r="F111" s="159">
        <f t="shared" si="4"/>
        <v>50.475242820324013</v>
      </c>
      <c r="G111" s="158">
        <f>SUM(G18:G110)</f>
        <v>82254.455699999991</v>
      </c>
      <c r="H111" s="159">
        <f>SUM(H18:H110)</f>
        <v>60.570291384388788</v>
      </c>
    </row>
    <row r="112" spans="1:8" ht="13.5" thickTop="1">
      <c r="A112" s="149"/>
      <c r="B112" s="149"/>
      <c r="C112" s="149"/>
      <c r="D112" s="149"/>
      <c r="E112" s="161">
        <f>+G111-E111</f>
        <v>13709.075949999984</v>
      </c>
      <c r="F112" s="161"/>
      <c r="G112" s="149"/>
      <c r="H112" s="149"/>
    </row>
    <row r="113" spans="4:6">
      <c r="D113" s="5"/>
      <c r="E113" s="5"/>
      <c r="F113" s="5"/>
    </row>
    <row r="114" spans="4:6">
      <c r="D114" s="5"/>
      <c r="E114" s="5"/>
      <c r="F114" s="5"/>
    </row>
    <row r="115" spans="4:6">
      <c r="D115" s="5"/>
      <c r="E115" s="5"/>
      <c r="F115" s="5"/>
    </row>
    <row r="116" spans="4:6">
      <c r="D116" s="5"/>
      <c r="E116" s="5"/>
      <c r="F116" s="5"/>
    </row>
    <row r="117" spans="4:6">
      <c r="D117" s="5"/>
      <c r="E117" s="5"/>
      <c r="F117" s="5"/>
    </row>
    <row r="118" spans="4:6">
      <c r="D118" s="5"/>
      <c r="E118" s="5"/>
      <c r="F118" s="5"/>
    </row>
    <row r="119" spans="4:6">
      <c r="D119" s="5"/>
      <c r="E119" s="5"/>
      <c r="F119" s="5"/>
    </row>
    <row r="120" spans="4:6">
      <c r="D120" s="5"/>
      <c r="E120" s="5"/>
      <c r="F120" s="5"/>
    </row>
    <row r="121" spans="4:6">
      <c r="D121" s="5"/>
      <c r="E121" s="5"/>
      <c r="F121" s="5"/>
    </row>
    <row r="122" spans="4:6">
      <c r="D122" s="5"/>
      <c r="E122" s="5"/>
      <c r="F122" s="5"/>
    </row>
    <row r="123" spans="4:6">
      <c r="D123" s="5"/>
      <c r="E123" s="5"/>
      <c r="F123" s="5"/>
    </row>
    <row r="124" spans="4:6">
      <c r="D124" s="5"/>
      <c r="E124" s="5"/>
      <c r="F124" s="5"/>
    </row>
    <row r="125" spans="4:6">
      <c r="D125" s="5"/>
      <c r="E125" s="5"/>
      <c r="F125" s="5"/>
    </row>
    <row r="126" spans="4:6">
      <c r="D126" s="5"/>
      <c r="E126" s="5"/>
      <c r="F126" s="5"/>
    </row>
    <row r="127" spans="4:6">
      <c r="D127" s="5"/>
      <c r="E127" s="5"/>
      <c r="F127" s="5"/>
    </row>
    <row r="128" spans="4:6">
      <c r="D128" s="5"/>
      <c r="E128" s="5"/>
      <c r="F128" s="5"/>
    </row>
    <row r="129" spans="4:6">
      <c r="D129" s="5"/>
      <c r="E129" s="5"/>
      <c r="F129" s="5"/>
    </row>
    <row r="130" spans="4:6">
      <c r="D130" s="5"/>
      <c r="E130" s="5"/>
      <c r="F130" s="5"/>
    </row>
    <row r="131" spans="4:6">
      <c r="D131" s="5"/>
      <c r="E131" s="5"/>
      <c r="F131" s="5"/>
    </row>
    <row r="132" spans="4:6">
      <c r="D132" s="5"/>
      <c r="E132" s="5"/>
      <c r="F132" s="5"/>
    </row>
    <row r="133" spans="4:6">
      <c r="D133" s="5"/>
      <c r="E133" s="5"/>
      <c r="F133" s="5"/>
    </row>
    <row r="134" spans="4:6">
      <c r="D134" s="5"/>
      <c r="E134" s="5"/>
      <c r="F134" s="5"/>
    </row>
    <row r="135" spans="4:6">
      <c r="D135" s="5"/>
      <c r="E135" s="5"/>
      <c r="F135" s="5"/>
    </row>
    <row r="136" spans="4:6">
      <c r="D136" s="5"/>
      <c r="E136" s="5"/>
      <c r="F136" s="5"/>
    </row>
    <row r="137" spans="4:6">
      <c r="D137" s="5"/>
      <c r="E137" s="5"/>
      <c r="F137" s="5"/>
    </row>
    <row r="138" spans="4:6">
      <c r="D138" s="5"/>
      <c r="E138" s="5"/>
      <c r="F138" s="5"/>
    </row>
    <row r="139" spans="4:6">
      <c r="D139" s="5"/>
      <c r="E139" s="5"/>
      <c r="F139" s="5"/>
    </row>
    <row r="140" spans="4:6">
      <c r="D140" s="5"/>
      <c r="E140" s="5"/>
      <c r="F140" s="5"/>
    </row>
    <row r="141" spans="4:6">
      <c r="D141" s="5"/>
      <c r="E141" s="5"/>
      <c r="F141" s="5"/>
    </row>
    <row r="142" spans="4:6">
      <c r="D142" s="5"/>
      <c r="E142" s="5"/>
      <c r="F142" s="5"/>
    </row>
  </sheetData>
  <mergeCells count="1">
    <mergeCell ref="A1:H1"/>
  </mergeCells>
  <phoneticPr fontId="3" type="noConversion"/>
  <printOptions horizontalCentered="1"/>
  <pageMargins left="0.25" right="0.25" top="1" bottom="1" header="0.5" footer="0.5"/>
  <pageSetup scale="80" fitToHeight="2" orientation="portrait" horizontalDpi="300" verticalDpi="300" r:id="rId1"/>
  <headerFooter alignWithMargins="0">
    <oddHeader>&amp;C&amp;"Garamond,Bold"&amp;12WESTGATE &amp;&amp; CAMERON LOOP
96 CONDOMINIUMS</oddHeader>
    <oddFooter>&amp;L&amp;"Garamond,Regular"&amp;8&amp;F&amp;C&amp;"Garamond,Regular"&amp;8&amp;P Of &amp;N&amp;R&amp;"Garamond,Regular"&amp;8&amp;D</oddFooter>
  </headerFooter>
  <colBreaks count="1" manualBreakCount="1">
    <brk id="8"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I142"/>
  <sheetViews>
    <sheetView zoomScaleNormal="100" workbookViewId="0">
      <selection activeCell="F47" activeCellId="1" sqref="B36 F47:F50"/>
    </sheetView>
  </sheetViews>
  <sheetFormatPr defaultColWidth="10.5703125" defaultRowHeight="12.75"/>
  <cols>
    <col min="1" max="1" width="16.5703125" style="3" customWidth="1"/>
    <col min="2" max="2" width="10.42578125" style="3" customWidth="1"/>
    <col min="3" max="3" width="5.85546875" style="3" customWidth="1"/>
    <col min="4" max="4" width="10.42578125" style="3" customWidth="1"/>
    <col min="5" max="5" width="9" style="3" bestFit="1" customWidth="1"/>
    <col min="6" max="6" width="9" style="3" customWidth="1"/>
    <col min="7" max="8" width="10.42578125" style="3" customWidth="1"/>
    <col min="9" max="16384" width="10.5703125" style="3"/>
  </cols>
  <sheetData>
    <row r="1" spans="1:9" ht="13.5" customHeight="1" thickBot="1">
      <c r="A1" s="329" t="s">
        <v>375</v>
      </c>
      <c r="B1" s="330"/>
      <c r="C1" s="330"/>
      <c r="D1" s="330"/>
      <c r="E1" s="330"/>
      <c r="F1" s="330"/>
      <c r="G1" s="330"/>
      <c r="H1" s="330"/>
    </row>
    <row r="2" spans="1:9">
      <c r="A2" s="31"/>
      <c r="B2" s="32"/>
      <c r="C2" s="32"/>
      <c r="D2" s="32"/>
      <c r="E2" s="32"/>
      <c r="F2" s="32"/>
      <c r="G2" s="14"/>
      <c r="H2" s="14"/>
    </row>
    <row r="3" spans="1:9" ht="25.5">
      <c r="A3" s="151" t="s">
        <v>100</v>
      </c>
      <c r="B3" s="151" t="s">
        <v>84</v>
      </c>
      <c r="C3" s="151" t="s">
        <v>16</v>
      </c>
      <c r="D3" s="151" t="s">
        <v>82</v>
      </c>
      <c r="E3" s="151" t="s">
        <v>101</v>
      </c>
      <c r="F3" s="151" t="s">
        <v>13</v>
      </c>
      <c r="G3" s="151" t="s">
        <v>370</v>
      </c>
      <c r="H3" s="151" t="s">
        <v>13</v>
      </c>
      <c r="I3" s="151"/>
    </row>
    <row r="4" spans="1:9">
      <c r="E4" s="148"/>
      <c r="F4" s="148"/>
      <c r="H4" s="14"/>
    </row>
    <row r="5" spans="1:9">
      <c r="A5" s="152" t="s">
        <v>88</v>
      </c>
      <c r="B5" s="149"/>
      <c r="C5" s="149"/>
      <c r="E5" s="149" t="s">
        <v>98</v>
      </c>
      <c r="F5" s="149"/>
      <c r="G5" s="149">
        <f>35*9</f>
        <v>315</v>
      </c>
      <c r="H5" s="149" t="s">
        <v>65</v>
      </c>
    </row>
    <row r="6" spans="1:9">
      <c r="A6" s="152" t="s">
        <v>89</v>
      </c>
      <c r="B6" s="149"/>
      <c r="C6" s="149"/>
      <c r="E6" s="149" t="s">
        <v>8</v>
      </c>
      <c r="F6" s="149"/>
      <c r="G6" s="149">
        <f>B7+B14</f>
        <v>872.77166666666665</v>
      </c>
      <c r="H6" s="149" t="s">
        <v>65</v>
      </c>
    </row>
    <row r="7" spans="1:9">
      <c r="A7" s="149" t="s">
        <v>90</v>
      </c>
      <c r="B7" s="163">
        <v>473</v>
      </c>
      <c r="C7" s="149" t="s">
        <v>65</v>
      </c>
      <c r="E7" s="152" t="s">
        <v>130</v>
      </c>
      <c r="F7" s="149"/>
      <c r="G7" s="149">
        <f>+G8+G9+G10</f>
        <v>178.5</v>
      </c>
      <c r="H7" s="149"/>
    </row>
    <row r="8" spans="1:9">
      <c r="A8" s="162" t="s">
        <v>91</v>
      </c>
      <c r="B8" s="164">
        <f>1240-B7</f>
        <v>767</v>
      </c>
      <c r="C8" s="162" t="s">
        <v>65</v>
      </c>
      <c r="E8" s="155" t="s">
        <v>179</v>
      </c>
      <c r="F8" s="149"/>
      <c r="G8" s="149">
        <f>8*7</f>
        <v>56</v>
      </c>
      <c r="H8" s="149" t="s">
        <v>65</v>
      </c>
    </row>
    <row r="9" spans="1:9">
      <c r="A9" s="149" t="s">
        <v>92</v>
      </c>
      <c r="B9" s="163">
        <f>+B8+B7</f>
        <v>1240</v>
      </c>
      <c r="C9" s="149" t="s">
        <v>65</v>
      </c>
      <c r="E9" s="155" t="s">
        <v>360</v>
      </c>
      <c r="F9" s="149"/>
      <c r="G9" s="149">
        <v>0</v>
      </c>
      <c r="H9" s="149"/>
    </row>
    <row r="10" spans="1:9">
      <c r="A10" s="149"/>
      <c r="B10" s="163"/>
      <c r="C10" s="149"/>
      <c r="E10" s="155" t="s">
        <v>180</v>
      </c>
      <c r="F10" s="149"/>
      <c r="G10" s="149">
        <f>3.5*(25+10)</f>
        <v>122.5</v>
      </c>
      <c r="H10" s="149"/>
    </row>
    <row r="11" spans="1:9">
      <c r="A11" s="152" t="s">
        <v>93</v>
      </c>
      <c r="B11" s="163"/>
      <c r="C11" s="149"/>
      <c r="E11" s="149" t="s">
        <v>181</v>
      </c>
      <c r="F11" s="149"/>
      <c r="G11" s="149">
        <f>25*18</f>
        <v>450</v>
      </c>
      <c r="H11" s="149"/>
    </row>
    <row r="12" spans="1:9">
      <c r="A12" s="149" t="s">
        <v>94</v>
      </c>
      <c r="B12" s="163">
        <f>18.5*20.33</f>
        <v>376.10499999999996</v>
      </c>
      <c r="C12" s="149" t="s">
        <v>65</v>
      </c>
      <c r="E12" s="149" t="s">
        <v>1</v>
      </c>
      <c r="F12" s="149"/>
      <c r="G12" s="149">
        <v>9</v>
      </c>
      <c r="H12" s="149"/>
    </row>
    <row r="13" spans="1:9">
      <c r="A13" s="149" t="s">
        <v>95</v>
      </c>
      <c r="B13" s="163">
        <f>4*(5+11/12)</f>
        <v>23.666666666666668</v>
      </c>
      <c r="C13" s="149" t="s">
        <v>65</v>
      </c>
      <c r="E13" s="149" t="s">
        <v>361</v>
      </c>
      <c r="F13" s="149"/>
      <c r="G13" s="149">
        <v>1</v>
      </c>
      <c r="H13" s="149"/>
    </row>
    <row r="14" spans="1:9">
      <c r="A14" s="153" t="s">
        <v>96</v>
      </c>
      <c r="B14" s="165">
        <f>+B13+B12</f>
        <v>399.77166666666665</v>
      </c>
      <c r="C14" s="153" t="s">
        <v>65</v>
      </c>
      <c r="E14" s="149" t="s">
        <v>138</v>
      </c>
      <c r="F14" s="149"/>
      <c r="G14" s="149">
        <v>9</v>
      </c>
      <c r="H14" s="149"/>
    </row>
    <row r="15" spans="1:9">
      <c r="A15" s="154" t="s">
        <v>97</v>
      </c>
      <c r="B15" s="166">
        <f>+B14+B9</f>
        <v>1639.7716666666665</v>
      </c>
      <c r="C15" s="154" t="s">
        <v>65</v>
      </c>
      <c r="E15" s="149" t="s">
        <v>187</v>
      </c>
      <c r="F15" s="149"/>
      <c r="G15" s="149">
        <f>ConstTime</f>
        <v>6</v>
      </c>
      <c r="H15" s="149" t="s">
        <v>10</v>
      </c>
    </row>
    <row r="16" spans="1:9">
      <c r="A16" s="149"/>
      <c r="B16" s="149"/>
      <c r="C16" s="149"/>
      <c r="D16" s="149"/>
      <c r="E16" s="149"/>
      <c r="F16" s="149"/>
      <c r="G16" s="149"/>
      <c r="H16" s="149"/>
    </row>
    <row r="17" spans="1:8">
      <c r="A17" s="152" t="s">
        <v>59</v>
      </c>
      <c r="B17" s="149"/>
      <c r="C17" s="149"/>
      <c r="D17" s="149"/>
      <c r="E17" s="149"/>
      <c r="F17" s="149"/>
      <c r="G17" s="149"/>
      <c r="H17" s="149"/>
    </row>
    <row r="18" spans="1:8">
      <c r="A18" s="149" t="s">
        <v>104</v>
      </c>
      <c r="B18" s="163">
        <v>0</v>
      </c>
      <c r="C18" s="149" t="s">
        <v>57</v>
      </c>
      <c r="D18" s="157">
        <f>1000/4</f>
        <v>250</v>
      </c>
      <c r="E18" s="161">
        <f>D18*B18</f>
        <v>0</v>
      </c>
      <c r="F18" s="160">
        <f>+E18/$B$9</f>
        <v>0</v>
      </c>
      <c r="G18" s="161">
        <f>+E18*AdjRate</f>
        <v>0</v>
      </c>
      <c r="H18" s="160">
        <f t="shared" ref="H18:H81" si="0">+G18/B$9</f>
        <v>0</v>
      </c>
    </row>
    <row r="19" spans="1:8">
      <c r="A19" s="149" t="s">
        <v>105</v>
      </c>
      <c r="B19" s="163">
        <f>+$G$6</f>
        <v>872.77166666666665</v>
      </c>
      <c r="C19" s="149" t="s">
        <v>65</v>
      </c>
      <c r="D19" s="157">
        <v>0.15</v>
      </c>
      <c r="E19" s="161">
        <f>D19*B19</f>
        <v>130.91575</v>
      </c>
      <c r="F19" s="160">
        <f>+E19/$B$9</f>
        <v>0.10557721774193549</v>
      </c>
      <c r="G19" s="161">
        <f>+E19*AdjRate</f>
        <v>157.09889999999999</v>
      </c>
      <c r="H19" s="160">
        <f t="shared" si="0"/>
        <v>0.12669266129032256</v>
      </c>
    </row>
    <row r="20" spans="1:8">
      <c r="A20" s="149" t="s">
        <v>106</v>
      </c>
      <c r="B20" s="163">
        <v>0</v>
      </c>
      <c r="C20" s="149" t="s">
        <v>57</v>
      </c>
      <c r="D20" s="157">
        <v>315</v>
      </c>
      <c r="E20" s="161">
        <f>D20*B20</f>
        <v>0</v>
      </c>
      <c r="F20" s="160">
        <f>+E20/$B$9</f>
        <v>0</v>
      </c>
      <c r="G20" s="161">
        <f>+E20*AdjRate</f>
        <v>0</v>
      </c>
      <c r="H20" s="160">
        <f t="shared" si="0"/>
        <v>0</v>
      </c>
    </row>
    <row r="21" spans="1:8">
      <c r="A21" s="149" t="s">
        <v>107</v>
      </c>
      <c r="B21" s="163">
        <v>1</v>
      </c>
      <c r="C21" s="149" t="s">
        <v>57</v>
      </c>
      <c r="D21" s="157">
        <v>0</v>
      </c>
      <c r="E21" s="161">
        <f t="shared" ref="E21:E78" si="1">D21*B21</f>
        <v>0</v>
      </c>
      <c r="F21" s="160">
        <f>+E21/$B$9</f>
        <v>0</v>
      </c>
      <c r="G21" s="161">
        <f>+E21*AdjRate</f>
        <v>0</v>
      </c>
      <c r="H21" s="160">
        <f t="shared" si="0"/>
        <v>0</v>
      </c>
    </row>
    <row r="22" spans="1:8">
      <c r="A22" s="149"/>
      <c r="B22" s="163"/>
      <c r="C22" s="149"/>
      <c r="D22" s="157"/>
      <c r="E22" s="161"/>
      <c r="F22" s="160"/>
      <c r="G22" s="161"/>
      <c r="H22" s="160"/>
    </row>
    <row r="23" spans="1:8">
      <c r="A23" s="152" t="s">
        <v>108</v>
      </c>
      <c r="B23" s="163"/>
      <c r="C23" s="149"/>
      <c r="D23" s="157"/>
      <c r="E23" s="161"/>
      <c r="F23" s="160"/>
      <c r="G23" s="161"/>
      <c r="H23" s="160"/>
    </row>
    <row r="24" spans="1:8">
      <c r="A24" s="149" t="s">
        <v>109</v>
      </c>
      <c r="B24" s="163">
        <v>1</v>
      </c>
      <c r="C24" s="149" t="s">
        <v>57</v>
      </c>
      <c r="D24" s="157">
        <v>150</v>
      </c>
      <c r="E24" s="161">
        <f t="shared" si="1"/>
        <v>150</v>
      </c>
      <c r="F24" s="160">
        <f>+E24/$B$9</f>
        <v>0.12096774193548387</v>
      </c>
      <c r="G24" s="161">
        <f>+D24*B24*AdjRate</f>
        <v>180</v>
      </c>
      <c r="H24" s="160">
        <f t="shared" si="0"/>
        <v>0.14516129032258066</v>
      </c>
    </row>
    <row r="25" spans="1:8">
      <c r="A25" s="149" t="s">
        <v>110</v>
      </c>
      <c r="B25" s="163">
        <v>1</v>
      </c>
      <c r="C25" s="149" t="s">
        <v>57</v>
      </c>
      <c r="D25" s="157">
        <v>100</v>
      </c>
      <c r="E25" s="161">
        <f t="shared" si="1"/>
        <v>100</v>
      </c>
      <c r="F25" s="160">
        <f>+E25/$B$9</f>
        <v>8.0645161290322578E-2</v>
      </c>
      <c r="G25" s="161">
        <f>+D25*B25*AdjRate</f>
        <v>120</v>
      </c>
      <c r="H25" s="160">
        <f t="shared" si="0"/>
        <v>9.6774193548387094E-2</v>
      </c>
    </row>
    <row r="26" spans="1:8">
      <c r="A26" s="149" t="s">
        <v>111</v>
      </c>
      <c r="B26" s="163">
        <v>1</v>
      </c>
      <c r="C26" s="149" t="s">
        <v>57</v>
      </c>
      <c r="D26" s="157">
        <v>0</v>
      </c>
      <c r="E26" s="161">
        <f t="shared" si="1"/>
        <v>0</v>
      </c>
      <c r="F26" s="160">
        <f>+E26/$B$9</f>
        <v>0</v>
      </c>
      <c r="G26" s="161">
        <f>+E26*AdjRate</f>
        <v>0</v>
      </c>
      <c r="H26" s="160">
        <f t="shared" si="0"/>
        <v>0</v>
      </c>
    </row>
    <row r="27" spans="1:8">
      <c r="A27" s="149"/>
      <c r="B27" s="163"/>
      <c r="C27" s="149"/>
      <c r="D27" s="157"/>
      <c r="E27" s="161"/>
      <c r="F27" s="160"/>
      <c r="G27" s="161"/>
      <c r="H27" s="160"/>
    </row>
    <row r="28" spans="1:8">
      <c r="A28" s="152" t="s">
        <v>113</v>
      </c>
      <c r="B28" s="163"/>
      <c r="C28" s="149"/>
      <c r="D28" s="157"/>
      <c r="E28" s="161"/>
      <c r="F28" s="160"/>
      <c r="G28" s="161"/>
      <c r="H28" s="160"/>
    </row>
    <row r="29" spans="1:8">
      <c r="A29" s="149" t="s">
        <v>6</v>
      </c>
      <c r="B29" s="163">
        <f>ConstTime</f>
        <v>6</v>
      </c>
      <c r="C29" s="149" t="s">
        <v>77</v>
      </c>
      <c r="D29" s="157">
        <f>56</f>
        <v>56</v>
      </c>
      <c r="E29" s="161">
        <f t="shared" si="1"/>
        <v>336</v>
      </c>
      <c r="F29" s="160">
        <f>+E29/$B$9</f>
        <v>0.2709677419354839</v>
      </c>
      <c r="G29" s="161">
        <f>+D29*B29*AdjRate</f>
        <v>403.2</v>
      </c>
      <c r="H29" s="160">
        <f t="shared" si="0"/>
        <v>0.32516129032258062</v>
      </c>
    </row>
    <row r="30" spans="1:8">
      <c r="A30" s="149" t="s">
        <v>114</v>
      </c>
      <c r="B30" s="163">
        <v>1</v>
      </c>
      <c r="C30" s="149" t="s">
        <v>57</v>
      </c>
      <c r="D30" s="157">
        <v>500</v>
      </c>
      <c r="E30" s="161">
        <f t="shared" si="1"/>
        <v>500</v>
      </c>
      <c r="F30" s="160">
        <f>+E30/$B$9</f>
        <v>0.40322580645161288</v>
      </c>
      <c r="G30" s="161">
        <f>+E30*AdjRate</f>
        <v>600</v>
      </c>
      <c r="H30" s="160">
        <f t="shared" si="0"/>
        <v>0.4838709677419355</v>
      </c>
    </row>
    <row r="31" spans="1:8">
      <c r="A31" s="149"/>
      <c r="B31" s="163"/>
      <c r="C31" s="149"/>
      <c r="D31" s="157"/>
      <c r="E31" s="161"/>
      <c r="F31" s="160"/>
      <c r="G31" s="161"/>
      <c r="H31" s="160"/>
    </row>
    <row r="32" spans="1:8">
      <c r="A32" s="152" t="s">
        <v>115</v>
      </c>
      <c r="B32" s="163"/>
      <c r="C32" s="149"/>
      <c r="D32" s="157"/>
      <c r="E32" s="161"/>
      <c r="F32" s="160"/>
      <c r="G32" s="161"/>
      <c r="H32" s="160"/>
    </row>
    <row r="33" spans="1:8">
      <c r="A33" s="149" t="s">
        <v>116</v>
      </c>
      <c r="B33" s="163">
        <f>ConstTime</f>
        <v>6</v>
      </c>
      <c r="C33" s="149" t="s">
        <v>77</v>
      </c>
      <c r="D33" s="157">
        <v>30</v>
      </c>
      <c r="E33" s="161">
        <f t="shared" si="1"/>
        <v>180</v>
      </c>
      <c r="F33" s="160">
        <f>+E33/$B$9</f>
        <v>0.14516129032258066</v>
      </c>
      <c r="G33" s="161">
        <f>+D33*B33*AdjRate</f>
        <v>216</v>
      </c>
      <c r="H33" s="160">
        <f t="shared" si="0"/>
        <v>0.17419354838709677</v>
      </c>
    </row>
    <row r="34" spans="1:8">
      <c r="A34" s="149" t="s">
        <v>117</v>
      </c>
      <c r="B34" s="163">
        <f>ConstTime</f>
        <v>6</v>
      </c>
      <c r="C34" s="149" t="s">
        <v>77</v>
      </c>
      <c r="D34" s="157">
        <v>30</v>
      </c>
      <c r="E34" s="161">
        <f t="shared" si="1"/>
        <v>180</v>
      </c>
      <c r="F34" s="160">
        <f>+E34/$B$9</f>
        <v>0.14516129032258066</v>
      </c>
      <c r="G34" s="161">
        <f>+D34*B34*AdjRate</f>
        <v>216</v>
      </c>
      <c r="H34" s="160">
        <f t="shared" si="0"/>
        <v>0.17419354838709677</v>
      </c>
    </row>
    <row r="35" spans="1:8">
      <c r="A35" s="149" t="s">
        <v>118</v>
      </c>
      <c r="B35" s="163">
        <f>ConstTime</f>
        <v>6</v>
      </c>
      <c r="C35" s="149" t="s">
        <v>77</v>
      </c>
      <c r="D35" s="157">
        <v>10</v>
      </c>
      <c r="E35" s="161">
        <f t="shared" si="1"/>
        <v>60</v>
      </c>
      <c r="F35" s="160">
        <f>+E35/$B$9</f>
        <v>4.8387096774193547E-2</v>
      </c>
      <c r="G35" s="161">
        <f>+E35*AdjRate</f>
        <v>72</v>
      </c>
      <c r="H35" s="160">
        <f t="shared" si="0"/>
        <v>5.8064516129032261E-2</v>
      </c>
    </row>
    <row r="36" spans="1:8">
      <c r="A36" s="149"/>
      <c r="B36" s="163"/>
      <c r="C36" s="149"/>
      <c r="D36" s="157"/>
      <c r="E36" s="161"/>
      <c r="F36" s="160"/>
      <c r="G36" s="161"/>
      <c r="H36" s="160"/>
    </row>
    <row r="37" spans="1:8">
      <c r="A37" s="152" t="s">
        <v>119</v>
      </c>
      <c r="B37" s="163"/>
      <c r="C37" s="149"/>
      <c r="D37" s="157"/>
      <c r="E37" s="161"/>
      <c r="F37" s="160"/>
      <c r="G37" s="161"/>
      <c r="H37" s="160"/>
    </row>
    <row r="38" spans="1:8">
      <c r="A38" s="149" t="s">
        <v>120</v>
      </c>
      <c r="B38" s="163">
        <v>1</v>
      </c>
      <c r="C38" s="149" t="s">
        <v>57</v>
      </c>
      <c r="D38" s="157">
        <v>750</v>
      </c>
      <c r="E38" s="161">
        <f t="shared" si="1"/>
        <v>750</v>
      </c>
      <c r="F38" s="160">
        <f>+E38/$B$9</f>
        <v>0.60483870967741937</v>
      </c>
      <c r="G38" s="161">
        <f>+D38*B38*AdjRate</f>
        <v>900</v>
      </c>
      <c r="H38" s="160">
        <f t="shared" si="0"/>
        <v>0.72580645161290325</v>
      </c>
    </row>
    <row r="39" spans="1:8">
      <c r="A39" s="149" t="s">
        <v>121</v>
      </c>
      <c r="B39" s="163">
        <f>+B$9</f>
        <v>1240</v>
      </c>
      <c r="C39" s="149" t="s">
        <v>65</v>
      </c>
      <c r="D39" s="157">
        <v>0.1</v>
      </c>
      <c r="E39" s="161">
        <f t="shared" si="1"/>
        <v>124</v>
      </c>
      <c r="F39" s="160">
        <f>+E39/$B$9</f>
        <v>0.1</v>
      </c>
      <c r="G39" s="161">
        <f t="shared" ref="G39:G45" si="2">+E39*AdjRate</f>
        <v>148.79999999999998</v>
      </c>
      <c r="H39" s="160">
        <f t="shared" si="0"/>
        <v>0.11999999999999998</v>
      </c>
    </row>
    <row r="40" spans="1:8">
      <c r="A40" s="149"/>
      <c r="B40" s="163"/>
      <c r="C40" s="149"/>
      <c r="D40" s="157"/>
      <c r="E40" s="161"/>
      <c r="F40" s="160"/>
      <c r="G40" s="161"/>
      <c r="H40" s="160"/>
    </row>
    <row r="41" spans="1:8">
      <c r="A41" s="152" t="s">
        <v>7</v>
      </c>
      <c r="B41" s="163"/>
      <c r="C41" s="149"/>
      <c r="D41" s="157"/>
      <c r="E41" s="161"/>
      <c r="F41" s="160"/>
      <c r="G41" s="161"/>
      <c r="H41" s="160"/>
    </row>
    <row r="42" spans="1:8">
      <c r="A42" s="149" t="s">
        <v>62</v>
      </c>
      <c r="B42" s="163">
        <v>0</v>
      </c>
      <c r="C42" s="149" t="s">
        <v>57</v>
      </c>
      <c r="D42" s="157">
        <v>0</v>
      </c>
      <c r="E42" s="161">
        <f t="shared" si="1"/>
        <v>0</v>
      </c>
      <c r="F42" s="160">
        <f t="shared" ref="F42:F48" si="3">+E42/$B$9</f>
        <v>0</v>
      </c>
      <c r="G42" s="161">
        <f t="shared" si="2"/>
        <v>0</v>
      </c>
      <c r="H42" s="160">
        <f t="shared" si="0"/>
        <v>0</v>
      </c>
    </row>
    <row r="43" spans="1:8">
      <c r="A43" s="149" t="s">
        <v>122</v>
      </c>
      <c r="B43" s="163">
        <v>1</v>
      </c>
      <c r="C43" s="149" t="s">
        <v>196</v>
      </c>
      <c r="D43" s="157">
        <v>150</v>
      </c>
      <c r="E43" s="161">
        <f t="shared" si="1"/>
        <v>150</v>
      </c>
      <c r="F43" s="160">
        <f t="shared" si="3"/>
        <v>0.12096774193548387</v>
      </c>
      <c r="G43" s="161">
        <f t="shared" si="2"/>
        <v>180</v>
      </c>
      <c r="H43" s="160">
        <f t="shared" si="0"/>
        <v>0.14516129032258066</v>
      </c>
    </row>
    <row r="44" spans="1:8">
      <c r="A44" s="149" t="s">
        <v>124</v>
      </c>
      <c r="B44" s="163">
        <v>1</v>
      </c>
      <c r="C44" s="149" t="s">
        <v>57</v>
      </c>
      <c r="D44" s="157">
        <v>150</v>
      </c>
      <c r="E44" s="161">
        <f t="shared" si="1"/>
        <v>150</v>
      </c>
      <c r="F44" s="160">
        <f t="shared" si="3"/>
        <v>0.12096774193548387</v>
      </c>
      <c r="G44" s="161">
        <f t="shared" si="2"/>
        <v>180</v>
      </c>
      <c r="H44" s="160">
        <f t="shared" si="0"/>
        <v>0.14516129032258066</v>
      </c>
    </row>
    <row r="45" spans="1:8">
      <c r="A45" s="149" t="s">
        <v>125</v>
      </c>
      <c r="B45" s="163">
        <v>1</v>
      </c>
      <c r="C45" s="149" t="s">
        <v>57</v>
      </c>
      <c r="D45" s="157">
        <v>0</v>
      </c>
      <c r="E45" s="161">
        <f t="shared" si="1"/>
        <v>0</v>
      </c>
      <c r="F45" s="160">
        <f t="shared" si="3"/>
        <v>0</v>
      </c>
      <c r="G45" s="161">
        <f t="shared" si="2"/>
        <v>0</v>
      </c>
      <c r="H45" s="160">
        <f t="shared" si="0"/>
        <v>0</v>
      </c>
    </row>
    <row r="46" spans="1:8">
      <c r="A46" s="149" t="s">
        <v>73</v>
      </c>
      <c r="B46" s="163">
        <v>1</v>
      </c>
      <c r="C46" s="149" t="s">
        <v>57</v>
      </c>
      <c r="D46" s="157">
        <v>0</v>
      </c>
      <c r="E46" s="161">
        <f t="shared" si="1"/>
        <v>0</v>
      </c>
      <c r="F46" s="160">
        <f t="shared" si="3"/>
        <v>0</v>
      </c>
      <c r="G46" s="161">
        <f>+D46*B46*AdjRate</f>
        <v>0</v>
      </c>
      <c r="H46" s="160">
        <f t="shared" si="0"/>
        <v>0</v>
      </c>
    </row>
    <row r="47" spans="1:8">
      <c r="A47" s="149" t="s">
        <v>126</v>
      </c>
      <c r="B47" s="163">
        <v>0</v>
      </c>
      <c r="C47" s="149" t="s">
        <v>63</v>
      </c>
      <c r="D47" s="157">
        <v>15</v>
      </c>
      <c r="E47" s="161">
        <f t="shared" si="1"/>
        <v>0</v>
      </c>
      <c r="F47" s="160">
        <f t="shared" si="3"/>
        <v>0</v>
      </c>
      <c r="G47" s="161">
        <f>+D47*B47*AdjRate</f>
        <v>0</v>
      </c>
      <c r="H47" s="160">
        <f t="shared" si="0"/>
        <v>0</v>
      </c>
    </row>
    <row r="48" spans="1:8">
      <c r="A48" s="149" t="s">
        <v>127</v>
      </c>
      <c r="B48" s="163">
        <v>0</v>
      </c>
      <c r="C48" s="149" t="s">
        <v>57</v>
      </c>
      <c r="D48" s="157">
        <v>100</v>
      </c>
      <c r="E48" s="161">
        <f t="shared" si="1"/>
        <v>0</v>
      </c>
      <c r="F48" s="160">
        <f t="shared" si="3"/>
        <v>0</v>
      </c>
      <c r="G48" s="161">
        <f>+E48*AdjRate</f>
        <v>0</v>
      </c>
      <c r="H48" s="160">
        <f t="shared" si="0"/>
        <v>0</v>
      </c>
    </row>
    <row r="49" spans="1:8">
      <c r="A49" s="149"/>
      <c r="B49" s="163"/>
      <c r="C49" s="149"/>
      <c r="D49" s="157"/>
      <c r="E49" s="161"/>
      <c r="F49" s="160"/>
      <c r="G49" s="161"/>
      <c r="H49" s="160"/>
    </row>
    <row r="50" spans="1:8">
      <c r="A50" s="152" t="s">
        <v>128</v>
      </c>
      <c r="B50" s="163"/>
      <c r="C50" s="149"/>
      <c r="D50" s="157"/>
      <c r="E50" s="161"/>
      <c r="F50" s="160"/>
      <c r="G50" s="161"/>
      <c r="H50" s="160"/>
    </row>
    <row r="51" spans="1:8">
      <c r="A51" s="149" t="s">
        <v>8</v>
      </c>
      <c r="B51" s="163">
        <f>G$6</f>
        <v>872.77166666666665</v>
      </c>
      <c r="C51" s="149" t="s">
        <v>65</v>
      </c>
      <c r="D51" s="157">
        <v>5.75</v>
      </c>
      <c r="E51" s="161">
        <f t="shared" si="1"/>
        <v>5018.4370833333332</v>
      </c>
      <c r="F51" s="160">
        <f t="shared" ref="F51:F111" si="4">+E51/$B$9</f>
        <v>4.0471266801075272</v>
      </c>
      <c r="G51" s="161">
        <f>+E51*AdjRate</f>
        <v>6022.1244999999999</v>
      </c>
      <c r="H51" s="160">
        <f t="shared" si="0"/>
        <v>4.8565520161290321</v>
      </c>
    </row>
    <row r="52" spans="1:8">
      <c r="A52" s="149" t="s">
        <v>129</v>
      </c>
      <c r="B52" s="163">
        <v>1</v>
      </c>
      <c r="C52" s="149" t="s">
        <v>57</v>
      </c>
      <c r="D52" s="157">
        <v>100</v>
      </c>
      <c r="E52" s="161">
        <f t="shared" si="1"/>
        <v>100</v>
      </c>
      <c r="F52" s="160">
        <f t="shared" si="4"/>
        <v>8.0645161290322578E-2</v>
      </c>
      <c r="G52" s="161">
        <f>+D52*B52*AdjRate</f>
        <v>120</v>
      </c>
      <c r="H52" s="160">
        <f t="shared" si="0"/>
        <v>9.6774193548387094E-2</v>
      </c>
    </row>
    <row r="53" spans="1:8">
      <c r="A53" s="149" t="s">
        <v>130</v>
      </c>
      <c r="B53" s="163">
        <f>G$7</f>
        <v>178.5</v>
      </c>
      <c r="C53" s="149" t="s">
        <v>65</v>
      </c>
      <c r="D53" s="157">
        <v>2</v>
      </c>
      <c r="E53" s="161">
        <f t="shared" si="1"/>
        <v>357</v>
      </c>
      <c r="F53" s="160">
        <f t="shared" si="4"/>
        <v>0.28790322580645161</v>
      </c>
      <c r="G53" s="161">
        <f>+D53*B53*AdjRate</f>
        <v>428.4</v>
      </c>
      <c r="H53" s="160">
        <f t="shared" si="0"/>
        <v>0.34548387096774191</v>
      </c>
    </row>
    <row r="54" spans="1:8">
      <c r="A54" s="149" t="s">
        <v>181</v>
      </c>
      <c r="B54" s="163">
        <f>G$11</f>
        <v>450</v>
      </c>
      <c r="C54" s="149" t="s">
        <v>65</v>
      </c>
      <c r="D54" s="157">
        <v>2.25</v>
      </c>
      <c r="E54" s="161">
        <f t="shared" si="1"/>
        <v>1012.5</v>
      </c>
      <c r="F54" s="160">
        <f t="shared" si="4"/>
        <v>0.81653225806451613</v>
      </c>
      <c r="G54" s="161">
        <f t="shared" ref="G54:G64" si="5">+E54*AdjRate</f>
        <v>1215</v>
      </c>
      <c r="H54" s="160">
        <f t="shared" si="0"/>
        <v>0.97983870967741937</v>
      </c>
    </row>
    <row r="55" spans="1:8">
      <c r="A55" s="149"/>
      <c r="B55" s="163"/>
      <c r="C55" s="149"/>
      <c r="D55" s="157"/>
      <c r="E55" s="161"/>
      <c r="F55" s="160"/>
      <c r="G55" s="161"/>
      <c r="H55" s="160"/>
    </row>
    <row r="56" spans="1:8">
      <c r="A56" s="152" t="s">
        <v>131</v>
      </c>
      <c r="B56" s="163"/>
      <c r="C56" s="149"/>
      <c r="D56" s="157"/>
      <c r="E56" s="161"/>
      <c r="F56" s="160"/>
      <c r="G56" s="161"/>
      <c r="H56" s="160"/>
    </row>
    <row r="57" spans="1:8">
      <c r="A57" s="149" t="s">
        <v>132</v>
      </c>
      <c r="B57" s="163">
        <f>B$15</f>
        <v>1639.7716666666665</v>
      </c>
      <c r="C57" s="149" t="s">
        <v>65</v>
      </c>
      <c r="D57" s="157">
        <v>2.5</v>
      </c>
      <c r="E57" s="161">
        <f t="shared" si="1"/>
        <v>4099.4291666666668</v>
      </c>
      <c r="F57" s="160">
        <f t="shared" si="4"/>
        <v>3.3059912634408604</v>
      </c>
      <c r="G57" s="161">
        <f t="shared" si="5"/>
        <v>4919.3149999999996</v>
      </c>
      <c r="H57" s="160">
        <f t="shared" si="0"/>
        <v>3.9671895161290318</v>
      </c>
    </row>
    <row r="58" spans="1:8">
      <c r="A58" s="149" t="s">
        <v>133</v>
      </c>
      <c r="B58" s="163">
        <f>+B8</f>
        <v>767</v>
      </c>
      <c r="C58" s="149" t="s">
        <v>65</v>
      </c>
      <c r="D58" s="157">
        <v>1.9</v>
      </c>
      <c r="E58" s="161">
        <f t="shared" si="1"/>
        <v>1457.3</v>
      </c>
      <c r="F58" s="160">
        <f t="shared" si="4"/>
        <v>1.175241935483871</v>
      </c>
      <c r="G58" s="161">
        <f t="shared" si="5"/>
        <v>1748.76</v>
      </c>
      <c r="H58" s="160">
        <f t="shared" si="0"/>
        <v>1.4102903225806451</v>
      </c>
    </row>
    <row r="59" spans="1:8">
      <c r="A59" s="149" t="s">
        <v>134</v>
      </c>
      <c r="B59" s="163">
        <f>G$6</f>
        <v>872.77166666666665</v>
      </c>
      <c r="C59" s="149" t="s">
        <v>65</v>
      </c>
      <c r="D59" s="157">
        <v>1.2</v>
      </c>
      <c r="E59" s="161">
        <f t="shared" si="1"/>
        <v>1047.326</v>
      </c>
      <c r="F59" s="160">
        <f t="shared" si="4"/>
        <v>0.84461774193548389</v>
      </c>
      <c r="G59" s="161">
        <f t="shared" si="5"/>
        <v>1256.7911999999999</v>
      </c>
      <c r="H59" s="160">
        <f t="shared" si="0"/>
        <v>1.0135412903225804</v>
      </c>
    </row>
    <row r="60" spans="1:8">
      <c r="A60" s="149" t="s">
        <v>11</v>
      </c>
      <c r="B60" s="163">
        <f>B$15</f>
        <v>1639.7716666666665</v>
      </c>
      <c r="C60" s="149" t="s">
        <v>65</v>
      </c>
      <c r="D60" s="157">
        <v>3.5</v>
      </c>
      <c r="E60" s="161">
        <f t="shared" si="1"/>
        <v>5739.2008333333324</v>
      </c>
      <c r="F60" s="160">
        <f t="shared" si="4"/>
        <v>4.6283877688172037</v>
      </c>
      <c r="G60" s="161">
        <f t="shared" si="5"/>
        <v>6887.0409999999983</v>
      </c>
      <c r="H60" s="160">
        <f t="shared" si="0"/>
        <v>5.5540653225806436</v>
      </c>
    </row>
    <row r="61" spans="1:8">
      <c r="A61" s="149" t="s">
        <v>135</v>
      </c>
      <c r="B61" s="163">
        <v>1</v>
      </c>
      <c r="C61" s="149" t="s">
        <v>57</v>
      </c>
      <c r="D61" s="157">
        <v>285</v>
      </c>
      <c r="E61" s="161">
        <f t="shared" si="1"/>
        <v>285</v>
      </c>
      <c r="F61" s="160">
        <f t="shared" si="4"/>
        <v>0.22983870967741934</v>
      </c>
      <c r="G61" s="161">
        <f t="shared" si="5"/>
        <v>342</v>
      </c>
      <c r="H61" s="160">
        <f t="shared" si="0"/>
        <v>0.27580645161290324</v>
      </c>
    </row>
    <row r="62" spans="1:8">
      <c r="A62" s="149" t="s">
        <v>2</v>
      </c>
      <c r="B62" s="163">
        <f>G13</f>
        <v>1</v>
      </c>
      <c r="C62" s="149" t="s">
        <v>136</v>
      </c>
      <c r="D62" s="157">
        <v>285</v>
      </c>
      <c r="E62" s="161">
        <f t="shared" si="1"/>
        <v>285</v>
      </c>
      <c r="F62" s="160">
        <f t="shared" si="4"/>
        <v>0.22983870967741934</v>
      </c>
      <c r="G62" s="161">
        <f t="shared" si="5"/>
        <v>342</v>
      </c>
      <c r="H62" s="160">
        <f t="shared" si="0"/>
        <v>0.27580645161290324</v>
      </c>
    </row>
    <row r="63" spans="1:8">
      <c r="A63" s="149" t="s">
        <v>137</v>
      </c>
      <c r="B63" s="163">
        <f>B$9</f>
        <v>1240</v>
      </c>
      <c r="C63" s="149" t="s">
        <v>65</v>
      </c>
      <c r="D63" s="157">
        <v>0.6</v>
      </c>
      <c r="E63" s="161">
        <f t="shared" si="1"/>
        <v>744</v>
      </c>
      <c r="F63" s="160">
        <f t="shared" si="4"/>
        <v>0.6</v>
      </c>
      <c r="G63" s="161">
        <f t="shared" si="5"/>
        <v>892.8</v>
      </c>
      <c r="H63" s="160">
        <f t="shared" si="0"/>
        <v>0.72</v>
      </c>
    </row>
    <row r="64" spans="1:8">
      <c r="A64" s="149" t="s">
        <v>138</v>
      </c>
      <c r="B64" s="163">
        <f>G14</f>
        <v>9</v>
      </c>
      <c r="C64" s="149" t="s">
        <v>139</v>
      </c>
      <c r="D64" s="157">
        <v>85</v>
      </c>
      <c r="E64" s="161">
        <f t="shared" si="1"/>
        <v>765</v>
      </c>
      <c r="F64" s="160">
        <f t="shared" si="4"/>
        <v>0.61693548387096775</v>
      </c>
      <c r="G64" s="161">
        <f t="shared" si="5"/>
        <v>918</v>
      </c>
      <c r="H64" s="160">
        <f t="shared" si="0"/>
        <v>0.74032258064516132</v>
      </c>
    </row>
    <row r="65" spans="1:8">
      <c r="A65" s="149" t="s">
        <v>140</v>
      </c>
      <c r="B65" s="163">
        <f>B$9</f>
        <v>1240</v>
      </c>
      <c r="C65" s="149" t="s">
        <v>65</v>
      </c>
      <c r="D65" s="157">
        <v>0.6</v>
      </c>
      <c r="E65" s="161">
        <f t="shared" si="1"/>
        <v>744</v>
      </c>
      <c r="F65" s="160">
        <f t="shared" si="4"/>
        <v>0.6</v>
      </c>
      <c r="G65" s="161">
        <f>+D65*B65*AdjRate</f>
        <v>892.8</v>
      </c>
      <c r="H65" s="160">
        <f t="shared" si="0"/>
        <v>0.72</v>
      </c>
    </row>
    <row r="66" spans="1:8">
      <c r="A66" s="149" t="s">
        <v>141</v>
      </c>
      <c r="B66" s="163">
        <v>33</v>
      </c>
      <c r="C66" s="149" t="s">
        <v>63</v>
      </c>
      <c r="D66" s="157">
        <v>60</v>
      </c>
      <c r="E66" s="161">
        <f t="shared" si="1"/>
        <v>1980</v>
      </c>
      <c r="F66" s="160">
        <f t="shared" si="4"/>
        <v>1.596774193548387</v>
      </c>
      <c r="G66" s="161">
        <f>+D66*B66*AdjRate</f>
        <v>2376</v>
      </c>
      <c r="H66" s="160">
        <f t="shared" si="0"/>
        <v>1.9161290322580644</v>
      </c>
    </row>
    <row r="67" spans="1:8">
      <c r="A67" s="149" t="s">
        <v>142</v>
      </c>
      <c r="B67" s="163">
        <v>16</v>
      </c>
      <c r="C67" s="149" t="s">
        <v>63</v>
      </c>
      <c r="D67" s="157">
        <v>30</v>
      </c>
      <c r="E67" s="161">
        <f t="shared" si="1"/>
        <v>480</v>
      </c>
      <c r="F67" s="160">
        <f t="shared" si="4"/>
        <v>0.38709677419354838</v>
      </c>
      <c r="G67" s="161">
        <f>+E67*AdjRate</f>
        <v>576</v>
      </c>
      <c r="H67" s="160">
        <f t="shared" si="0"/>
        <v>0.46451612903225808</v>
      </c>
    </row>
    <row r="68" spans="1:8">
      <c r="A68" s="149"/>
      <c r="B68" s="163"/>
      <c r="C68" s="149"/>
      <c r="D68" s="157"/>
      <c r="E68" s="161"/>
      <c r="F68" s="160"/>
      <c r="G68" s="161"/>
      <c r="H68" s="160"/>
    </row>
    <row r="69" spans="1:8">
      <c r="A69" s="152" t="s">
        <v>143</v>
      </c>
      <c r="B69" s="163"/>
      <c r="C69" s="149"/>
      <c r="D69" s="157"/>
      <c r="E69" s="161"/>
      <c r="F69" s="160"/>
      <c r="G69" s="161"/>
      <c r="H69" s="160"/>
    </row>
    <row r="70" spans="1:8">
      <c r="A70" s="149" t="s">
        <v>1</v>
      </c>
      <c r="B70" s="163">
        <f>G12</f>
        <v>9</v>
      </c>
      <c r="C70" s="149" t="s">
        <v>144</v>
      </c>
      <c r="D70" s="157">
        <v>85</v>
      </c>
      <c r="E70" s="161">
        <f t="shared" si="1"/>
        <v>765</v>
      </c>
      <c r="F70" s="160">
        <f t="shared" si="4"/>
        <v>0.61693548387096775</v>
      </c>
      <c r="G70" s="161">
        <f>+D70*B70*AdjRate</f>
        <v>918</v>
      </c>
      <c r="H70" s="160">
        <f t="shared" si="0"/>
        <v>0.74032258064516132</v>
      </c>
    </row>
    <row r="71" spans="1:8">
      <c r="A71" s="149" t="s">
        <v>145</v>
      </c>
      <c r="B71" s="163">
        <v>0</v>
      </c>
      <c r="C71" s="149" t="s">
        <v>57</v>
      </c>
      <c r="D71" s="157">
        <v>0</v>
      </c>
      <c r="E71" s="161">
        <f t="shared" si="1"/>
        <v>0</v>
      </c>
      <c r="F71" s="160">
        <f t="shared" si="4"/>
        <v>0</v>
      </c>
      <c r="G71" s="161">
        <f>+D71*B71*AdjRate</f>
        <v>0</v>
      </c>
      <c r="H71" s="160">
        <f t="shared" si="0"/>
        <v>0</v>
      </c>
    </row>
    <row r="72" spans="1:8">
      <c r="A72" s="149" t="s">
        <v>146</v>
      </c>
      <c r="B72" s="163">
        <v>36</v>
      </c>
      <c r="C72" s="149" t="s">
        <v>65</v>
      </c>
      <c r="D72" s="157">
        <v>5</v>
      </c>
      <c r="E72" s="161">
        <f t="shared" si="1"/>
        <v>180</v>
      </c>
      <c r="F72" s="160">
        <f t="shared" si="4"/>
        <v>0.14516129032258066</v>
      </c>
      <c r="G72" s="161">
        <f>+E72*AdjRate</f>
        <v>216</v>
      </c>
      <c r="H72" s="160">
        <f t="shared" si="0"/>
        <v>0.17419354838709677</v>
      </c>
    </row>
    <row r="73" spans="1:8">
      <c r="A73" s="149"/>
      <c r="B73" s="163"/>
      <c r="C73" s="149"/>
      <c r="D73" s="157"/>
      <c r="E73" s="161"/>
      <c r="F73" s="160"/>
      <c r="G73" s="161"/>
      <c r="H73" s="160"/>
    </row>
    <row r="74" spans="1:8">
      <c r="A74" s="152" t="s">
        <v>147</v>
      </c>
      <c r="B74" s="163"/>
      <c r="C74" s="149"/>
      <c r="D74" s="157"/>
      <c r="E74" s="161"/>
      <c r="F74" s="160"/>
      <c r="G74" s="161"/>
      <c r="H74" s="160"/>
    </row>
    <row r="75" spans="1:8">
      <c r="A75" s="149" t="s">
        <v>148</v>
      </c>
      <c r="B75" s="163">
        <f>B9*1.3/100</f>
        <v>16.12</v>
      </c>
      <c r="C75" s="149" t="s">
        <v>149</v>
      </c>
      <c r="D75" s="157">
        <v>52</v>
      </c>
      <c r="E75" s="161">
        <f t="shared" si="1"/>
        <v>838.24</v>
      </c>
      <c r="F75" s="160">
        <f t="shared" si="4"/>
        <v>0.67600000000000005</v>
      </c>
      <c r="G75" s="161">
        <f>+E75*AdjRate</f>
        <v>1005.8879999999999</v>
      </c>
      <c r="H75" s="160">
        <f t="shared" si="0"/>
        <v>0.81119999999999992</v>
      </c>
    </row>
    <row r="76" spans="1:8">
      <c r="A76" s="149" t="s">
        <v>150</v>
      </c>
      <c r="B76" s="163">
        <v>1</v>
      </c>
      <c r="C76" s="149" t="s">
        <v>57</v>
      </c>
      <c r="D76" s="157">
        <v>200</v>
      </c>
      <c r="E76" s="161">
        <f t="shared" si="1"/>
        <v>200</v>
      </c>
      <c r="F76" s="160">
        <f t="shared" si="4"/>
        <v>0.16129032258064516</v>
      </c>
      <c r="G76" s="161">
        <f>+D76*B76*AdjRate</f>
        <v>240</v>
      </c>
      <c r="H76" s="160">
        <f t="shared" si="0"/>
        <v>0.19354838709677419</v>
      </c>
    </row>
    <row r="77" spans="1:8">
      <c r="A77" s="149" t="s">
        <v>151</v>
      </c>
      <c r="B77" s="163">
        <f>B$9</f>
        <v>1240</v>
      </c>
      <c r="C77" s="149" t="s">
        <v>65</v>
      </c>
      <c r="D77" s="157">
        <v>0.75</v>
      </c>
      <c r="E77" s="161">
        <f t="shared" si="1"/>
        <v>930</v>
      </c>
      <c r="F77" s="160">
        <f t="shared" si="4"/>
        <v>0.75</v>
      </c>
      <c r="G77" s="161">
        <f>+D77*B77*AdjRate</f>
        <v>1116</v>
      </c>
      <c r="H77" s="160">
        <f t="shared" si="0"/>
        <v>0.9</v>
      </c>
    </row>
    <row r="78" spans="1:8">
      <c r="A78" s="149" t="s">
        <v>15</v>
      </c>
      <c r="B78" s="163">
        <f>B$9</f>
        <v>1240</v>
      </c>
      <c r="C78" s="149" t="s">
        <v>65</v>
      </c>
      <c r="D78" s="157">
        <v>3</v>
      </c>
      <c r="E78" s="161">
        <f t="shared" si="1"/>
        <v>3720</v>
      </c>
      <c r="F78" s="160">
        <f t="shared" si="4"/>
        <v>3</v>
      </c>
      <c r="G78" s="161">
        <f t="shared" ref="G78:G89" si="6">+E78*AdjRate</f>
        <v>4464</v>
      </c>
      <c r="H78" s="160">
        <f t="shared" si="0"/>
        <v>3.6</v>
      </c>
    </row>
    <row r="79" spans="1:8">
      <c r="A79" s="149"/>
      <c r="B79" s="163"/>
      <c r="C79" s="149"/>
      <c r="D79" s="157"/>
      <c r="E79" s="161"/>
      <c r="F79" s="160"/>
      <c r="G79" s="161"/>
      <c r="H79" s="160"/>
    </row>
    <row r="80" spans="1:8">
      <c r="A80" s="152" t="s">
        <v>98</v>
      </c>
      <c r="B80" s="163"/>
      <c r="C80" s="149"/>
      <c r="D80" s="157"/>
      <c r="E80" s="161"/>
      <c r="F80" s="160"/>
      <c r="G80" s="161"/>
      <c r="H80" s="160"/>
    </row>
    <row r="81" spans="1:8">
      <c r="A81" s="149" t="s">
        <v>152</v>
      </c>
      <c r="B81" s="163">
        <f>+G5</f>
        <v>315</v>
      </c>
      <c r="C81" s="149" t="s">
        <v>65</v>
      </c>
      <c r="D81" s="157">
        <v>5</v>
      </c>
      <c r="E81" s="161">
        <f t="shared" ref="E81:E105" si="7">D81*B81</f>
        <v>1575</v>
      </c>
      <c r="F81" s="160">
        <f t="shared" si="4"/>
        <v>1.2701612903225807</v>
      </c>
      <c r="G81" s="161">
        <f t="shared" si="6"/>
        <v>1890</v>
      </c>
      <c r="H81" s="160">
        <f t="shared" si="0"/>
        <v>1.5241935483870968</v>
      </c>
    </row>
    <row r="82" spans="1:8">
      <c r="A82" s="149" t="s">
        <v>153</v>
      </c>
      <c r="B82" s="163">
        <f>B$9</f>
        <v>1240</v>
      </c>
      <c r="C82" s="149" t="s">
        <v>65</v>
      </c>
      <c r="D82" s="157">
        <v>2</v>
      </c>
      <c r="E82" s="161">
        <f t="shared" si="7"/>
        <v>2480</v>
      </c>
      <c r="F82" s="160">
        <f t="shared" si="4"/>
        <v>2</v>
      </c>
      <c r="G82" s="161">
        <f t="shared" si="6"/>
        <v>2976</v>
      </c>
      <c r="H82" s="160">
        <f t="shared" ref="H82:H95" si="8">+G82/B$9</f>
        <v>2.4</v>
      </c>
    </row>
    <row r="83" spans="1:8">
      <c r="A83" s="149" t="s">
        <v>154</v>
      </c>
      <c r="B83" s="163">
        <f>B$15</f>
        <v>1639.7716666666665</v>
      </c>
      <c r="C83" s="149" t="s">
        <v>65</v>
      </c>
      <c r="D83" s="157">
        <v>0.6</v>
      </c>
      <c r="E83" s="161">
        <f t="shared" si="7"/>
        <v>983.86299999999983</v>
      </c>
      <c r="F83" s="160">
        <f t="shared" si="4"/>
        <v>0.79343790322580632</v>
      </c>
      <c r="G83" s="161">
        <f t="shared" si="6"/>
        <v>1180.6355999999998</v>
      </c>
      <c r="H83" s="160">
        <f t="shared" si="8"/>
        <v>0.95212548387096763</v>
      </c>
    </row>
    <row r="84" spans="1:8">
      <c r="A84" s="149" t="s">
        <v>155</v>
      </c>
      <c r="B84" s="163">
        <v>48</v>
      </c>
      <c r="C84" s="149" t="s">
        <v>65</v>
      </c>
      <c r="D84" s="157">
        <v>5.5</v>
      </c>
      <c r="E84" s="161">
        <f t="shared" si="7"/>
        <v>264</v>
      </c>
      <c r="F84" s="160">
        <f t="shared" si="4"/>
        <v>0.2129032258064516</v>
      </c>
      <c r="G84" s="161">
        <f t="shared" si="6"/>
        <v>316.8</v>
      </c>
      <c r="H84" s="160">
        <f t="shared" si="8"/>
        <v>0.25548387096774194</v>
      </c>
    </row>
    <row r="85" spans="1:8">
      <c r="A85" s="149" t="s">
        <v>156</v>
      </c>
      <c r="B85" s="163">
        <f>(B9-35-150-150-100)/9</f>
        <v>89.444444444444443</v>
      </c>
      <c r="C85" s="149" t="s">
        <v>157</v>
      </c>
      <c r="D85" s="157">
        <v>15</v>
      </c>
      <c r="E85" s="161">
        <f t="shared" si="7"/>
        <v>1341.6666666666667</v>
      </c>
      <c r="F85" s="160">
        <f t="shared" si="4"/>
        <v>1.081989247311828</v>
      </c>
      <c r="G85" s="161">
        <f t="shared" si="6"/>
        <v>1610</v>
      </c>
      <c r="H85" s="160">
        <f t="shared" si="8"/>
        <v>1.2983870967741935</v>
      </c>
    </row>
    <row r="86" spans="1:8">
      <c r="A86" s="149" t="s">
        <v>158</v>
      </c>
      <c r="B86" s="163">
        <v>27</v>
      </c>
      <c r="C86" s="149" t="s">
        <v>63</v>
      </c>
      <c r="D86" s="157">
        <v>24</v>
      </c>
      <c r="E86" s="161">
        <f t="shared" si="7"/>
        <v>648</v>
      </c>
      <c r="F86" s="160">
        <f t="shared" si="4"/>
        <v>0.52258064516129032</v>
      </c>
      <c r="G86" s="161">
        <f t="shared" si="6"/>
        <v>777.6</v>
      </c>
      <c r="H86" s="160">
        <f t="shared" si="8"/>
        <v>0.62709677419354837</v>
      </c>
    </row>
    <row r="87" spans="1:8">
      <c r="A87" s="149" t="s">
        <v>159</v>
      </c>
      <c r="B87" s="163">
        <v>9</v>
      </c>
      <c r="C87" s="149" t="s">
        <v>63</v>
      </c>
      <c r="D87" s="157">
        <v>24</v>
      </c>
      <c r="E87" s="161">
        <f t="shared" si="7"/>
        <v>216</v>
      </c>
      <c r="F87" s="160">
        <f t="shared" si="4"/>
        <v>0.17419354838709677</v>
      </c>
      <c r="G87" s="161">
        <f t="shared" si="6"/>
        <v>259.2</v>
      </c>
      <c r="H87" s="160">
        <f t="shared" si="8"/>
        <v>0.20903225806451611</v>
      </c>
    </row>
    <row r="88" spans="1:8">
      <c r="A88" s="149" t="s">
        <v>160</v>
      </c>
      <c r="B88" s="163">
        <v>2</v>
      </c>
      <c r="C88" s="149" t="s">
        <v>161</v>
      </c>
      <c r="D88" s="157">
        <v>40</v>
      </c>
      <c r="E88" s="161">
        <f t="shared" si="7"/>
        <v>80</v>
      </c>
      <c r="F88" s="160">
        <f t="shared" si="4"/>
        <v>6.4516129032258063E-2</v>
      </c>
      <c r="G88" s="161">
        <f t="shared" si="6"/>
        <v>96</v>
      </c>
      <c r="H88" s="160">
        <f t="shared" si="8"/>
        <v>7.7419354838709681E-2</v>
      </c>
    </row>
    <row r="89" spans="1:8">
      <c r="A89" s="149" t="s">
        <v>162</v>
      </c>
      <c r="B89" s="163">
        <v>0</v>
      </c>
      <c r="C89" s="149" t="s">
        <v>163</v>
      </c>
      <c r="D89" s="157">
        <v>750</v>
      </c>
      <c r="E89" s="161">
        <f t="shared" si="7"/>
        <v>0</v>
      </c>
      <c r="F89" s="160">
        <f t="shared" si="4"/>
        <v>0</v>
      </c>
      <c r="G89" s="161">
        <f t="shared" si="6"/>
        <v>0</v>
      </c>
      <c r="H89" s="160">
        <f t="shared" si="8"/>
        <v>0</v>
      </c>
    </row>
    <row r="90" spans="1:8">
      <c r="A90" s="149" t="s">
        <v>164</v>
      </c>
      <c r="B90" s="163">
        <v>1</v>
      </c>
      <c r="C90" s="149" t="s">
        <v>163</v>
      </c>
      <c r="D90" s="157">
        <v>300</v>
      </c>
      <c r="E90" s="161">
        <f t="shared" si="7"/>
        <v>300</v>
      </c>
      <c r="F90" s="160">
        <f t="shared" si="4"/>
        <v>0.24193548387096775</v>
      </c>
      <c r="G90" s="161">
        <f>+D90*B90*AdjRate</f>
        <v>360</v>
      </c>
      <c r="H90" s="160">
        <f t="shared" si="8"/>
        <v>0.29032258064516131</v>
      </c>
    </row>
    <row r="91" spans="1:8">
      <c r="A91" s="149" t="s">
        <v>165</v>
      </c>
      <c r="B91" s="163">
        <f>G12</f>
        <v>9</v>
      </c>
      <c r="C91" s="149" t="s">
        <v>166</v>
      </c>
      <c r="D91" s="157">
        <v>35</v>
      </c>
      <c r="E91" s="161">
        <f t="shared" si="7"/>
        <v>315</v>
      </c>
      <c r="F91" s="160">
        <f t="shared" si="4"/>
        <v>0.25403225806451613</v>
      </c>
      <c r="G91" s="161">
        <f>+D91*B91*AdjRate</f>
        <v>378</v>
      </c>
      <c r="H91" s="160">
        <f t="shared" si="8"/>
        <v>0.30483870967741933</v>
      </c>
    </row>
    <row r="92" spans="1:8">
      <c r="A92" s="149" t="s">
        <v>167</v>
      </c>
      <c r="B92" s="163">
        <v>0</v>
      </c>
      <c r="C92" s="149" t="s">
        <v>57</v>
      </c>
      <c r="D92" s="157">
        <v>0</v>
      </c>
      <c r="E92" s="161">
        <f t="shared" si="7"/>
        <v>0</v>
      </c>
      <c r="F92" s="160">
        <f t="shared" si="4"/>
        <v>0</v>
      </c>
      <c r="G92" s="161">
        <f>+E92*AdjRate</f>
        <v>0</v>
      </c>
      <c r="H92" s="160">
        <f t="shared" si="8"/>
        <v>0</v>
      </c>
    </row>
    <row r="93" spans="1:8">
      <c r="A93" s="149"/>
      <c r="B93" s="163"/>
      <c r="C93" s="149"/>
      <c r="D93" s="157"/>
      <c r="E93" s="161"/>
      <c r="F93" s="160"/>
      <c r="G93" s="161"/>
      <c r="H93" s="160"/>
    </row>
    <row r="94" spans="1:8">
      <c r="A94" s="152" t="s">
        <v>168</v>
      </c>
      <c r="B94" s="163"/>
      <c r="C94" s="149"/>
      <c r="D94" s="157"/>
      <c r="E94" s="161"/>
      <c r="F94" s="160"/>
      <c r="G94" s="161"/>
      <c r="H94" s="160"/>
    </row>
    <row r="95" spans="1:8">
      <c r="A95" s="149" t="s">
        <v>4</v>
      </c>
      <c r="B95" s="163">
        <v>1</v>
      </c>
      <c r="C95" s="149" t="s">
        <v>57</v>
      </c>
      <c r="D95" s="157">
        <v>500</v>
      </c>
      <c r="E95" s="161">
        <f t="shared" si="7"/>
        <v>500</v>
      </c>
      <c r="F95" s="160">
        <f t="shared" si="4"/>
        <v>0.40322580645161288</v>
      </c>
      <c r="G95" s="161">
        <f>+D95*B95*AdjRate</f>
        <v>600</v>
      </c>
      <c r="H95" s="160">
        <f t="shared" si="8"/>
        <v>0.4838709677419355</v>
      </c>
    </row>
    <row r="96" spans="1:8">
      <c r="A96" s="149" t="s">
        <v>169</v>
      </c>
      <c r="B96" s="163">
        <v>0</v>
      </c>
      <c r="C96" s="149" t="s">
        <v>66</v>
      </c>
      <c r="D96" s="157">
        <v>650</v>
      </c>
      <c r="E96" s="161">
        <f t="shared" si="7"/>
        <v>0</v>
      </c>
      <c r="F96" s="160">
        <f t="shared" si="4"/>
        <v>0</v>
      </c>
      <c r="G96" s="161">
        <f>+D96*B96*AdjRate</f>
        <v>0</v>
      </c>
      <c r="H96" s="160">
        <f>+G96/B$9</f>
        <v>0</v>
      </c>
    </row>
    <row r="97" spans="1:8">
      <c r="A97" s="149" t="s">
        <v>170</v>
      </c>
      <c r="B97" s="163">
        <v>1</v>
      </c>
      <c r="C97" s="149" t="s">
        <v>171</v>
      </c>
      <c r="D97" s="157">
        <v>700</v>
      </c>
      <c r="E97" s="161">
        <f t="shared" si="7"/>
        <v>700</v>
      </c>
      <c r="F97" s="160">
        <f t="shared" si="4"/>
        <v>0.56451612903225812</v>
      </c>
      <c r="G97" s="161">
        <f>+E97*AdjRate</f>
        <v>840</v>
      </c>
      <c r="H97" s="160">
        <f t="shared" ref="H97:H110" si="9">+G97/B$9</f>
        <v>0.67741935483870963</v>
      </c>
    </row>
    <row r="98" spans="1:8">
      <c r="A98" s="149"/>
      <c r="B98" s="163"/>
      <c r="C98" s="149"/>
      <c r="D98" s="157"/>
      <c r="E98" s="161"/>
      <c r="F98" s="160"/>
      <c r="G98" s="161"/>
      <c r="H98" s="160"/>
    </row>
    <row r="99" spans="1:8">
      <c r="A99" s="152" t="s">
        <v>172</v>
      </c>
      <c r="B99" s="163"/>
      <c r="C99" s="149"/>
      <c r="D99" s="157"/>
      <c r="E99" s="161"/>
      <c r="F99" s="160"/>
      <c r="G99" s="161"/>
      <c r="H99" s="160"/>
    </row>
    <row r="100" spans="1:8">
      <c r="A100" s="149" t="s">
        <v>173</v>
      </c>
      <c r="B100" s="163">
        <f>B$15</f>
        <v>1639.7716666666665</v>
      </c>
      <c r="C100" s="149" t="s">
        <v>65</v>
      </c>
      <c r="D100" s="157">
        <v>2.25</v>
      </c>
      <c r="E100" s="161">
        <f t="shared" si="7"/>
        <v>3689.4862499999999</v>
      </c>
      <c r="F100" s="160">
        <f t="shared" si="4"/>
        <v>2.9753921370967742</v>
      </c>
      <c r="G100" s="161">
        <f>+D100*B100*AdjRate</f>
        <v>4427.3834999999999</v>
      </c>
      <c r="H100" s="160">
        <f t="shared" si="9"/>
        <v>3.5704705645161288</v>
      </c>
    </row>
    <row r="101" spans="1:8">
      <c r="A101" s="149" t="s">
        <v>174</v>
      </c>
      <c r="B101" s="163">
        <v>1</v>
      </c>
      <c r="C101" s="149" t="s">
        <v>57</v>
      </c>
      <c r="D101" s="157">
        <v>750</v>
      </c>
      <c r="E101" s="161">
        <f t="shared" si="7"/>
        <v>750</v>
      </c>
      <c r="F101" s="160">
        <f t="shared" si="4"/>
        <v>0.60483870967741937</v>
      </c>
      <c r="G101" s="161">
        <f>+D101*B101*AdjRate</f>
        <v>900</v>
      </c>
      <c r="H101" s="160">
        <f t="shared" si="9"/>
        <v>0.72580645161290325</v>
      </c>
    </row>
    <row r="102" spans="1:8">
      <c r="A102" s="149" t="s">
        <v>175</v>
      </c>
      <c r="B102" s="163">
        <v>1</v>
      </c>
      <c r="C102" s="149" t="s">
        <v>57</v>
      </c>
      <c r="D102" s="157">
        <v>150</v>
      </c>
      <c r="E102" s="161">
        <f t="shared" si="7"/>
        <v>150</v>
      </c>
      <c r="F102" s="160">
        <f t="shared" si="4"/>
        <v>0.12096774193548387</v>
      </c>
      <c r="G102" s="161">
        <f t="shared" ref="G102:G107" si="10">+E102*AdjRate</f>
        <v>180</v>
      </c>
      <c r="H102" s="160">
        <f t="shared" si="9"/>
        <v>0.14516129032258066</v>
      </c>
    </row>
    <row r="103" spans="1:8">
      <c r="A103" s="149"/>
      <c r="B103" s="163"/>
      <c r="C103" s="149"/>
      <c r="D103" s="157"/>
      <c r="E103" s="161"/>
      <c r="F103" s="160"/>
      <c r="G103" s="161"/>
      <c r="H103" s="160"/>
    </row>
    <row r="104" spans="1:8">
      <c r="A104" s="152" t="s">
        <v>176</v>
      </c>
      <c r="B104" s="163"/>
      <c r="C104" s="149"/>
      <c r="D104" s="157"/>
      <c r="E104" s="161"/>
      <c r="F104" s="160"/>
      <c r="G104" s="161"/>
      <c r="H104" s="160"/>
    </row>
    <row r="105" spans="1:8">
      <c r="A105" s="149" t="s">
        <v>177</v>
      </c>
      <c r="B105" s="163">
        <v>1</v>
      </c>
      <c r="C105" s="149" t="s">
        <v>57</v>
      </c>
      <c r="D105" s="157">
        <v>4200</v>
      </c>
      <c r="E105" s="161">
        <f t="shared" si="7"/>
        <v>4200</v>
      </c>
      <c r="F105" s="160">
        <f t="shared" si="4"/>
        <v>3.3870967741935485</v>
      </c>
      <c r="G105" s="161">
        <f t="shared" si="10"/>
        <v>5040</v>
      </c>
      <c r="H105" s="160">
        <f t="shared" si="9"/>
        <v>4.064516129032258</v>
      </c>
    </row>
    <row r="106" spans="1:8">
      <c r="A106" s="149" t="s">
        <v>195</v>
      </c>
      <c r="B106" s="163">
        <v>25</v>
      </c>
      <c r="C106" s="149" t="s">
        <v>63</v>
      </c>
      <c r="D106" s="157">
        <v>15</v>
      </c>
      <c r="E106" s="161">
        <f>D106*B106</f>
        <v>375</v>
      </c>
      <c r="F106" s="160">
        <f t="shared" si="4"/>
        <v>0.30241935483870969</v>
      </c>
      <c r="G106" s="161">
        <f t="shared" si="10"/>
        <v>450</v>
      </c>
      <c r="H106" s="160">
        <f>+G106/B$9</f>
        <v>0.36290322580645162</v>
      </c>
    </row>
    <row r="107" spans="1:8">
      <c r="A107" s="149" t="s">
        <v>178</v>
      </c>
      <c r="B107" s="163">
        <v>1</v>
      </c>
      <c r="C107" s="149" t="s">
        <v>57</v>
      </c>
      <c r="D107" s="157">
        <v>2000</v>
      </c>
      <c r="E107" s="161">
        <f>D107*B107</f>
        <v>2000</v>
      </c>
      <c r="F107" s="160">
        <f t="shared" si="4"/>
        <v>1.6129032258064515</v>
      </c>
      <c r="G107" s="161">
        <f t="shared" si="10"/>
        <v>2400</v>
      </c>
      <c r="H107" s="160">
        <f>+G107/B$9</f>
        <v>1.935483870967742</v>
      </c>
    </row>
    <row r="108" spans="1:8">
      <c r="A108" s="149" t="s">
        <v>197</v>
      </c>
      <c r="B108" s="163">
        <v>1</v>
      </c>
      <c r="C108" s="149" t="s">
        <v>57</v>
      </c>
      <c r="D108" s="157">
        <v>990</v>
      </c>
      <c r="E108" s="161">
        <f>D108*B108</f>
        <v>990</v>
      </c>
      <c r="F108" s="160">
        <f t="shared" si="4"/>
        <v>0.79838709677419351</v>
      </c>
      <c r="G108" s="161">
        <f>+D108*B108*AdjRate</f>
        <v>1188</v>
      </c>
      <c r="H108" s="160">
        <f t="shared" si="9"/>
        <v>0.95806451612903221</v>
      </c>
    </row>
    <row r="109" spans="1:8">
      <c r="A109" s="149" t="s">
        <v>3</v>
      </c>
      <c r="B109" s="163">
        <f>B$9</f>
        <v>1240</v>
      </c>
      <c r="C109" s="149" t="s">
        <v>57</v>
      </c>
      <c r="D109" s="157">
        <v>2.85</v>
      </c>
      <c r="E109" s="161">
        <f>D109*B109</f>
        <v>3534</v>
      </c>
      <c r="F109" s="160">
        <f t="shared" si="4"/>
        <v>2.85</v>
      </c>
      <c r="G109" s="161">
        <f>+D109*B109*AdjRate</f>
        <v>4240.8</v>
      </c>
      <c r="H109" s="160">
        <f t="shared" si="9"/>
        <v>3.42</v>
      </c>
    </row>
    <row r="110" spans="1:8">
      <c r="A110" s="149" t="s">
        <v>9</v>
      </c>
      <c r="B110" s="163">
        <f>ConstTime</f>
        <v>6</v>
      </c>
      <c r="C110" s="149" t="s">
        <v>77</v>
      </c>
      <c r="D110" s="157">
        <f>((1000*52)/12+250+100)/4</f>
        <v>1170.8333333333333</v>
      </c>
      <c r="E110" s="161">
        <f>D110*B110</f>
        <v>7025</v>
      </c>
      <c r="F110" s="160">
        <f t="shared" si="4"/>
        <v>5.665322580645161</v>
      </c>
      <c r="G110" s="161">
        <f>+(D110*B110)*AdjRate</f>
        <v>8430</v>
      </c>
      <c r="H110" s="160">
        <f t="shared" si="9"/>
        <v>6.7983870967741939</v>
      </c>
    </row>
    <row r="111" spans="1:8" ht="13.5" thickBot="1">
      <c r="A111" s="156" t="s">
        <v>241</v>
      </c>
      <c r="B111" s="156"/>
      <c r="C111" s="156"/>
      <c r="D111" s="156"/>
      <c r="E111" s="158">
        <f>SUM(E18:E110)</f>
        <v>65675.364750000008</v>
      </c>
      <c r="F111" s="159">
        <f t="shared" si="4"/>
        <v>52.964003830645169</v>
      </c>
      <c r="G111" s="158">
        <f>SUM(G18:G110)</f>
        <v>78810.437699999995</v>
      </c>
      <c r="H111" s="159">
        <f>SUM(H18:H110)</f>
        <v>63.556804596774199</v>
      </c>
    </row>
    <row r="112" spans="1:8" ht="13.5" thickTop="1">
      <c r="A112" s="149"/>
      <c r="B112" s="149"/>
      <c r="C112" s="149"/>
      <c r="D112" s="149"/>
      <c r="E112" s="161">
        <f>+G111-E111</f>
        <v>13135.072949999987</v>
      </c>
      <c r="F112" s="161"/>
      <c r="G112" s="149"/>
      <c r="H112" s="149"/>
    </row>
    <row r="113" spans="4:6">
      <c r="D113" s="5"/>
      <c r="E113" s="5"/>
      <c r="F113" s="5"/>
    </row>
    <row r="114" spans="4:6">
      <c r="D114" s="5"/>
      <c r="E114" s="5"/>
      <c r="F114" s="5"/>
    </row>
    <row r="115" spans="4:6">
      <c r="D115" s="5"/>
      <c r="E115" s="5"/>
      <c r="F115" s="5"/>
    </row>
    <row r="116" spans="4:6">
      <c r="D116" s="5"/>
      <c r="E116" s="5"/>
      <c r="F116" s="5"/>
    </row>
    <row r="117" spans="4:6">
      <c r="D117" s="5"/>
      <c r="E117" s="5"/>
      <c r="F117" s="5"/>
    </row>
    <row r="118" spans="4:6">
      <c r="D118" s="5"/>
      <c r="E118" s="5"/>
      <c r="F118" s="5"/>
    </row>
    <row r="119" spans="4:6">
      <c r="D119" s="5"/>
      <c r="E119" s="5"/>
      <c r="F119" s="5"/>
    </row>
    <row r="120" spans="4:6">
      <c r="D120" s="5"/>
      <c r="E120" s="5"/>
      <c r="F120" s="5"/>
    </row>
    <row r="121" spans="4:6">
      <c r="D121" s="5"/>
      <c r="E121" s="5"/>
      <c r="F121" s="5"/>
    </row>
    <row r="122" spans="4:6">
      <c r="D122" s="5"/>
      <c r="E122" s="5"/>
      <c r="F122" s="5"/>
    </row>
    <row r="123" spans="4:6">
      <c r="D123" s="5"/>
      <c r="E123" s="5"/>
      <c r="F123" s="5"/>
    </row>
    <row r="124" spans="4:6">
      <c r="D124" s="5"/>
      <c r="E124" s="5"/>
      <c r="F124" s="5"/>
    </row>
    <row r="125" spans="4:6">
      <c r="D125" s="5"/>
      <c r="E125" s="5"/>
      <c r="F125" s="5"/>
    </row>
    <row r="126" spans="4:6">
      <c r="D126" s="5"/>
      <c r="E126" s="5"/>
      <c r="F126" s="5"/>
    </row>
    <row r="127" spans="4:6">
      <c r="D127" s="5"/>
      <c r="E127" s="5"/>
      <c r="F127" s="5"/>
    </row>
    <row r="128" spans="4:6">
      <c r="D128" s="5"/>
      <c r="E128" s="5"/>
      <c r="F128" s="5"/>
    </row>
    <row r="129" spans="4:6">
      <c r="D129" s="5"/>
      <c r="E129" s="5"/>
      <c r="F129" s="5"/>
    </row>
    <row r="130" spans="4:6">
      <c r="D130" s="5"/>
      <c r="E130" s="5"/>
      <c r="F130" s="5"/>
    </row>
    <row r="131" spans="4:6">
      <c r="D131" s="5"/>
      <c r="E131" s="5"/>
      <c r="F131" s="5"/>
    </row>
    <row r="132" spans="4:6">
      <c r="D132" s="5"/>
      <c r="E132" s="5"/>
      <c r="F132" s="5"/>
    </row>
    <row r="133" spans="4:6">
      <c r="D133" s="5"/>
      <c r="E133" s="5"/>
      <c r="F133" s="5"/>
    </row>
    <row r="134" spans="4:6">
      <c r="D134" s="5"/>
      <c r="E134" s="5"/>
      <c r="F134" s="5"/>
    </row>
    <row r="135" spans="4:6">
      <c r="D135" s="5"/>
      <c r="E135" s="5"/>
      <c r="F135" s="5"/>
    </row>
    <row r="136" spans="4:6">
      <c r="D136" s="5"/>
      <c r="E136" s="5"/>
      <c r="F136" s="5"/>
    </row>
    <row r="137" spans="4:6">
      <c r="D137" s="5"/>
      <c r="E137" s="5"/>
      <c r="F137" s="5"/>
    </row>
    <row r="138" spans="4:6">
      <c r="D138" s="5"/>
      <c r="E138" s="5"/>
      <c r="F138" s="5"/>
    </row>
    <row r="139" spans="4:6">
      <c r="D139" s="5"/>
      <c r="E139" s="5"/>
      <c r="F139" s="5"/>
    </row>
    <row r="140" spans="4:6">
      <c r="D140" s="5"/>
      <c r="E140" s="5"/>
      <c r="F140" s="5"/>
    </row>
    <row r="141" spans="4:6">
      <c r="D141" s="5"/>
      <c r="E141" s="5"/>
      <c r="F141" s="5"/>
    </row>
    <row r="142" spans="4:6">
      <c r="D142" s="5"/>
      <c r="E142" s="5"/>
      <c r="F142" s="5"/>
    </row>
  </sheetData>
  <mergeCells count="1">
    <mergeCell ref="A1:H1"/>
  </mergeCells>
  <phoneticPr fontId="3" type="noConversion"/>
  <printOptions horizontalCentered="1"/>
  <pageMargins left="0.25" right="0.25" top="1" bottom="1" header="0.5" footer="0.5"/>
  <pageSetup scale="92" fitToHeight="2" orientation="portrait" horizontalDpi="300" verticalDpi="300" r:id="rId1"/>
  <headerFooter alignWithMargins="0">
    <oddHeader>&amp;C&amp;"Garamond,Bold"&amp;12WESTGATE &amp;&amp; CAMERON LOOP
96 CONDOMINIUMS</oddHeader>
    <oddFooter>&amp;L&amp;"Garamond,Regular"&amp;8&amp;F&amp;C&amp;"Garamond,Regular"&amp;8&amp;P Of &amp;N&amp;R&amp;"Garamond,Regular"&amp;8&amp;D</oddFooter>
  </headerFooter>
  <colBreaks count="1" manualBreakCount="1">
    <brk id="8"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60</vt:i4>
      </vt:variant>
    </vt:vector>
  </HeadingPairs>
  <TitlesOfParts>
    <vt:vector size="72" baseType="lpstr">
      <vt:lpstr>Assumptions</vt:lpstr>
      <vt:lpstr>Project Summary</vt:lpstr>
      <vt:lpstr>Cash Flow Forecast</vt:lpstr>
      <vt:lpstr>Unit Summary</vt:lpstr>
      <vt:lpstr>A&amp;D Costs</vt:lpstr>
      <vt:lpstr>1164SF 2Sty</vt:lpstr>
      <vt:lpstr>1302SF 2Sty</vt:lpstr>
      <vt:lpstr>1358SF 2Sty</vt:lpstr>
      <vt:lpstr>1240SF 2Sty</vt:lpstr>
      <vt:lpstr>1463 IntCt-1Sty</vt:lpstr>
      <vt:lpstr>1335 IntCt-1Sty</vt:lpstr>
      <vt:lpstr>1335 ExtCt-1Sty</vt:lpstr>
      <vt:lpstr>'1302SF 2Sty'!ACSFPLNA</vt:lpstr>
      <vt:lpstr>'1358SF 2Sty'!ACSFPLNA</vt:lpstr>
      <vt:lpstr>AdjRate</vt:lpstr>
      <vt:lpstr>AvgBal</vt:lpstr>
      <vt:lpstr>AvgUC</vt:lpstr>
      <vt:lpstr>AvgWidth</vt:lpstr>
      <vt:lpstr>Ccost</vt:lpstr>
      <vt:lpstr>CLIntRt</vt:lpstr>
      <vt:lpstr>CLPts</vt:lpstr>
      <vt:lpstr>'1358SF 2Sty'!Construction_Period</vt:lpstr>
      <vt:lpstr>ConstTime</vt:lpstr>
      <vt:lpstr>'1302SF 2Sty'!Driveway</vt:lpstr>
      <vt:lpstr>'1302SF 2Sty'!Foundation</vt:lpstr>
      <vt:lpstr>'1358SF 2Sty'!Foundation</vt:lpstr>
      <vt:lpstr>ImpLotValue</vt:lpstr>
      <vt:lpstr>Investment</vt:lpstr>
      <vt:lpstr>InvShare</vt:lpstr>
      <vt:lpstr>KFScale</vt:lpstr>
      <vt:lpstr>LandLTV</vt:lpstr>
      <vt:lpstr>LandPrice</vt:lpstr>
      <vt:lpstr>Lot_Improvement_Costs</vt:lpstr>
      <vt:lpstr>LotImpEq</vt:lpstr>
      <vt:lpstr>LotIMPLN</vt:lpstr>
      <vt:lpstr>LotRel</vt:lpstr>
      <vt:lpstr>LTV</vt:lpstr>
      <vt:lpstr>'1302SF 2Sty'!Masonry</vt:lpstr>
      <vt:lpstr>'1358SF 2Sty'!Masonry</vt:lpstr>
      <vt:lpstr>'1302SF 2Sty'!Patio</vt:lpstr>
      <vt:lpstr>'1358SF 2Sty'!Patio</vt:lpstr>
      <vt:lpstr>PreSldLn80</vt:lpstr>
      <vt:lpstr>'1164SF 2Sty'!Print_Area</vt:lpstr>
      <vt:lpstr>'1302SF 2Sty'!Print_Area</vt:lpstr>
      <vt:lpstr>'1335 ExtCt-1Sty'!Print_Area</vt:lpstr>
      <vt:lpstr>'1335 IntCt-1Sty'!Print_Area</vt:lpstr>
      <vt:lpstr>'1358SF 2Sty'!Print_Area</vt:lpstr>
      <vt:lpstr>'1463 IntCt-1Sty'!Print_Area</vt:lpstr>
      <vt:lpstr>'A&amp;D Costs'!Print_Area</vt:lpstr>
      <vt:lpstr>'Cash Flow Forecast'!Print_Area</vt:lpstr>
      <vt:lpstr>'Project Summary'!Print_Area</vt:lpstr>
      <vt:lpstr>'Unit Summary'!Print_Area</vt:lpstr>
      <vt:lpstr>'1164SF 2Sty'!Print_Titles</vt:lpstr>
      <vt:lpstr>'1302SF 2Sty'!Print_Titles</vt:lpstr>
      <vt:lpstr>'1335 ExtCt-1Sty'!Print_Titles</vt:lpstr>
      <vt:lpstr>'1335 IntCt-1Sty'!Print_Titles</vt:lpstr>
      <vt:lpstr>'1358SF 2Sty'!Print_Titles</vt:lpstr>
      <vt:lpstr>'1463 IntCt-1Sty'!Print_Titles</vt:lpstr>
      <vt:lpstr>'A&amp;D Costs'!Print_Titles</vt:lpstr>
      <vt:lpstr>'Cash Flow Forecast'!Print_Titles</vt:lpstr>
      <vt:lpstr>ProfessionalFees</vt:lpstr>
      <vt:lpstr>Projected_Profit</vt:lpstr>
      <vt:lpstr>Slscomm</vt:lpstr>
      <vt:lpstr>SpecLoan75</vt:lpstr>
      <vt:lpstr>'1302SF 2Sty'!TCSF</vt:lpstr>
      <vt:lpstr>'1335 IntCt-1Sty'!TCSF</vt:lpstr>
      <vt:lpstr>'1358SF 2Sty'!TCSF</vt:lpstr>
      <vt:lpstr>'1463 IntCt-1Sty'!TCSF</vt:lpstr>
      <vt:lpstr>TLU</vt:lpstr>
      <vt:lpstr>Totequity</vt:lpstr>
      <vt:lpstr>TotImpLotCost</vt:lpstr>
      <vt:lpstr>'1358SF 2Sty'!Walk</vt:lpstr>
    </vt:vector>
  </TitlesOfParts>
  <Company>Creekside Builders,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 Richards</dc:creator>
  <cp:lastModifiedBy>Felienne</cp:lastModifiedBy>
  <cp:lastPrinted>2000-09-06T13:45:33Z</cp:lastPrinted>
  <dcterms:created xsi:type="dcterms:W3CDTF">1999-10-05T10:26:59Z</dcterms:created>
  <dcterms:modified xsi:type="dcterms:W3CDTF">2014-09-05T10:39:20Z</dcterms:modified>
</cp:coreProperties>
</file>